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avid\Desktop\"/>
    </mc:Choice>
  </mc:AlternateContent>
  <bookViews>
    <workbookView xWindow="240" yWindow="105" windowWidth="18960" windowHeight="9105"/>
  </bookViews>
  <sheets>
    <sheet name="Introduction" sheetId="25" r:id="rId1"/>
    <sheet name="Chapter2" sheetId="26" r:id="rId2"/>
    <sheet name="Chapter 3" sheetId="27" r:id="rId3"/>
    <sheet name="Chapter 4" sheetId="28" r:id="rId4"/>
    <sheet name="Chapter 5" sheetId="29" r:id="rId5"/>
    <sheet name="Chapter 6" sheetId="30" r:id="rId6"/>
    <sheet name="Chapter 7" sheetId="31" r:id="rId7"/>
    <sheet name="Chapter 8" sheetId="32" r:id="rId8"/>
    <sheet name="Chapter 9" sheetId="33" r:id="rId9"/>
  </sheets>
  <externalReferences>
    <externalReference r:id="rId10"/>
  </externalReferences>
  <definedNames>
    <definedName name="solver_adj" localSheetId="3" hidden="1">'Chapter 4'!$J$42:$N$42</definedName>
    <definedName name="solver_adj" localSheetId="6" hidden="1">'Chapter 7'!$C$68</definedName>
    <definedName name="solver_cvg" localSheetId="3" hidden="1">0.0000000000000001</definedName>
    <definedName name="solver_cvg" localSheetId="6" hidden="1">0.0001</definedName>
    <definedName name="solver_drv" localSheetId="3" hidden="1">2</definedName>
    <definedName name="solver_drv" localSheetId="6" hidden="1">1</definedName>
    <definedName name="solver_eng" localSheetId="3" hidden="1">1</definedName>
    <definedName name="solver_eng" localSheetId="6" hidden="1">1</definedName>
    <definedName name="solver_est" localSheetId="3" hidden="1">2</definedName>
    <definedName name="solver_est" localSheetId="6" hidden="1">1</definedName>
    <definedName name="solver_itr" localSheetId="3" hidden="1">2500</definedName>
    <definedName name="solver_itr" localSheetId="6" hidden="1">2147483647</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3" hidden="1">1</definedName>
    <definedName name="solver_neg" localSheetId="6" hidden="1">1</definedName>
    <definedName name="solver_nod" localSheetId="6" hidden="1">2147483647</definedName>
    <definedName name="solver_num" localSheetId="3" hidden="1">0</definedName>
    <definedName name="solver_num" localSheetId="6" hidden="1">0</definedName>
    <definedName name="solver_nwt" localSheetId="3" hidden="1">2</definedName>
    <definedName name="solver_nwt" localSheetId="6" hidden="1">1</definedName>
    <definedName name="solver_opt" localSheetId="3" hidden="1">'Chapter 4'!$L$50</definedName>
    <definedName name="solver_opt" localSheetId="6" hidden="1">'Chapter 7'!$C$70</definedName>
    <definedName name="solver_pre" localSheetId="6" hidden="1">0.000001</definedName>
    <definedName name="solver_rbv" localSheetId="6" hidden="1">1</definedName>
    <definedName name="solver_rlx" localSheetId="6" hidden="1">2</definedName>
    <definedName name="solver_rsd" localSheetId="6" hidden="1">0</definedName>
    <definedName name="solver_scl" localSheetId="3" hidden="1">1</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3" hidden="1">2</definedName>
    <definedName name="solver_typ" localSheetId="6" hidden="1">3</definedName>
    <definedName name="solver_val" localSheetId="3" hidden="1">0</definedName>
    <definedName name="solver_val" localSheetId="6" hidden="1">125.7</definedName>
    <definedName name="solver_ver" localSheetId="3" hidden="1">3</definedName>
    <definedName name="solver_ver" localSheetId="6" hidden="1">3</definedName>
  </definedNames>
  <calcPr calcId="152511"/>
</workbook>
</file>

<file path=xl/calcChain.xml><?xml version="1.0" encoding="utf-8"?>
<calcChain xmlns="http://schemas.openxmlformats.org/spreadsheetml/2006/main">
  <c r="K49" i="28" l="1"/>
  <c r="J49" i="28"/>
  <c r="K48" i="28"/>
  <c r="J48" i="28"/>
  <c r="K47" i="28"/>
  <c r="J47" i="28"/>
  <c r="K46" i="28"/>
  <c r="J46" i="28"/>
  <c r="K45" i="28"/>
  <c r="J45" i="28"/>
  <c r="C36" i="31"/>
  <c r="G39" i="31"/>
  <c r="G50" i="32"/>
  <c r="G38" i="31"/>
  <c r="C54" i="31"/>
  <c r="F31" i="29"/>
  <c r="G37" i="31"/>
  <c r="F84" i="31"/>
  <c r="E18" i="27"/>
  <c r="L36" i="26"/>
  <c r="C84" i="31"/>
  <c r="D18" i="27"/>
  <c r="E49" i="30"/>
  <c r="C66" i="32"/>
  <c r="C75" i="31"/>
  <c r="F21" i="30"/>
  <c r="C49" i="33"/>
  <c r="E33" i="27"/>
  <c r="H63" i="26"/>
  <c r="E16" i="27"/>
  <c r="G13" i="29"/>
  <c r="C39" i="31"/>
  <c r="C51" i="33"/>
  <c r="D17" i="27"/>
  <c r="C26" i="33"/>
  <c r="E32" i="27"/>
  <c r="C37" i="31"/>
  <c r="C56" i="31"/>
  <c r="C55" i="32"/>
  <c r="C33" i="33"/>
  <c r="G63" i="31"/>
  <c r="E17" i="27"/>
  <c r="D16" i="27"/>
  <c r="F23" i="27"/>
  <c r="C63" i="31"/>
  <c r="F20" i="30"/>
  <c r="C70" i="31"/>
  <c r="C34" i="33"/>
  <c r="E34" i="27"/>
  <c r="C35" i="33"/>
  <c r="G12" i="29"/>
  <c r="C53" i="31"/>
  <c r="C70" i="32"/>
  <c r="C50" i="33"/>
  <c r="C41" i="32"/>
  <c r="F26" i="27"/>
  <c r="G36" i="31"/>
  <c r="C52" i="31"/>
  <c r="F70" i="31"/>
  <c r="C32" i="33"/>
  <c r="F32" i="29"/>
  <c r="G57" i="32"/>
  <c r="G52" i="32"/>
  <c r="C56" i="32"/>
  <c r="C90" i="31"/>
  <c r="C26" i="32"/>
  <c r="C26" i="31"/>
  <c r="C38" i="31"/>
  <c r="L47" i="28" l="1"/>
  <c r="L49" i="28"/>
  <c r="L46" i="28"/>
  <c r="L45" i="28"/>
  <c r="L48" i="28"/>
  <c r="F32" i="30"/>
  <c r="F31" i="30"/>
  <c r="L50" i="28" l="1"/>
  <c r="C69" i="32"/>
  <c r="C37" i="33" l="1"/>
  <c r="C53" i="33"/>
  <c r="C42" i="32"/>
  <c r="G51" i="32"/>
  <c r="G55" i="32" s="1"/>
  <c r="C89" i="31"/>
  <c r="F83" i="31"/>
  <c r="C83" i="31"/>
  <c r="C58" i="32" l="1"/>
  <c r="C60" i="32" s="1"/>
  <c r="E47" i="30"/>
  <c r="F30" i="29"/>
  <c r="F27" i="29"/>
  <c r="H57" i="26"/>
  <c r="H58" i="26"/>
  <c r="H60" i="26"/>
  <c r="H59" i="26"/>
  <c r="H62" i="26" l="1"/>
  <c r="G16" i="29"/>
  <c r="G17" i="29" s="1"/>
  <c r="G19" i="29"/>
  <c r="F34" i="29"/>
  <c r="M26" i="26" l="1"/>
  <c r="O26" i="26" s="1"/>
  <c r="M30" i="26"/>
  <c r="O30" i="26" s="1"/>
  <c r="M27" i="26"/>
  <c r="O27" i="26" s="1"/>
  <c r="M28" i="26"/>
  <c r="O28" i="26" s="1"/>
  <c r="M25" i="26"/>
  <c r="M29" i="26"/>
  <c r="O29" i="26" s="1"/>
  <c r="O32" i="26" l="1"/>
  <c r="L34" i="26" l="1"/>
  <c r="L33" i="26"/>
  <c r="L29" i="26" l="1"/>
  <c r="N29" i="26" s="1"/>
  <c r="L26" i="26"/>
  <c r="N26" i="26" s="1"/>
  <c r="L30" i="26"/>
  <c r="N30" i="26" s="1"/>
  <c r="L27" i="26"/>
  <c r="N27" i="26" s="1"/>
  <c r="L28" i="26"/>
  <c r="N28" i="26" s="1"/>
  <c r="L25" i="26"/>
  <c r="N32" i="26" l="1"/>
  <c r="G23" i="27" l="1"/>
  <c r="F32" i="27"/>
  <c r="G32" i="27"/>
  <c r="H32" i="27"/>
  <c r="G33" i="27"/>
  <c r="F33" i="27"/>
  <c r="G34" i="27" l="1"/>
  <c r="F34" i="27"/>
  <c r="H19" i="30" l="1"/>
  <c r="F25" i="30" l="1"/>
  <c r="F23" i="30"/>
  <c r="F26" i="30"/>
  <c r="F27" i="30" l="1"/>
  <c r="F28" i="30" s="1"/>
  <c r="F29" i="30" s="1"/>
</calcChain>
</file>

<file path=xl/comments1.xml><?xml version="1.0" encoding="utf-8"?>
<comments xmlns="http://schemas.openxmlformats.org/spreadsheetml/2006/main">
  <authors>
    <author>David L. Silverstein</author>
  </authors>
  <commentList>
    <comment ref="E32" authorId="0" shapeId="0">
      <text>
        <r>
          <rPr>
            <b/>
            <sz val="9"/>
            <color indexed="81"/>
            <rFont val="Tahoma"/>
            <family val="2"/>
          </rPr>
          <t xml:space="preserve">SG:Reference Temperatures 20Á/4Á_x000D_
SG:Reference Temperatures 20°/4°_x000D_
</t>
        </r>
      </text>
    </comment>
    <comment ref="E33" authorId="0" shapeId="0">
      <text>
        <r>
          <rPr>
            <b/>
            <sz val="9"/>
            <color indexed="81"/>
            <rFont val="Tahoma"/>
            <family val="2"/>
          </rPr>
          <t xml:space="preserve">SG:Reference Temperatures 20Á/4Á_x000D_
SG:Reference Temperatures 20°/4°_x000D_
</t>
        </r>
      </text>
    </comment>
    <comment ref="E34" authorId="0" shapeId="0">
      <text>
        <r>
          <rPr>
            <b/>
            <sz val="9"/>
            <color indexed="81"/>
            <rFont val="Tahoma"/>
            <family val="2"/>
          </rPr>
          <t xml:space="preserve">SG:Reference Temperatures -11Á/4Á_x000D_
SG:Reference Temperatures -11°/4°_x000D_
</t>
        </r>
      </text>
    </comment>
  </commentList>
</comments>
</file>

<file path=xl/comments2.xml><?xml version="1.0" encoding="utf-8"?>
<comments xmlns="http://schemas.openxmlformats.org/spreadsheetml/2006/main">
  <authors>
    <author>David L. Silverstein</author>
    <author>silverdl</author>
  </authors>
  <commentList>
    <comment ref="G12" authorId="0" shapeId="0">
      <text>
        <r>
          <rPr>
            <b/>
            <sz val="9"/>
            <color indexed="81"/>
            <rFont val="Tahoma"/>
            <family val="2"/>
          </rPr>
          <t xml:space="preserve">SG:Reference Temperatures 4Á/4Á_x000D_
SG:Reference Temperatures 4°/4°_x000D_
</t>
        </r>
      </text>
    </comment>
    <comment ref="G13" authorId="0" shapeId="0">
      <text>
        <r>
          <rPr>
            <b/>
            <sz val="9"/>
            <color indexed="81"/>
            <rFont val="Tahoma"/>
            <family val="2"/>
          </rPr>
          <t xml:space="preserve">SG:Reference Temperatures 18Á/4Á_x000D_
SG:Reference Temperatures 18°/4°_x000D_
</t>
        </r>
      </text>
    </comment>
    <comment ref="F31" authorId="1" shapeId="0">
      <text>
        <r>
          <rPr>
            <b/>
            <sz val="9"/>
            <color indexed="81"/>
            <rFont val="Tahoma"/>
            <family val="2"/>
          </rPr>
          <t xml:space="preserve">Tcrit:Units:K_x000D_
</t>
        </r>
      </text>
    </comment>
    <comment ref="F32" authorId="1" shapeId="0">
      <text>
        <r>
          <rPr>
            <b/>
            <sz val="9"/>
            <color indexed="81"/>
            <rFont val="Tahoma"/>
            <family val="2"/>
          </rPr>
          <t xml:space="preserve">Pcrit:Units:atm_x000D_
</t>
        </r>
      </text>
    </comment>
  </commentList>
</comments>
</file>

<file path=xl/comments3.xml><?xml version="1.0" encoding="utf-8"?>
<comments xmlns="http://schemas.openxmlformats.org/spreadsheetml/2006/main">
  <authors>
    <author>silverdl</author>
    <author>David L. Silverstein</author>
  </authors>
  <commentList>
    <comment ref="F20" authorId="0" shapeId="0">
      <text>
        <r>
          <rPr>
            <b/>
            <sz val="9"/>
            <color indexed="81"/>
            <rFont val="Tahoma"/>
            <family val="2"/>
          </rPr>
          <t xml:space="preserve">AntoineP:Units:mm Hg_x000D_
AntoineP:Warning:Out of T Range_x000D_
</t>
        </r>
      </text>
    </comment>
    <comment ref="F21" authorId="0" shapeId="0">
      <text>
        <r>
          <rPr>
            <b/>
            <sz val="9"/>
            <color indexed="81"/>
            <rFont val="Tahoma"/>
            <family val="2"/>
          </rPr>
          <t xml:space="preserve">AntoineP:Units:mm Hg_x000D_
</t>
        </r>
      </text>
    </comment>
    <comment ref="F31" authorId="1" shapeId="0">
      <text>
        <r>
          <rPr>
            <b/>
            <sz val="9"/>
            <color indexed="81"/>
            <rFont val="Tahoma"/>
            <family val="2"/>
          </rPr>
          <t xml:space="preserve">AntoineT:Units:ÁC_x000D_
AntoineT:Units:°C_x000D_
</t>
        </r>
      </text>
    </comment>
    <comment ref="F32" authorId="1" shapeId="0">
      <text>
        <r>
          <rPr>
            <b/>
            <sz val="9"/>
            <color indexed="81"/>
            <rFont val="Tahoma"/>
            <family val="2"/>
          </rPr>
          <t xml:space="preserve">AntoineT:Units:ÁC_x000D_
AntoineT:Units:°C_x000D_
</t>
        </r>
      </text>
    </comment>
    <comment ref="E49" authorId="0" shapeId="0">
      <text>
        <r>
          <rPr>
            <b/>
            <sz val="9"/>
            <color indexed="81"/>
            <rFont val="Tahoma"/>
            <family val="2"/>
          </rPr>
          <t xml:space="preserve">VPWater:Units:mm Hg_x000D_
</t>
        </r>
      </text>
    </comment>
  </commentList>
</comments>
</file>

<file path=xl/comments4.xml><?xml version="1.0" encoding="utf-8"?>
<comments xmlns="http://schemas.openxmlformats.org/spreadsheetml/2006/main">
  <authors>
    <author>silverdl</author>
    <author>David L. Silverstein</author>
  </authors>
  <commentList>
    <comment ref="C26" authorId="0" shapeId="0">
      <text>
        <r>
          <rPr>
            <b/>
            <sz val="9"/>
            <color indexed="81"/>
            <rFont val="Tahoma"/>
            <family val="2"/>
          </rPr>
          <t xml:space="preserve">DeltaHcg:Units:kJ/mol_x000D_
</t>
        </r>
      </text>
    </comment>
    <comment ref="C36" authorId="0" shapeId="0">
      <text>
        <r>
          <rPr>
            <b/>
            <sz val="9"/>
            <color indexed="81"/>
            <rFont val="Tahoma"/>
            <family val="2"/>
          </rPr>
          <t xml:space="preserve">SteamSatT:Units:bar_x000D_
SteamSatT:Warning:Extrapolated_x000D_
</t>
        </r>
      </text>
    </comment>
    <comment ref="G36" authorId="0" shapeId="0">
      <text>
        <r>
          <rPr>
            <b/>
            <sz val="9"/>
            <color indexed="81"/>
            <rFont val="Tahoma"/>
            <family val="2"/>
          </rPr>
          <t xml:space="preserve">SteamSatP:Units:bar_x000D_
</t>
        </r>
      </text>
    </comment>
    <comment ref="C37" authorId="0" shapeId="0">
      <text>
        <r>
          <rPr>
            <b/>
            <sz val="9"/>
            <color indexed="81"/>
            <rFont val="Tahoma"/>
            <family val="2"/>
          </rPr>
          <t xml:space="preserve">SteamSatT:Units:m^3/kg_x000D_
SteamSatT:Warning:Extrapolated_x000D_
</t>
        </r>
      </text>
    </comment>
    <comment ref="G37" authorId="0" shapeId="0">
      <text>
        <r>
          <rPr>
            <b/>
            <sz val="9"/>
            <color indexed="81"/>
            <rFont val="Tahoma"/>
            <family val="2"/>
          </rPr>
          <t xml:space="preserve">SteamSatP:Units:m^3/kg_x000D_
</t>
        </r>
      </text>
    </comment>
    <comment ref="C38" authorId="1" shapeId="0">
      <text>
        <r>
          <rPr>
            <b/>
            <sz val="9"/>
            <color indexed="81"/>
            <rFont val="Tahoma"/>
            <family val="2"/>
          </rPr>
          <t xml:space="preserve">SteamSatT:Units:kJ/kg_x000D_
SteamSatT:Units:kJ/mol_x000D_
SteamSatT:Warning:Extrapolated_x000D_
</t>
        </r>
      </text>
    </comment>
    <comment ref="G38" authorId="1" shapeId="0">
      <text>
        <r>
          <rPr>
            <b/>
            <sz val="9"/>
            <color indexed="81"/>
            <rFont val="Tahoma"/>
            <family val="2"/>
          </rPr>
          <t xml:space="preserve">SteamSatP:Units:kJ/kg_x000D_
SteamSatP:Units:kJ/mol_x000D_
</t>
        </r>
      </text>
    </comment>
    <comment ref="C39" authorId="1" shapeId="0">
      <text>
        <r>
          <rPr>
            <b/>
            <sz val="9"/>
            <color indexed="81"/>
            <rFont val="Tahoma"/>
            <family val="2"/>
          </rPr>
          <t xml:space="preserve">SteamSatT:Units:kJ/kg_x000D_
SteamSatT:Units:kJ/mol_x000D_
SteamSatT:Warning:Extrapolated_x000D_
</t>
        </r>
      </text>
    </comment>
    <comment ref="G39" authorId="1" shapeId="0">
      <text>
        <r>
          <rPr>
            <b/>
            <sz val="9"/>
            <color indexed="81"/>
            <rFont val="Tahoma"/>
            <family val="2"/>
          </rPr>
          <t xml:space="preserve">SteamSatP:Units:kJ/kg_x000D_
SteamSatP:Units:kJ/mol_x000D_
</t>
        </r>
      </text>
    </comment>
    <comment ref="C52" authorId="1" shapeId="0">
      <text>
        <r>
          <rPr>
            <b/>
            <sz val="9"/>
            <color indexed="81"/>
            <rFont val="Tahoma"/>
            <family val="2"/>
          </rPr>
          <t xml:space="preserve">SteamSH:Units:kJ/kg_x000D_
SteamSH:Units:kJ/mol_x000D_
</t>
        </r>
      </text>
    </comment>
    <comment ref="C53" authorId="1" shapeId="0">
      <text>
        <r>
          <rPr>
            <b/>
            <sz val="9"/>
            <color indexed="81"/>
            <rFont val="Tahoma"/>
            <family val="2"/>
          </rPr>
          <t xml:space="preserve">SteamSH:Units:kJ/kg_x000D_
SteamSH:Units:kJ/mol_x000D_
</t>
        </r>
      </text>
    </comment>
    <comment ref="C54" authorId="0" shapeId="0">
      <text>
        <r>
          <rPr>
            <b/>
            <sz val="9"/>
            <color indexed="81"/>
            <rFont val="Tahoma"/>
            <family val="2"/>
          </rPr>
          <t xml:space="preserve">SteamSH:Units:m^3/kg_x000D_
</t>
        </r>
      </text>
    </comment>
    <comment ref="C56" authorId="1" shapeId="0">
      <text>
        <r>
          <rPr>
            <b/>
            <sz val="9"/>
            <color indexed="81"/>
            <rFont val="Tahoma"/>
            <family val="2"/>
          </rPr>
          <t xml:space="preserve">SteamSatP:Units:ÁC_x000D_
SteamSatP:Units:°C_x000D_
</t>
        </r>
      </text>
    </comment>
    <comment ref="C63" authorId="1" shapeId="0">
      <text>
        <r>
          <rPr>
            <b/>
            <sz val="9"/>
            <color indexed="81"/>
            <rFont val="Tahoma"/>
            <family val="2"/>
          </rPr>
          <t xml:space="preserve">SteamSH:Units:kJ/kg_x000D_
SteamSH:Units:kJ/mol_x000D_
</t>
        </r>
      </text>
    </comment>
    <comment ref="G63" authorId="1" shapeId="0">
      <text>
        <r>
          <rPr>
            <b/>
            <sz val="9"/>
            <color indexed="81"/>
            <rFont val="Tahoma"/>
            <family val="2"/>
          </rPr>
          <t xml:space="preserve">SteamSatP:Units:kJ/kg_x000D_
SteamSatP:Units:kJ/mol_x000D_
</t>
        </r>
      </text>
    </comment>
    <comment ref="C70" authorId="1" shapeId="0">
      <text>
        <r>
          <rPr>
            <b/>
            <sz val="9"/>
            <color indexed="81"/>
            <rFont val="Tahoma"/>
            <family val="2"/>
          </rPr>
          <t xml:space="preserve">SteamSatT:Units:kJ/kg_x000D_
SteamSatT:Units:kJ/mol_x000D_
</t>
        </r>
      </text>
    </comment>
    <comment ref="F70" authorId="1" shapeId="0">
      <text>
        <r>
          <rPr>
            <b/>
            <sz val="9"/>
            <color indexed="81"/>
            <rFont val="Tahoma"/>
            <family val="2"/>
          </rPr>
          <t xml:space="preserve">SteamSatT:Units:kJ/kg_x000D_
SteamSatT:Units:kJ/mol_x000D_
</t>
        </r>
      </text>
    </comment>
    <comment ref="C75" authorId="1" shapeId="0">
      <text>
        <r>
          <rPr>
            <b/>
            <sz val="9"/>
            <color indexed="81"/>
            <rFont val="Tahoma"/>
            <family val="2"/>
          </rPr>
          <t xml:space="preserve">SteamSatP:Units:kJ/kg_x000D_
SteamSatP:Units:kJ/mol_x000D_
</t>
        </r>
      </text>
    </comment>
    <comment ref="C84" authorId="1" shapeId="0">
      <text>
        <r>
          <rPr>
            <b/>
            <sz val="9"/>
            <color indexed="81"/>
            <rFont val="Tahoma"/>
            <family val="2"/>
          </rPr>
          <t xml:space="preserve">SteamSatP:Units:kJ/kg_x000D_
SteamSatP:Units:kJ/mol_x000D_
</t>
        </r>
      </text>
    </comment>
    <comment ref="F84" authorId="1" shapeId="0">
      <text>
        <r>
          <rPr>
            <b/>
            <sz val="9"/>
            <color indexed="81"/>
            <rFont val="Tahoma"/>
            <family val="2"/>
          </rPr>
          <t xml:space="preserve">SteamSH:Units:kJ/kg_x000D_
SteamSH:Units:kJ/mol_x000D_
</t>
        </r>
      </text>
    </comment>
    <comment ref="C90" authorId="1" shapeId="0">
      <text>
        <r>
          <rPr>
            <b/>
            <sz val="9"/>
            <color indexed="81"/>
            <rFont val="Tahoma"/>
            <family val="2"/>
          </rPr>
          <t xml:space="preserve">SteamSH:Units:kJ/kg_x000D_
SteamSH:Units:kJ/mol_x000D_
</t>
        </r>
      </text>
    </comment>
  </commentList>
</comments>
</file>

<file path=xl/comments5.xml><?xml version="1.0" encoding="utf-8"?>
<comments xmlns="http://schemas.openxmlformats.org/spreadsheetml/2006/main">
  <authors>
    <author>silverdl</author>
    <author>David L. Silverstein</author>
  </authors>
  <commentList>
    <comment ref="C26" authorId="0" shapeId="0">
      <text>
        <r>
          <rPr>
            <b/>
            <sz val="9"/>
            <color indexed="81"/>
            <rFont val="Tahoma"/>
            <family val="2"/>
          </rPr>
          <t xml:space="preserve">DeltaHcg:Units:kJ/mol_x000D_
</t>
        </r>
      </text>
    </comment>
    <comment ref="C41" authorId="1" shapeId="0">
      <text>
        <r>
          <rPr>
            <b/>
            <sz val="9"/>
            <color indexed="81"/>
            <rFont val="Tahoma"/>
            <family val="2"/>
          </rPr>
          <t xml:space="preserve">Enthalpy:Units:kJ/mol_x000D_
Enthalpy:Units:kJ/kg_x000D_
</t>
        </r>
      </text>
    </comment>
    <comment ref="G50" authorId="1" shapeId="0">
      <text>
        <r>
          <rPr>
            <b/>
            <sz val="9"/>
            <color indexed="81"/>
            <rFont val="Tahoma"/>
            <family val="2"/>
          </rPr>
          <t xml:space="preserve">Tb:Units:ÁC_x000D_
Tb:Units:°C_x000D_
</t>
        </r>
      </text>
    </comment>
    <comment ref="G52" authorId="0" shapeId="0">
      <text>
        <r>
          <rPr>
            <b/>
            <sz val="9"/>
            <color indexed="81"/>
            <rFont val="Tahoma"/>
            <family val="2"/>
          </rPr>
          <t xml:space="preserve">Tcrit:Units:K_x000D_
</t>
        </r>
      </text>
    </comment>
    <comment ref="C55" authorId="1" shapeId="0">
      <text>
        <r>
          <rPr>
            <b/>
            <sz val="9"/>
            <color indexed="81"/>
            <rFont val="Tahoma"/>
            <family val="2"/>
          </rPr>
          <t xml:space="preserve">Enthalpy:Units:kJ/mol_x000D_
Enthalpy:Units:kJ/kg_x000D_
</t>
        </r>
      </text>
    </comment>
    <comment ref="C56" authorId="1" shapeId="0">
      <text>
        <r>
          <rPr>
            <b/>
            <sz val="9"/>
            <color indexed="81"/>
            <rFont val="Tahoma"/>
            <family val="2"/>
          </rPr>
          <t xml:space="preserve">Enthalpy:Units:kJ/mol_x000D_
Enthalpy:Units:kJ/kg_x000D_
</t>
        </r>
      </text>
    </comment>
    <comment ref="G57" authorId="0" shapeId="0">
      <text>
        <r>
          <rPr>
            <b/>
            <sz val="9"/>
            <color indexed="81"/>
            <rFont val="Tahoma"/>
            <family val="2"/>
          </rPr>
          <t xml:space="preserve">Hv:Units:kJ/mol_x000D_
</t>
        </r>
      </text>
    </comment>
    <comment ref="C66" authorId="1" shapeId="0">
      <text>
        <r>
          <rPr>
            <b/>
            <sz val="9"/>
            <color indexed="81"/>
            <rFont val="Tahoma"/>
            <family val="2"/>
          </rPr>
          <t xml:space="preserve">Enthalpy:Units:kJ/mol_x000D_
Enthalpy:Units:kJ/kg_x000D_
</t>
        </r>
      </text>
    </comment>
    <comment ref="C70" authorId="0" shapeId="0">
      <text>
        <r>
          <rPr>
            <b/>
            <sz val="9"/>
            <color indexed="81"/>
            <rFont val="Tahoma"/>
            <family val="2"/>
          </rPr>
          <t xml:space="preserve">HsHCl:Units:kJ/mol_x000D_
</t>
        </r>
      </text>
    </comment>
  </commentList>
</comments>
</file>

<file path=xl/comments6.xml><?xml version="1.0" encoding="utf-8"?>
<comments xmlns="http://schemas.openxmlformats.org/spreadsheetml/2006/main">
  <authors>
    <author>silverdl</author>
  </authors>
  <commentList>
    <comment ref="C26" authorId="0" shapeId="0">
      <text>
        <r>
          <rPr>
            <b/>
            <sz val="9"/>
            <color indexed="81"/>
            <rFont val="Tahoma"/>
            <family val="2"/>
          </rPr>
          <t xml:space="preserve">DeltaHcg:Units:kJ/mol_x000D_
</t>
        </r>
      </text>
    </comment>
    <comment ref="C32" authorId="0" shapeId="0">
      <text>
        <r>
          <rPr>
            <b/>
            <sz val="9"/>
            <color indexed="81"/>
            <rFont val="Tahoma"/>
            <family val="2"/>
          </rPr>
          <t xml:space="preserve">DeltaHfl:Units:kJ/mol_x000D_
</t>
        </r>
      </text>
    </comment>
    <comment ref="C33" authorId="0" shapeId="0">
      <text>
        <r>
          <rPr>
            <b/>
            <sz val="9"/>
            <color indexed="81"/>
            <rFont val="Tahoma"/>
            <family val="2"/>
          </rPr>
          <t xml:space="preserve">DeltaHfg:Units:kJ/mol_x000D_
</t>
        </r>
      </text>
    </comment>
    <comment ref="C34" authorId="0" shapeId="0">
      <text>
        <r>
          <rPr>
            <b/>
            <sz val="9"/>
            <color indexed="81"/>
            <rFont val="Tahoma"/>
            <family val="2"/>
          </rPr>
          <t xml:space="preserve">DeltaHfg:Units:kJ/mol_x000D_
</t>
        </r>
      </text>
    </comment>
    <comment ref="C35" authorId="0" shapeId="0">
      <text>
        <r>
          <rPr>
            <b/>
            <sz val="9"/>
            <color indexed="81"/>
            <rFont val="Tahoma"/>
            <family val="2"/>
          </rPr>
          <t xml:space="preserve">DeltaHfl:Units:kJ/mol_x000D_
</t>
        </r>
      </text>
    </comment>
    <comment ref="C49" authorId="0" shapeId="0">
      <text>
        <r>
          <rPr>
            <b/>
            <sz val="9"/>
            <color indexed="81"/>
            <rFont val="Tahoma"/>
            <family val="2"/>
          </rPr>
          <t xml:space="preserve">DeltaHcg:Units:kJ/mol_x000D_
</t>
        </r>
      </text>
    </comment>
    <comment ref="C50" authorId="0" shapeId="0">
      <text>
        <r>
          <rPr>
            <b/>
            <sz val="9"/>
            <color indexed="81"/>
            <rFont val="Tahoma"/>
            <family val="2"/>
          </rPr>
          <t xml:space="preserve">DeltaHcg:Units:kJ/mol_x000D_
</t>
        </r>
      </text>
    </comment>
    <comment ref="C51" authorId="0" shapeId="0">
      <text>
        <r>
          <rPr>
            <b/>
            <sz val="9"/>
            <color indexed="81"/>
            <rFont val="Tahoma"/>
            <family val="2"/>
          </rPr>
          <t xml:space="preserve">DeltaHcg:Units:kJ/mol_x000D_
</t>
        </r>
      </text>
    </comment>
  </commentList>
</comments>
</file>

<file path=xl/sharedStrings.xml><?xml version="1.0" encoding="utf-8"?>
<sst xmlns="http://schemas.openxmlformats.org/spreadsheetml/2006/main" count="312" uniqueCount="201">
  <si>
    <t>H</t>
  </si>
  <si>
    <t>O</t>
  </si>
  <si>
    <t>Acetone</t>
  </si>
  <si>
    <t>Water</t>
  </si>
  <si>
    <t>°C</t>
  </si>
  <si>
    <t>Example 6.4-3  part 1</t>
  </si>
  <si>
    <r>
      <t>X</t>
    </r>
    <r>
      <rPr>
        <vertAlign val="subscript"/>
        <sz val="11"/>
        <color theme="1"/>
        <rFont val="Calibri"/>
        <family val="2"/>
        <scheme val="minor"/>
      </rPr>
      <t>benzene</t>
    </r>
    <r>
      <rPr>
        <sz val="11"/>
        <color theme="1"/>
        <rFont val="Calibri"/>
        <family val="2"/>
        <scheme val="minor"/>
      </rPr>
      <t>=</t>
    </r>
  </si>
  <si>
    <r>
      <t>X</t>
    </r>
    <r>
      <rPr>
        <vertAlign val="subscript"/>
        <sz val="11"/>
        <color theme="1"/>
        <rFont val="Calibri"/>
        <family val="2"/>
        <scheme val="minor"/>
      </rPr>
      <t>toluene</t>
    </r>
    <r>
      <rPr>
        <sz val="11"/>
        <color theme="1"/>
        <rFont val="Calibri"/>
        <family val="2"/>
        <scheme val="minor"/>
      </rPr>
      <t>=</t>
    </r>
  </si>
  <si>
    <t>Temperature=</t>
  </si>
  <si>
    <t>K                               or</t>
  </si>
  <si>
    <r>
      <t>P*</t>
    </r>
    <r>
      <rPr>
        <vertAlign val="subscript"/>
        <sz val="11"/>
        <color theme="1"/>
        <rFont val="Calibri"/>
        <family val="2"/>
        <scheme val="minor"/>
      </rPr>
      <t>benzene</t>
    </r>
    <r>
      <rPr>
        <sz val="11"/>
        <color theme="1"/>
        <rFont val="Calibri"/>
        <family val="2"/>
        <scheme val="minor"/>
      </rPr>
      <t>=</t>
    </r>
  </si>
  <si>
    <t>mmHg</t>
  </si>
  <si>
    <r>
      <t>P*</t>
    </r>
    <r>
      <rPr>
        <vertAlign val="subscript"/>
        <sz val="11"/>
        <color theme="1"/>
        <rFont val="Calibri"/>
        <family val="2"/>
        <scheme val="minor"/>
      </rPr>
      <t>toluene</t>
    </r>
    <r>
      <rPr>
        <sz val="11"/>
        <color theme="1"/>
        <rFont val="Calibri"/>
        <family val="2"/>
        <scheme val="minor"/>
      </rPr>
      <t>=</t>
    </r>
  </si>
  <si>
    <r>
      <t>P</t>
    </r>
    <r>
      <rPr>
        <vertAlign val="subscript"/>
        <sz val="11"/>
        <color theme="1"/>
        <rFont val="Calibri"/>
        <family val="2"/>
        <scheme val="minor"/>
      </rPr>
      <t>benzene</t>
    </r>
    <r>
      <rPr>
        <sz val="11"/>
        <color theme="1"/>
        <rFont val="Calibri"/>
        <family val="2"/>
        <scheme val="minor"/>
      </rPr>
      <t>=</t>
    </r>
  </si>
  <si>
    <t>P=</t>
  </si>
  <si>
    <r>
      <t>P</t>
    </r>
    <r>
      <rPr>
        <vertAlign val="subscript"/>
        <sz val="11"/>
        <color theme="1"/>
        <rFont val="Calibri"/>
        <family val="2"/>
        <scheme val="minor"/>
      </rPr>
      <t>toluene</t>
    </r>
    <r>
      <rPr>
        <sz val="11"/>
        <color theme="1"/>
        <rFont val="Calibri"/>
        <family val="2"/>
        <scheme val="minor"/>
      </rPr>
      <t>=</t>
    </r>
  </si>
  <si>
    <t>mol Toluene/ mol</t>
  </si>
  <si>
    <t>mol Benzene/ mol</t>
  </si>
  <si>
    <t>SG</t>
  </si>
  <si>
    <t>kJ/mol</t>
  </si>
  <si>
    <t>K</t>
  </si>
  <si>
    <t>atm</t>
  </si>
  <si>
    <t>Mercury</t>
  </si>
  <si>
    <t>n (mol/h)=</t>
  </si>
  <si>
    <r>
      <t>n</t>
    </r>
    <r>
      <rPr>
        <vertAlign val="subscript"/>
        <sz val="11"/>
        <color indexed="8"/>
        <rFont val="Calibri"/>
        <family val="2"/>
      </rPr>
      <t>C2H6</t>
    </r>
    <r>
      <rPr>
        <sz val="11"/>
        <color theme="1"/>
        <rFont val="Calibri"/>
        <family val="2"/>
        <scheme val="minor"/>
      </rPr>
      <t xml:space="preserve"> =</t>
    </r>
  </si>
  <si>
    <r>
      <t>n</t>
    </r>
    <r>
      <rPr>
        <vertAlign val="subscript"/>
        <sz val="11"/>
        <color indexed="8"/>
        <rFont val="Calibri"/>
        <family val="2"/>
      </rPr>
      <t>C3H8</t>
    </r>
    <r>
      <rPr>
        <sz val="11"/>
        <color theme="1"/>
        <rFont val="Calibri"/>
        <family val="2"/>
        <scheme val="minor"/>
      </rPr>
      <t xml:space="preserve"> =</t>
    </r>
  </si>
  <si>
    <t>T1(°C)=</t>
  </si>
  <si>
    <t>T2(°C)=</t>
  </si>
  <si>
    <r>
      <t>∆Ĥ</t>
    </r>
    <r>
      <rPr>
        <vertAlign val="subscript"/>
        <sz val="11"/>
        <color indexed="8"/>
        <rFont val="Calibri"/>
        <family val="2"/>
      </rPr>
      <t>C2H6</t>
    </r>
    <r>
      <rPr>
        <sz val="11"/>
        <color theme="1"/>
        <rFont val="Calibri"/>
        <family val="2"/>
        <scheme val="minor"/>
      </rPr>
      <t xml:space="preserve"> =</t>
    </r>
  </si>
  <si>
    <r>
      <t>∆Ĥ</t>
    </r>
    <r>
      <rPr>
        <vertAlign val="subscript"/>
        <sz val="11"/>
        <color indexed="8"/>
        <rFont val="Calibri"/>
        <family val="2"/>
      </rPr>
      <t>C3H8</t>
    </r>
    <r>
      <rPr>
        <sz val="11"/>
        <color indexed="8"/>
        <rFont val="Calibri"/>
        <family val="2"/>
      </rPr>
      <t xml:space="preserve"> =</t>
    </r>
  </si>
  <si>
    <r>
      <t>∆Ĥ</t>
    </r>
    <r>
      <rPr>
        <vertAlign val="subscript"/>
        <sz val="11"/>
        <color indexed="8"/>
        <rFont val="Calibri"/>
        <family val="2"/>
      </rPr>
      <t>mix</t>
    </r>
    <r>
      <rPr>
        <sz val="11"/>
        <color theme="1"/>
        <rFont val="Calibri"/>
        <family val="2"/>
        <scheme val="minor"/>
      </rPr>
      <t xml:space="preserve"> (kJ/mol)= </t>
    </r>
  </si>
  <si>
    <t>Q (kJ/h) =</t>
  </si>
  <si>
    <t>n=</t>
  </si>
  <si>
    <t>x</t>
  </si>
  <si>
    <t>y</t>
  </si>
  <si>
    <t>Solution:</t>
  </si>
  <si>
    <t>y=</t>
  </si>
  <si>
    <t>n1</t>
  </si>
  <si>
    <t>n2</t>
  </si>
  <si>
    <t>n3</t>
  </si>
  <si>
    <t>n4</t>
  </si>
  <si>
    <t>mol/min</t>
  </si>
  <si>
    <t>T=</t>
  </si>
  <si>
    <t>MW</t>
  </si>
  <si>
    <r>
      <t>C</t>
    </r>
    <r>
      <rPr>
        <vertAlign val="subscript"/>
        <sz val="10"/>
        <color indexed="8"/>
        <rFont val="Arial"/>
        <family val="2"/>
      </rPr>
      <t>6</t>
    </r>
    <r>
      <rPr>
        <sz val="10"/>
        <color indexed="8"/>
        <rFont val="Arial"/>
        <family val="2"/>
      </rPr>
      <t>H</t>
    </r>
    <r>
      <rPr>
        <vertAlign val="subscript"/>
        <sz val="10"/>
        <color indexed="8"/>
        <rFont val="Arial"/>
        <family val="2"/>
      </rPr>
      <t>6</t>
    </r>
    <r>
      <rPr>
        <sz val="10"/>
        <color indexed="8"/>
        <rFont val="Arial"/>
        <family val="2"/>
      </rPr>
      <t>→C</t>
    </r>
    <r>
      <rPr>
        <vertAlign val="subscript"/>
        <sz val="10"/>
        <color indexed="8"/>
        <rFont val="Arial"/>
        <family val="2"/>
      </rPr>
      <t>2</t>
    </r>
    <r>
      <rPr>
        <sz val="10"/>
        <color indexed="8"/>
        <rFont val="Arial"/>
        <family val="2"/>
      </rPr>
      <t>H</t>
    </r>
    <r>
      <rPr>
        <vertAlign val="subscript"/>
        <sz val="10"/>
        <color indexed="8"/>
        <rFont val="Arial"/>
        <family val="2"/>
      </rPr>
      <t>4</t>
    </r>
    <r>
      <rPr>
        <sz val="10"/>
        <color indexed="8"/>
        <rFont val="Arial"/>
        <family val="2"/>
      </rPr>
      <t xml:space="preserve"> + H</t>
    </r>
    <r>
      <rPr>
        <vertAlign val="subscript"/>
        <sz val="10"/>
        <color indexed="8"/>
        <rFont val="Arial"/>
        <family val="2"/>
      </rPr>
      <t>2</t>
    </r>
  </si>
  <si>
    <r>
      <t>(ΔĤc°)C</t>
    </r>
    <r>
      <rPr>
        <vertAlign val="subscript"/>
        <sz val="10"/>
        <color indexed="8"/>
        <rFont val="Arial"/>
        <family val="2"/>
      </rPr>
      <t>2</t>
    </r>
    <r>
      <rPr>
        <sz val="10"/>
        <color indexed="8"/>
        <rFont val="Arial"/>
        <family val="2"/>
      </rPr>
      <t>H</t>
    </r>
    <r>
      <rPr>
        <vertAlign val="subscript"/>
        <sz val="10"/>
        <color indexed="8"/>
        <rFont val="Arial"/>
        <family val="2"/>
      </rPr>
      <t>6</t>
    </r>
    <r>
      <rPr>
        <sz val="10"/>
        <color indexed="8"/>
        <rFont val="Arial"/>
        <family val="2"/>
      </rPr>
      <t>=</t>
    </r>
  </si>
  <si>
    <r>
      <t>(ΔĤc°)C</t>
    </r>
    <r>
      <rPr>
        <vertAlign val="subscript"/>
        <sz val="10"/>
        <color indexed="8"/>
        <rFont val="Arial"/>
        <family val="2"/>
      </rPr>
      <t>2</t>
    </r>
    <r>
      <rPr>
        <sz val="10"/>
        <color indexed="8"/>
        <rFont val="Arial"/>
        <family val="2"/>
      </rPr>
      <t>H</t>
    </r>
    <r>
      <rPr>
        <vertAlign val="subscript"/>
        <sz val="10"/>
        <color indexed="8"/>
        <rFont val="Arial"/>
        <family val="2"/>
      </rPr>
      <t>4</t>
    </r>
    <r>
      <rPr>
        <sz val="10"/>
        <color indexed="8"/>
        <rFont val="Arial"/>
        <family val="2"/>
      </rPr>
      <t>=</t>
    </r>
  </si>
  <si>
    <r>
      <t>(ΔĤc°)H</t>
    </r>
    <r>
      <rPr>
        <vertAlign val="subscript"/>
        <sz val="10"/>
        <color indexed="8"/>
        <rFont val="Arial"/>
        <family val="2"/>
      </rPr>
      <t>2</t>
    </r>
    <r>
      <rPr>
        <sz val="10"/>
        <color indexed="8"/>
        <rFont val="Arial"/>
        <family val="2"/>
      </rPr>
      <t>=</t>
    </r>
  </si>
  <si>
    <t>ΔĤr°=</t>
  </si>
  <si>
    <t>T</t>
  </si>
  <si>
    <t>V</t>
  </si>
  <si>
    <t>hydrogen</t>
  </si>
  <si>
    <t>oxygen</t>
  </si>
  <si>
    <t>p*=</t>
  </si>
  <si>
    <t>Q=</t>
  </si>
  <si>
    <t>methyl amine</t>
  </si>
  <si>
    <t>n5</t>
  </si>
  <si>
    <t>LHS</t>
  </si>
  <si>
    <t>RHS</t>
  </si>
  <si>
    <t>(LHS-RHS)^2</t>
  </si>
  <si>
    <t>Molecular Weights</t>
  </si>
  <si>
    <r>
      <t>MW of H</t>
    </r>
    <r>
      <rPr>
        <vertAlign val="subscript"/>
        <sz val="11"/>
        <color theme="1"/>
        <rFont val="Calibri"/>
        <family val="2"/>
        <scheme val="minor"/>
      </rPr>
      <t>2</t>
    </r>
    <r>
      <rPr>
        <sz val="11"/>
        <color theme="1"/>
        <rFont val="Calibri"/>
        <family val="2"/>
        <scheme val="minor"/>
      </rPr>
      <t>O</t>
    </r>
  </si>
  <si>
    <t>Specific Gravity</t>
  </si>
  <si>
    <t>Density</t>
  </si>
  <si>
    <t>kg/L</t>
  </si>
  <si>
    <t>g/mL</t>
  </si>
  <si>
    <r>
      <t>lb</t>
    </r>
    <r>
      <rPr>
        <vertAlign val="subscript"/>
        <sz val="11"/>
        <color theme="1"/>
        <rFont val="Calibri"/>
        <family val="2"/>
        <scheme val="minor"/>
      </rPr>
      <t>m</t>
    </r>
    <r>
      <rPr>
        <sz val="11"/>
        <color theme="1"/>
        <rFont val="Calibri"/>
        <family val="2"/>
        <scheme val="minor"/>
      </rPr>
      <t>/ft</t>
    </r>
    <r>
      <rPr>
        <vertAlign val="superscript"/>
        <sz val="11"/>
        <color theme="1"/>
        <rFont val="Calibri"/>
        <family val="2"/>
        <scheme val="minor"/>
      </rPr>
      <t>3</t>
    </r>
  </si>
  <si>
    <r>
      <t>g/cm</t>
    </r>
    <r>
      <rPr>
        <vertAlign val="superscript"/>
        <sz val="11"/>
        <color theme="1"/>
        <rFont val="Calibri"/>
        <family val="2"/>
        <scheme val="minor"/>
      </rPr>
      <t>3</t>
    </r>
  </si>
  <si>
    <r>
      <t>kg/m</t>
    </r>
    <r>
      <rPr>
        <vertAlign val="superscript"/>
        <sz val="11"/>
        <color theme="1"/>
        <rFont val="Calibri"/>
        <family val="2"/>
        <scheme val="minor"/>
      </rPr>
      <t>3</t>
    </r>
  </si>
  <si>
    <r>
      <t>ton/m</t>
    </r>
    <r>
      <rPr>
        <vertAlign val="superscript"/>
        <sz val="11"/>
        <color theme="1"/>
        <rFont val="Calibri"/>
        <family val="2"/>
        <scheme val="minor"/>
      </rPr>
      <t>3</t>
    </r>
  </si>
  <si>
    <r>
      <rPr>
        <b/>
        <sz val="11"/>
        <color theme="1"/>
        <rFont val="Symbol"/>
        <family val="1"/>
        <charset val="2"/>
      </rPr>
      <t>r</t>
    </r>
    <r>
      <rPr>
        <b/>
        <vertAlign val="subscript"/>
        <sz val="11"/>
        <color theme="1"/>
        <rFont val="Calibri"/>
        <family val="2"/>
        <scheme val="minor"/>
      </rPr>
      <t>ref</t>
    </r>
  </si>
  <si>
    <t>Example 2.7-1, p. 24</t>
  </si>
  <si>
    <t>Rotameter calibration data is provided.</t>
  </si>
  <si>
    <t>Flow Rate</t>
  </si>
  <si>
    <t>Rotameter Reading</t>
  </si>
  <si>
    <t>R</t>
  </si>
  <si>
    <t>Vdot(L/min)</t>
  </si>
  <si>
    <t>Model 2</t>
  </si>
  <si>
    <t>Intercept</t>
  </si>
  <si>
    <t>Error1^2</t>
  </si>
  <si>
    <t>Error2^2</t>
  </si>
  <si>
    <t>Model 1</t>
  </si>
  <si>
    <t>Slope</t>
  </si>
  <si>
    <t>Total error:</t>
  </si>
  <si>
    <t>Linear Interpolation</t>
  </si>
  <si>
    <t>Data from Page 23</t>
  </si>
  <si>
    <t>To interpolate the value of y when x=2.5 using the Linterp() function,</t>
  </si>
  <si>
    <t>x=</t>
  </si>
  <si>
    <t>Using the forumula:</t>
  </si>
  <si>
    <t>Using Linterp():</t>
  </si>
  <si>
    <r>
      <t>y</t>
    </r>
    <r>
      <rPr>
        <vertAlign val="subscript"/>
        <sz val="11"/>
        <color theme="1"/>
        <rFont val="Calibri"/>
        <family val="2"/>
        <scheme val="minor"/>
      </rPr>
      <t>2</t>
    </r>
    <r>
      <rPr>
        <sz val="11"/>
        <color theme="1"/>
        <rFont val="Calibri"/>
        <family val="2"/>
        <scheme val="minor"/>
      </rPr>
      <t>=</t>
    </r>
  </si>
  <si>
    <r>
      <t>y</t>
    </r>
    <r>
      <rPr>
        <vertAlign val="subscript"/>
        <sz val="11"/>
        <color theme="1"/>
        <rFont val="Calibri"/>
        <family val="2"/>
        <scheme val="minor"/>
      </rPr>
      <t>1</t>
    </r>
    <r>
      <rPr>
        <sz val="11"/>
        <color theme="1"/>
        <rFont val="Calibri"/>
        <family val="2"/>
        <scheme val="minor"/>
      </rPr>
      <t>=</t>
    </r>
  </si>
  <si>
    <r>
      <t>x</t>
    </r>
    <r>
      <rPr>
        <vertAlign val="subscript"/>
        <sz val="11"/>
        <color theme="1"/>
        <rFont val="Calibri"/>
        <family val="2"/>
        <scheme val="minor"/>
      </rPr>
      <t>1</t>
    </r>
    <r>
      <rPr>
        <sz val="11"/>
        <color theme="1"/>
        <rFont val="Calibri"/>
        <family val="2"/>
        <scheme val="minor"/>
      </rPr>
      <t>=</t>
    </r>
  </si>
  <si>
    <r>
      <t>x</t>
    </r>
    <r>
      <rPr>
        <vertAlign val="subscript"/>
        <sz val="11"/>
        <color theme="1"/>
        <rFont val="Calibri"/>
        <family val="2"/>
        <scheme val="minor"/>
      </rPr>
      <t>2</t>
    </r>
    <r>
      <rPr>
        <sz val="11"/>
        <color theme="1"/>
        <rFont val="Calibri"/>
        <family val="2"/>
        <scheme val="minor"/>
      </rPr>
      <t>=</t>
    </r>
  </si>
  <si>
    <t>Regression, pp. 24-30 and pp. 607-610</t>
  </si>
  <si>
    <t>Example 5.1-1, p. 191</t>
  </si>
  <si>
    <t>Using Eq 5.1-1</t>
  </si>
  <si>
    <t>Using Eq 5.1-2</t>
  </si>
  <si>
    <r>
      <t>1/</t>
    </r>
    <r>
      <rPr>
        <sz val="11"/>
        <color theme="1"/>
        <rFont val="Symbol"/>
        <family val="1"/>
        <charset val="2"/>
      </rPr>
      <t>r</t>
    </r>
    <r>
      <rPr>
        <vertAlign val="subscript"/>
        <sz val="11"/>
        <color theme="1"/>
        <rFont val="Calibri"/>
        <family val="2"/>
        <scheme val="minor"/>
      </rPr>
      <t>bar</t>
    </r>
  </si>
  <si>
    <r>
      <rPr>
        <sz val="11"/>
        <color theme="1"/>
        <rFont val="Symbol"/>
        <family val="1"/>
        <charset val="2"/>
      </rPr>
      <t>r</t>
    </r>
    <r>
      <rPr>
        <vertAlign val="subscript"/>
        <sz val="11"/>
        <color theme="1"/>
        <rFont val="Calibri"/>
        <family val="2"/>
        <scheme val="minor"/>
      </rPr>
      <t>bar</t>
    </r>
    <r>
      <rPr>
        <sz val="11"/>
        <color theme="1"/>
        <rFont val="Calibri"/>
        <family val="2"/>
        <scheme val="minor"/>
      </rPr>
      <t>=</t>
    </r>
  </si>
  <si>
    <r>
      <t>x</t>
    </r>
    <r>
      <rPr>
        <vertAlign val="subscript"/>
        <sz val="11"/>
        <color theme="1"/>
        <rFont val="Calibri"/>
        <family val="2"/>
        <scheme val="minor"/>
      </rPr>
      <t>H2SO4</t>
    </r>
    <r>
      <rPr>
        <sz val="11"/>
        <color theme="1"/>
        <rFont val="Calibri"/>
        <family val="2"/>
        <scheme val="minor"/>
      </rPr>
      <t>=</t>
    </r>
  </si>
  <si>
    <r>
      <t>SG(H</t>
    </r>
    <r>
      <rPr>
        <vertAlign val="subscript"/>
        <sz val="11"/>
        <color theme="1"/>
        <rFont val="Calibri"/>
        <family val="2"/>
        <scheme val="minor"/>
      </rPr>
      <t>2</t>
    </r>
    <r>
      <rPr>
        <sz val="11"/>
        <color theme="1"/>
        <rFont val="Calibri"/>
        <family val="2"/>
        <scheme val="minor"/>
      </rPr>
      <t>O)=</t>
    </r>
  </si>
  <si>
    <r>
      <t>SG(H</t>
    </r>
    <r>
      <rPr>
        <vertAlign val="subscript"/>
        <sz val="11"/>
        <color theme="1"/>
        <rFont val="Calibri"/>
        <family val="2"/>
        <scheme val="minor"/>
      </rPr>
      <t>2</t>
    </r>
    <r>
      <rPr>
        <sz val="11"/>
        <color theme="1"/>
        <rFont val="Calibri"/>
        <family val="2"/>
        <scheme val="minor"/>
      </rPr>
      <t>SO</t>
    </r>
    <r>
      <rPr>
        <vertAlign val="subscript"/>
        <sz val="11"/>
        <color theme="1"/>
        <rFont val="Calibri"/>
        <family val="2"/>
        <scheme val="minor"/>
      </rPr>
      <t>4</t>
    </r>
    <r>
      <rPr>
        <sz val="11"/>
        <color theme="1"/>
        <rFont val="Calibri"/>
        <family val="2"/>
        <scheme val="minor"/>
      </rPr>
      <t>)=</t>
    </r>
  </si>
  <si>
    <r>
      <rPr>
        <sz val="11"/>
        <color theme="1"/>
        <rFont val="Symbol"/>
        <family val="1"/>
        <charset val="2"/>
      </rPr>
      <t>r</t>
    </r>
    <r>
      <rPr>
        <vertAlign val="subscript"/>
        <sz val="11"/>
        <color theme="1"/>
        <rFont val="Calibri"/>
        <family val="2"/>
        <scheme val="minor"/>
      </rPr>
      <t>ref</t>
    </r>
    <r>
      <rPr>
        <sz val="11"/>
        <color theme="1"/>
        <rFont val="Calibri"/>
        <family val="2"/>
        <scheme val="minor"/>
      </rPr>
      <t>=</t>
    </r>
  </si>
  <si>
    <t>Example 5.3-1, p. 202</t>
  </si>
  <si>
    <t>Vhat</t>
  </si>
  <si>
    <t>n</t>
  </si>
  <si>
    <t>L</t>
  </si>
  <si>
    <t>mol</t>
  </si>
  <si>
    <t>L/mol</t>
  </si>
  <si>
    <t>Tc</t>
  </si>
  <si>
    <t>Pc</t>
  </si>
  <si>
    <r>
      <t>w</t>
    </r>
    <r>
      <rPr>
        <b/>
        <vertAlign val="subscript"/>
        <sz val="11"/>
        <color theme="1"/>
        <rFont val="Calibri"/>
        <family val="2"/>
        <scheme val="minor"/>
      </rPr>
      <t>N2</t>
    </r>
  </si>
  <si>
    <t>Tr</t>
  </si>
  <si>
    <r>
      <t>f(T</t>
    </r>
    <r>
      <rPr>
        <vertAlign val="subscript"/>
        <sz val="11"/>
        <color theme="1"/>
        <rFont val="Calibri"/>
        <family val="2"/>
        <scheme val="minor"/>
      </rPr>
      <t>bp</t>
    </r>
    <r>
      <rPr>
        <sz val="11"/>
        <color theme="1"/>
        <rFont val="Calibri"/>
        <family val="2"/>
        <scheme val="minor"/>
      </rPr>
      <t>)=</t>
    </r>
  </si>
  <si>
    <r>
      <t>y</t>
    </r>
    <r>
      <rPr>
        <vertAlign val="subscript"/>
        <sz val="11"/>
        <color theme="1"/>
        <rFont val="Calibri"/>
        <family val="2"/>
        <scheme val="minor"/>
      </rPr>
      <t>benzene</t>
    </r>
    <r>
      <rPr>
        <sz val="11"/>
        <color theme="1"/>
        <rFont val="Calibri"/>
        <family val="2"/>
        <scheme val="minor"/>
      </rPr>
      <t>=</t>
    </r>
  </si>
  <si>
    <r>
      <t>y</t>
    </r>
    <r>
      <rPr>
        <vertAlign val="subscript"/>
        <sz val="11"/>
        <color theme="1"/>
        <rFont val="Calibri"/>
        <family val="2"/>
        <scheme val="minor"/>
      </rPr>
      <t>toluene</t>
    </r>
    <r>
      <rPr>
        <sz val="11"/>
        <color theme="1"/>
        <rFont val="Calibri"/>
        <family val="2"/>
        <scheme val="minor"/>
      </rPr>
      <t>=</t>
    </r>
  </si>
  <si>
    <t>Example 6.3-2, p. 251</t>
  </si>
  <si>
    <t>mm Hg</t>
  </si>
  <si>
    <r>
      <t>y</t>
    </r>
    <r>
      <rPr>
        <vertAlign val="subscript"/>
        <sz val="11"/>
        <color theme="1"/>
        <rFont val="Calibri"/>
        <family val="2"/>
        <scheme val="minor"/>
      </rPr>
      <t>H2O</t>
    </r>
    <r>
      <rPr>
        <sz val="11"/>
        <color theme="1"/>
        <rFont val="Calibri"/>
        <family val="2"/>
        <scheme val="minor"/>
      </rPr>
      <t>=</t>
    </r>
  </si>
  <si>
    <r>
      <t>p</t>
    </r>
    <r>
      <rPr>
        <vertAlign val="subscript"/>
        <sz val="11"/>
        <color theme="1"/>
        <rFont val="Calibri"/>
        <family val="2"/>
        <scheme val="minor"/>
      </rPr>
      <t>H2O</t>
    </r>
    <r>
      <rPr>
        <sz val="11"/>
        <color theme="1"/>
        <rFont val="Calibri"/>
        <family val="2"/>
        <scheme val="minor"/>
      </rPr>
      <t>=y</t>
    </r>
    <r>
      <rPr>
        <vertAlign val="subscript"/>
        <sz val="11"/>
        <color theme="1"/>
        <rFont val="Calibri"/>
        <family val="2"/>
        <scheme val="minor"/>
      </rPr>
      <t>H2O</t>
    </r>
    <r>
      <rPr>
        <sz val="11"/>
        <color theme="1"/>
        <rFont val="Calibri"/>
        <family val="2"/>
        <scheme val="minor"/>
      </rPr>
      <t>P=</t>
    </r>
  </si>
  <si>
    <r>
      <t>p</t>
    </r>
    <r>
      <rPr>
        <vertAlign val="subscript"/>
        <sz val="11"/>
        <color theme="1"/>
        <rFont val="Calibri"/>
        <family val="2"/>
        <scheme val="minor"/>
      </rPr>
      <t>H2O</t>
    </r>
    <r>
      <rPr>
        <sz val="11"/>
        <color theme="1"/>
        <rFont val="Calibri"/>
        <family val="2"/>
        <scheme val="minor"/>
      </rPr>
      <t>=p</t>
    </r>
    <r>
      <rPr>
        <vertAlign val="superscript"/>
        <sz val="11"/>
        <color theme="1"/>
        <rFont val="Calibri"/>
        <family val="2"/>
        <scheme val="minor"/>
      </rPr>
      <t>*</t>
    </r>
    <r>
      <rPr>
        <vertAlign val="subscript"/>
        <sz val="11"/>
        <color theme="1"/>
        <rFont val="Calibri"/>
        <family val="2"/>
        <scheme val="minor"/>
      </rPr>
      <t>H2O</t>
    </r>
    <r>
      <rPr>
        <sz val="11"/>
        <color theme="1"/>
        <rFont val="Calibri"/>
        <family val="2"/>
        <scheme val="minor"/>
      </rPr>
      <t>(T</t>
    </r>
    <r>
      <rPr>
        <vertAlign val="subscript"/>
        <sz val="11"/>
        <color theme="1"/>
        <rFont val="Calibri"/>
        <family val="2"/>
        <scheme val="minor"/>
      </rPr>
      <t>dp</t>
    </r>
    <r>
      <rPr>
        <sz val="11"/>
        <color theme="1"/>
        <rFont val="Calibri"/>
        <family val="2"/>
        <scheme val="minor"/>
      </rPr>
      <t>), T</t>
    </r>
    <r>
      <rPr>
        <vertAlign val="subscript"/>
        <sz val="11"/>
        <color theme="1"/>
        <rFont val="Calibri"/>
        <family val="2"/>
        <scheme val="minor"/>
      </rPr>
      <t>dp</t>
    </r>
    <r>
      <rPr>
        <sz val="11"/>
        <color theme="1"/>
        <rFont val="Calibri"/>
        <family val="2"/>
        <scheme val="minor"/>
      </rPr>
      <t>=</t>
    </r>
  </si>
  <si>
    <t>The following examples demonstrate how the functions may be used to obtain values from the steam tables.</t>
  </si>
  <si>
    <t>Determine vapor pressure, specific internal energy, and specific enthalpy of saturated steam at 133.5 °C.</t>
  </si>
  <si>
    <t>From Table B.5 (extrapolated)</t>
  </si>
  <si>
    <t>From Table B.6</t>
  </si>
  <si>
    <t>Vhat=</t>
  </si>
  <si>
    <t>bar</t>
  </si>
  <si>
    <t>kJ/kg</t>
  </si>
  <si>
    <r>
      <t>m</t>
    </r>
    <r>
      <rPr>
        <vertAlign val="superscript"/>
        <sz val="11"/>
        <color theme="1"/>
        <rFont val="Calibri"/>
        <family val="2"/>
        <scheme val="minor"/>
      </rPr>
      <t>3</t>
    </r>
    <r>
      <rPr>
        <sz val="11"/>
        <color theme="1"/>
        <rFont val="Calibri"/>
        <family val="2"/>
        <scheme val="minor"/>
      </rPr>
      <t>/kg</t>
    </r>
  </si>
  <si>
    <t>Uhat=</t>
  </si>
  <si>
    <t>Hhat=</t>
  </si>
  <si>
    <t>we can use SteamSH to calculate the desired quantities:</t>
  </si>
  <si>
    <t>Tdp=</t>
  </si>
  <si>
    <t>The dew point at this pressure is more readily determined from the saturated steam table.</t>
  </si>
  <si>
    <t>The remainder of the examples here only demonstrate accessing steam table values needed for the problem solution.</t>
  </si>
  <si>
    <t>Hhat in=</t>
  </si>
  <si>
    <t>Hhat out=</t>
  </si>
  <si>
    <t>Hhat 1=</t>
  </si>
  <si>
    <t>Assume saturated</t>
  </si>
  <si>
    <t>Liquid feed 1</t>
  </si>
  <si>
    <t>Liquid feed 2</t>
  </si>
  <si>
    <t>Hhat 2=</t>
  </si>
  <si>
    <t>Vapor product</t>
  </si>
  <si>
    <t>Saturated vapor</t>
  </si>
  <si>
    <t>Turbine discharge</t>
  </si>
  <si>
    <t>saturated, 1 atm</t>
  </si>
  <si>
    <t>Feed steam</t>
  </si>
  <si>
    <t>Product</t>
  </si>
  <si>
    <t>Hhat 3=</t>
  </si>
  <si>
    <t>Concluding that the given point is outside the closed region is far easier examining the table in print. Once that is done,</t>
  </si>
  <si>
    <t>T1=</t>
  </si>
  <si>
    <t>T2=</t>
  </si>
  <si>
    <t>compound</t>
  </si>
  <si>
    <t>nitrogen</t>
  </si>
  <si>
    <t>deltaH=</t>
  </si>
  <si>
    <t>kJ/min</t>
  </si>
  <si>
    <t>compound:</t>
  </si>
  <si>
    <t>methanol</t>
  </si>
  <si>
    <t>Tc=</t>
  </si>
  <si>
    <t>Tbp=</t>
  </si>
  <si>
    <t>Estimating heat of vaporization using Trouton's Rule</t>
  </si>
  <si>
    <r>
      <t>∆Ĥ</t>
    </r>
    <r>
      <rPr>
        <i/>
        <vertAlign val="subscript"/>
        <sz val="11"/>
        <color theme="1"/>
        <rFont val="Calibri"/>
        <family val="2"/>
      </rPr>
      <t>v</t>
    </r>
    <r>
      <rPr>
        <sz val="11"/>
        <color indexed="8"/>
        <rFont val="Calibri"/>
        <family val="2"/>
      </rPr>
      <t xml:space="preserve"> =</t>
    </r>
  </si>
  <si>
    <t>Compare with literature value</t>
  </si>
  <si>
    <r>
      <rPr>
        <b/>
        <sz val="11"/>
        <color theme="1"/>
        <rFont val="Calibri"/>
        <family val="2"/>
        <scheme val="minor"/>
      </rPr>
      <t>Example 8.4-3</t>
    </r>
    <r>
      <rPr>
        <sz val="11"/>
        <color theme="1"/>
        <rFont val="Calibri"/>
        <family val="2"/>
        <scheme val="minor"/>
      </rPr>
      <t>, p. 382</t>
    </r>
  </si>
  <si>
    <r>
      <t>Example 8.3-4,</t>
    </r>
    <r>
      <rPr>
        <sz val="10"/>
        <rFont val="Arial"/>
        <family val="2"/>
      </rPr>
      <t xml:space="preserve">  page 373</t>
    </r>
  </si>
  <si>
    <r>
      <rPr>
        <b/>
        <sz val="11"/>
        <color theme="1"/>
        <rFont val="Calibri"/>
        <family val="2"/>
        <scheme val="minor"/>
      </rPr>
      <t>Example 8.3-2</t>
    </r>
    <r>
      <rPr>
        <sz val="11"/>
        <color theme="1"/>
        <rFont val="Calibri"/>
        <family val="2"/>
        <scheme val="minor"/>
      </rPr>
      <t>, p. 369</t>
    </r>
  </si>
  <si>
    <r>
      <rPr>
        <b/>
        <sz val="11"/>
        <color theme="1"/>
        <rFont val="Calibri"/>
        <family val="2"/>
        <scheme val="minor"/>
      </rPr>
      <t>Example 8.5-1</t>
    </r>
    <r>
      <rPr>
        <sz val="11"/>
        <color theme="1"/>
        <rFont val="Calibri"/>
        <family val="2"/>
        <scheme val="minor"/>
      </rPr>
      <t>, p. 397</t>
    </r>
  </si>
  <si>
    <t>Hhat1=</t>
  </si>
  <si>
    <t>For the product solution</t>
  </si>
  <si>
    <t>r=</t>
  </si>
  <si>
    <t>deltaHhatA=</t>
  </si>
  <si>
    <r>
      <t>(ΔĤr°)</t>
    </r>
    <r>
      <rPr>
        <sz val="10"/>
        <color indexed="8"/>
        <rFont val="Arial"/>
        <family val="2"/>
      </rPr>
      <t>=</t>
    </r>
  </si>
  <si>
    <t>We can recalculate the heat of reaction in part 1 using the heat of combustion:</t>
  </si>
  <si>
    <t>For the reaction</t>
  </si>
  <si>
    <t>C5H12(l)+8O2(g)--&gt; 5 CO2(g) + 6 H2O(l)</t>
  </si>
  <si>
    <r>
      <t>(ΔĤ</t>
    </r>
    <r>
      <rPr>
        <vertAlign val="subscript"/>
        <sz val="10"/>
        <color indexed="8"/>
        <rFont val="Arial"/>
        <family val="2"/>
      </rPr>
      <t>f</t>
    </r>
    <r>
      <rPr>
        <sz val="10"/>
        <color indexed="8"/>
        <rFont val="Arial"/>
        <family val="2"/>
      </rPr>
      <t>°)</t>
    </r>
    <r>
      <rPr>
        <vertAlign val="subscript"/>
        <sz val="10"/>
        <color indexed="8"/>
        <rFont val="Arial"/>
        <family val="2"/>
      </rPr>
      <t>C5H12(l)</t>
    </r>
    <r>
      <rPr>
        <sz val="10"/>
        <color indexed="8"/>
        <rFont val="Arial"/>
        <family val="2"/>
      </rPr>
      <t>=</t>
    </r>
  </si>
  <si>
    <r>
      <t>(ΔĤ</t>
    </r>
    <r>
      <rPr>
        <vertAlign val="subscript"/>
        <sz val="10"/>
        <color indexed="8"/>
        <rFont val="Arial"/>
        <family val="2"/>
      </rPr>
      <t>f</t>
    </r>
    <r>
      <rPr>
        <sz val="10"/>
        <color indexed="8"/>
        <rFont val="Arial"/>
        <family val="2"/>
      </rPr>
      <t>°)</t>
    </r>
    <r>
      <rPr>
        <vertAlign val="subscript"/>
        <sz val="10"/>
        <color indexed="8"/>
        <rFont val="Arial"/>
        <family val="2"/>
      </rPr>
      <t>O2(g)</t>
    </r>
    <r>
      <rPr>
        <sz val="10"/>
        <color indexed="8"/>
        <rFont val="Arial"/>
        <family val="2"/>
      </rPr>
      <t>=</t>
    </r>
  </si>
  <si>
    <r>
      <t>(ΔĤ</t>
    </r>
    <r>
      <rPr>
        <vertAlign val="subscript"/>
        <sz val="10"/>
        <color indexed="8"/>
        <rFont val="Arial"/>
        <family val="2"/>
      </rPr>
      <t>f</t>
    </r>
    <r>
      <rPr>
        <sz val="10"/>
        <color indexed="8"/>
        <rFont val="Arial"/>
        <family val="2"/>
      </rPr>
      <t>°)</t>
    </r>
    <r>
      <rPr>
        <vertAlign val="subscript"/>
        <sz val="10"/>
        <color indexed="8"/>
        <rFont val="Arial"/>
        <family val="2"/>
      </rPr>
      <t>CO2(g)</t>
    </r>
    <r>
      <rPr>
        <sz val="10"/>
        <color indexed="8"/>
        <rFont val="Arial"/>
        <family val="2"/>
      </rPr>
      <t>=</t>
    </r>
  </si>
  <si>
    <r>
      <t>(ΔĤ</t>
    </r>
    <r>
      <rPr>
        <vertAlign val="subscript"/>
        <sz val="10"/>
        <color indexed="8"/>
        <rFont val="Arial"/>
        <family val="2"/>
      </rPr>
      <t>f</t>
    </r>
    <r>
      <rPr>
        <sz val="10"/>
        <color indexed="8"/>
        <rFont val="Arial"/>
        <family val="2"/>
      </rPr>
      <t>°)</t>
    </r>
    <r>
      <rPr>
        <vertAlign val="subscript"/>
        <sz val="10"/>
        <color indexed="8"/>
        <rFont val="Arial"/>
        <family val="2"/>
      </rPr>
      <t>H2O(l)</t>
    </r>
    <r>
      <rPr>
        <sz val="10"/>
        <color indexed="8"/>
        <rFont val="Arial"/>
        <family val="2"/>
      </rPr>
      <t>=</t>
    </r>
  </si>
  <si>
    <r>
      <t>ΔĤ</t>
    </r>
    <r>
      <rPr>
        <vertAlign val="subscript"/>
        <sz val="10"/>
        <color indexed="8"/>
        <rFont val="Arial"/>
        <family val="2"/>
      </rPr>
      <t>r</t>
    </r>
    <r>
      <rPr>
        <sz val="10"/>
        <color indexed="8"/>
        <rFont val="Arial"/>
        <family val="2"/>
      </rPr>
      <t>°=</t>
    </r>
  </si>
  <si>
    <r>
      <t>n</t>
    </r>
    <r>
      <rPr>
        <vertAlign val="subscript"/>
        <sz val="11"/>
        <color theme="1"/>
        <rFont val="Arial"/>
        <family val="2"/>
      </rPr>
      <t>i</t>
    </r>
  </si>
  <si>
    <r>
      <t xml:space="preserve">Example 9.4-1, </t>
    </r>
    <r>
      <rPr>
        <sz val="10"/>
        <color indexed="8"/>
        <rFont val="Arial"/>
        <family val="2"/>
      </rPr>
      <t>p. 449</t>
    </r>
  </si>
  <si>
    <r>
      <rPr>
        <b/>
        <sz val="11"/>
        <color theme="1"/>
        <rFont val="Calibri"/>
        <family val="2"/>
        <scheme val="minor"/>
      </rPr>
      <t>Example 9.3-1</t>
    </r>
    <r>
      <rPr>
        <sz val="11"/>
        <color theme="1"/>
        <rFont val="Calibri"/>
        <family val="2"/>
        <scheme val="minor"/>
      </rPr>
      <t>, p. 447</t>
    </r>
  </si>
  <si>
    <r>
      <rPr>
        <b/>
        <sz val="11"/>
        <color theme="1"/>
        <rFont val="Calibri"/>
        <family val="2"/>
        <scheme val="minor"/>
      </rPr>
      <t>Example 9.1-1</t>
    </r>
    <r>
      <rPr>
        <sz val="11"/>
        <color theme="1"/>
        <rFont val="Calibri"/>
        <family val="2"/>
        <scheme val="minor"/>
      </rPr>
      <t>, p. 443</t>
    </r>
  </si>
  <si>
    <r>
      <rPr>
        <b/>
        <sz val="11"/>
        <color theme="1"/>
        <rFont val="Calibri"/>
        <family val="2"/>
        <scheme val="minor"/>
      </rPr>
      <t>Example 7.5-2</t>
    </r>
    <r>
      <rPr>
        <sz val="11"/>
        <color theme="1"/>
        <rFont val="Calibri"/>
        <family val="2"/>
        <scheme val="minor"/>
      </rPr>
      <t>, p.328</t>
    </r>
  </si>
  <si>
    <r>
      <rPr>
        <b/>
        <sz val="11"/>
        <color theme="1"/>
        <rFont val="Calibri"/>
        <family val="2"/>
        <scheme val="minor"/>
      </rPr>
      <t>Example 7.5-3</t>
    </r>
    <r>
      <rPr>
        <sz val="11"/>
        <color theme="1"/>
        <rFont val="Calibri"/>
        <family val="2"/>
        <scheme val="minor"/>
      </rPr>
      <t>, p. 329</t>
    </r>
  </si>
  <si>
    <r>
      <rPr>
        <b/>
        <sz val="11"/>
        <color theme="1"/>
        <rFont val="Calibri"/>
        <family val="2"/>
        <scheme val="minor"/>
      </rPr>
      <t>Example 7.6-1</t>
    </r>
    <r>
      <rPr>
        <sz val="11"/>
        <color theme="1"/>
        <rFont val="Calibri"/>
        <family val="2"/>
        <scheme val="minor"/>
      </rPr>
      <t>, p. 330</t>
    </r>
  </si>
  <si>
    <r>
      <rPr>
        <b/>
        <sz val="11"/>
        <color theme="1"/>
        <rFont val="Calibri"/>
        <family val="2"/>
        <scheme val="minor"/>
      </rPr>
      <t>Example 7.6-3</t>
    </r>
    <r>
      <rPr>
        <sz val="11"/>
        <color theme="1"/>
        <rFont val="Calibri"/>
        <family val="2"/>
        <scheme val="minor"/>
      </rPr>
      <t>, p. 332</t>
    </r>
  </si>
  <si>
    <t>Calculate the standard heat of reaction for the dehydrogenation of ethane:</t>
  </si>
  <si>
    <t>APEx functions can be used in two parts of this problem.</t>
  </si>
  <si>
    <t>Solution to Example 4.5-1</t>
  </si>
  <si>
    <t>n1+n5=n2</t>
  </si>
  <si>
    <t>0.04*n1+0.017*n5=0.023*n2</t>
  </si>
  <si>
    <t>n2=n3+n4</t>
  </si>
  <si>
    <t>0.023*n2=n3+0.017*n4</t>
  </si>
  <si>
    <t>n4=n5+100</t>
  </si>
  <si>
    <t>Variable</t>
  </si>
  <si>
    <t>Value</t>
  </si>
  <si>
    <t>Equation</t>
  </si>
  <si>
    <t>SUM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</si>
</sst>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E+00"/>
  </numFmts>
  <fonts count="26" x14ac:knownFonts="1">
    <font>
      <sz val="11"/>
      <color theme="1"/>
      <name val="Calibri"/>
      <family val="2"/>
      <scheme val="minor"/>
    </font>
    <font>
      <b/>
      <sz val="10"/>
      <name val="Arial"/>
      <family val="2"/>
    </font>
    <font>
      <sz val="10"/>
      <name val="Arial"/>
      <family val="2"/>
    </font>
    <font>
      <b/>
      <sz val="11"/>
      <color theme="1"/>
      <name val="Calibri"/>
      <family val="2"/>
      <scheme val="minor"/>
    </font>
    <font>
      <sz val="10"/>
      <name val="Calibri"/>
      <family val="2"/>
    </font>
    <font>
      <vertAlign val="subscript"/>
      <sz val="11"/>
      <color theme="1"/>
      <name val="Calibri"/>
      <family val="2"/>
      <scheme val="minor"/>
    </font>
    <font>
      <sz val="11"/>
      <color theme="1"/>
      <name val="Calibri"/>
      <family val="2"/>
    </font>
    <font>
      <sz val="11"/>
      <name val="Calibri"/>
      <family val="2"/>
      <scheme val="minor"/>
    </font>
    <font>
      <sz val="10"/>
      <name val="Arial"/>
      <family val="2"/>
    </font>
    <font>
      <vertAlign val="subscript"/>
      <sz val="11"/>
      <color indexed="8"/>
      <name val="Calibri"/>
      <family val="2"/>
    </font>
    <font>
      <sz val="11"/>
      <color indexed="8"/>
      <name val="Calibri"/>
      <family val="2"/>
    </font>
    <font>
      <b/>
      <sz val="11"/>
      <color indexed="8"/>
      <name val="Calibri"/>
      <family val="2"/>
    </font>
    <font>
      <vertAlign val="superscript"/>
      <sz val="11"/>
      <color theme="1"/>
      <name val="Calibri"/>
      <family val="2"/>
      <scheme val="minor"/>
    </font>
    <font>
      <b/>
      <sz val="10"/>
      <color indexed="8"/>
      <name val="Arial"/>
      <family val="2"/>
    </font>
    <font>
      <sz val="10"/>
      <color indexed="8"/>
      <name val="Arial"/>
      <family val="2"/>
    </font>
    <font>
      <vertAlign val="subscript"/>
      <sz val="10"/>
      <color indexed="8"/>
      <name val="Arial"/>
      <family val="2"/>
    </font>
    <font>
      <sz val="11"/>
      <color rgb="FF9C6500"/>
      <name val="Calibri"/>
      <family val="2"/>
      <scheme val="minor"/>
    </font>
    <font>
      <b/>
      <sz val="9"/>
      <color indexed="81"/>
      <name val="Tahoma"/>
      <family val="2"/>
    </font>
    <font>
      <sz val="11"/>
      <color indexed="8"/>
      <name val="Arial"/>
      <family val="2"/>
    </font>
    <font>
      <b/>
      <sz val="11"/>
      <color indexed="8"/>
      <name val="Calibri"/>
      <family val="2"/>
    </font>
    <font>
      <sz val="11"/>
      <color rgb="FF006100"/>
      <name val="Calibri"/>
      <family val="2"/>
      <scheme val="minor"/>
    </font>
    <font>
      <b/>
      <sz val="11"/>
      <color theme="1"/>
      <name val="Symbol"/>
      <family val="1"/>
      <charset val="2"/>
    </font>
    <font>
      <b/>
      <vertAlign val="subscript"/>
      <sz val="11"/>
      <color theme="1"/>
      <name val="Calibri"/>
      <family val="2"/>
      <scheme val="minor"/>
    </font>
    <font>
      <sz val="11"/>
      <color theme="1"/>
      <name val="Symbol"/>
      <family val="1"/>
      <charset val="2"/>
    </font>
    <font>
      <i/>
      <vertAlign val="subscript"/>
      <sz val="11"/>
      <color theme="1"/>
      <name val="Calibri"/>
      <family val="2"/>
    </font>
    <font>
      <vertAlign val="subscript"/>
      <sz val="11"/>
      <color theme="1"/>
      <name val="Arial"/>
      <family val="2"/>
    </font>
  </fonts>
  <fills count="5">
    <fill>
      <patternFill patternType="none"/>
    </fill>
    <fill>
      <patternFill patternType="gray125"/>
    </fill>
    <fill>
      <patternFill patternType="solid">
        <fgColor rgb="FFFFEB9C"/>
      </patternFill>
    </fill>
    <fill>
      <patternFill patternType="solid">
        <fgColor rgb="FFC6EFCE"/>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2" fillId="0" borderId="0"/>
    <xf numFmtId="0" fontId="2" fillId="0" borderId="0"/>
    <xf numFmtId="0" fontId="8" fillId="0" borderId="0"/>
    <xf numFmtId="0" fontId="16" fillId="2" borderId="0" applyNumberFormat="0" applyBorder="0" applyAlignment="0" applyProtection="0"/>
    <xf numFmtId="0" fontId="20" fillId="3" borderId="0" applyNumberFormat="0" applyBorder="0" applyAlignment="0" applyProtection="0"/>
  </cellStyleXfs>
  <cellXfs count="99">
    <xf numFmtId="0" fontId="0" fillId="0" borderId="0" xfId="0"/>
    <xf numFmtId="0" fontId="2" fillId="0" borderId="0" xfId="1"/>
    <xf numFmtId="0" fontId="0" fillId="0" borderId="0" xfId="0" applyAlignment="1">
      <alignment horizontal="right"/>
    </xf>
    <xf numFmtId="165" fontId="0" fillId="0" borderId="0" xfId="0" applyNumberFormat="1"/>
    <xf numFmtId="2" fontId="0" fillId="0" borderId="0" xfId="0" applyNumberFormat="1"/>
    <xf numFmtId="164" fontId="0" fillId="0" borderId="0" xfId="0" applyNumberFormat="1"/>
    <xf numFmtId="0" fontId="1" fillId="0" borderId="2" xfId="2" applyFont="1" applyFill="1" applyBorder="1"/>
    <xf numFmtId="0" fontId="0" fillId="0" borderId="1" xfId="0" applyBorder="1" applyAlignment="1">
      <alignment horizontal="right"/>
    </xf>
    <xf numFmtId="0" fontId="0" fillId="0" borderId="1" xfId="0" applyBorder="1"/>
    <xf numFmtId="2" fontId="0" fillId="0" borderId="1" xfId="0" applyNumberFormat="1" applyBorder="1"/>
    <xf numFmtId="1" fontId="0" fillId="0" borderId="0" xfId="0" applyNumberFormat="1"/>
    <xf numFmtId="0" fontId="8" fillId="0" borderId="0" xfId="3"/>
    <xf numFmtId="0" fontId="8" fillId="0" borderId="0" xfId="3" applyBorder="1"/>
    <xf numFmtId="0" fontId="1" fillId="0" borderId="0" xfId="3" applyFont="1" applyBorder="1"/>
    <xf numFmtId="0" fontId="1" fillId="0" borderId="0" xfId="3" applyFont="1"/>
    <xf numFmtId="0" fontId="11" fillId="0" borderId="0" xfId="0" applyFont="1"/>
    <xf numFmtId="0" fontId="2" fillId="0" borderId="0" xfId="3" applyFont="1"/>
    <xf numFmtId="0" fontId="8" fillId="0" borderId="0" xfId="3" applyBorder="1" applyAlignment="1">
      <alignment horizontal="right"/>
    </xf>
    <xf numFmtId="0" fontId="8" fillId="0" borderId="0" xfId="3" applyBorder="1" applyAlignment="1">
      <alignment horizontal="left"/>
    </xf>
    <xf numFmtId="0" fontId="8" fillId="0" borderId="0" xfId="3" applyBorder="1" applyAlignment="1">
      <alignment horizontal="center"/>
    </xf>
    <xf numFmtId="0" fontId="1" fillId="0" borderId="0" xfId="3" applyFont="1" applyFill="1" applyBorder="1" applyAlignment="1">
      <alignment horizontal="left"/>
    </xf>
    <xf numFmtId="0" fontId="8" fillId="0" borderId="0" xfId="3" applyFill="1" applyBorder="1" applyAlignment="1">
      <alignment horizontal="left"/>
    </xf>
    <xf numFmtId="0" fontId="8" fillId="0" borderId="0" xfId="3" applyAlignment="1">
      <alignment horizontal="right"/>
    </xf>
    <xf numFmtId="0" fontId="2" fillId="0" borderId="0" xfId="3" applyFont="1" applyBorder="1"/>
    <xf numFmtId="0" fontId="13" fillId="0" borderId="0" xfId="0" applyFont="1"/>
    <xf numFmtId="0" fontId="14" fillId="0" borderId="0" xfId="0" applyFont="1"/>
    <xf numFmtId="0" fontId="14" fillId="0" borderId="0" xfId="0" applyFont="1" applyAlignment="1">
      <alignment horizontal="right"/>
    </xf>
    <xf numFmtId="0" fontId="0" fillId="0" borderId="0" xfId="0" applyFill="1"/>
    <xf numFmtId="0" fontId="2" fillId="0" borderId="0" xfId="1" applyFill="1" applyBorder="1" applyAlignment="1">
      <alignment horizontal="right"/>
    </xf>
    <xf numFmtId="0" fontId="0" fillId="0" borderId="0" xfId="0" applyBorder="1" applyAlignment="1">
      <alignment horizontal="right"/>
    </xf>
    <xf numFmtId="0" fontId="0" fillId="0" borderId="0" xfId="0" applyBorder="1"/>
    <xf numFmtId="0" fontId="2" fillId="0" borderId="0" xfId="1" applyFill="1"/>
    <xf numFmtId="0" fontId="0" fillId="0" borderId="0" xfId="0" applyBorder="1" applyAlignment="1">
      <alignment horizontal="left"/>
    </xf>
    <xf numFmtId="0" fontId="19" fillId="0" borderId="0" xfId="0" applyFont="1"/>
    <xf numFmtId="0" fontId="3" fillId="0" borderId="0" xfId="0" applyFont="1"/>
    <xf numFmtId="0" fontId="11" fillId="0" borderId="0" xfId="0" applyFont="1" applyBorder="1" applyAlignment="1">
      <alignment horizontal="center"/>
    </xf>
    <xf numFmtId="0" fontId="11" fillId="0" borderId="0" xfId="0" applyFont="1" applyBorder="1"/>
    <xf numFmtId="0" fontId="16" fillId="2" borderId="0" xfId="4" applyBorder="1"/>
    <xf numFmtId="0" fontId="20" fillId="3" borderId="0" xfId="5"/>
    <xf numFmtId="0" fontId="16" fillId="2" borderId="0" xfId="4" applyBorder="1" applyAlignment="1"/>
    <xf numFmtId="0" fontId="0" fillId="0" borderId="0" xfId="0" applyBorder="1" applyAlignment="1"/>
    <xf numFmtId="0" fontId="2" fillId="0" borderId="0" xfId="1" applyFill="1" applyBorder="1" applyAlignment="1"/>
    <xf numFmtId="165" fontId="20" fillId="3" borderId="0" xfId="5" applyNumberFormat="1" applyBorder="1"/>
    <xf numFmtId="0" fontId="2" fillId="0" borderId="0" xfId="1" applyFill="1" applyBorder="1" applyAlignment="1">
      <alignment horizontal="left"/>
    </xf>
    <xf numFmtId="0" fontId="20" fillId="3" borderId="0" xfId="5" applyBorder="1" applyAlignment="1"/>
    <xf numFmtId="0" fontId="0" fillId="0" borderId="0" xfId="0" applyAlignment="1">
      <alignment horizontal="center"/>
    </xf>
    <xf numFmtId="0" fontId="0" fillId="4" borderId="0" xfId="0" applyFill="1"/>
    <xf numFmtId="0" fontId="0" fillId="0" borderId="0" xfId="0" applyFill="1" applyAlignment="1">
      <alignment horizontal="right"/>
    </xf>
    <xf numFmtId="0" fontId="16" fillId="0" borderId="0" xfId="4" applyFill="1" applyBorder="1" applyAlignment="1">
      <alignment horizontal="left"/>
    </xf>
    <xf numFmtId="0" fontId="11" fillId="0" borderId="0" xfId="0" applyFont="1" applyFill="1" applyBorder="1" applyAlignment="1">
      <alignment horizontal="center"/>
    </xf>
    <xf numFmtId="0" fontId="11" fillId="0" borderId="0" xfId="0" applyFont="1" applyFill="1" applyBorder="1"/>
    <xf numFmtId="0" fontId="0" fillId="0" borderId="0" xfId="0" applyFill="1" applyBorder="1" applyAlignment="1">
      <alignment horizontal="right"/>
    </xf>
    <xf numFmtId="0" fontId="0" fillId="0" borderId="0" xfId="0" applyFill="1" applyBorder="1"/>
    <xf numFmtId="0" fontId="2" fillId="0" borderId="0" xfId="1" applyFont="1" applyFill="1" applyBorder="1" applyAlignment="1">
      <alignment horizontal="right"/>
    </xf>
    <xf numFmtId="0" fontId="3" fillId="0" borderId="0" xfId="0" applyFont="1" applyFill="1" applyAlignment="1">
      <alignment horizontal="right"/>
    </xf>
    <xf numFmtId="0" fontId="0" fillId="0" borderId="0" xfId="0" applyFill="1" applyAlignment="1">
      <alignment horizontal="left"/>
    </xf>
    <xf numFmtId="0" fontId="3" fillId="0" borderId="0" xfId="0" applyFont="1" applyFill="1"/>
    <xf numFmtId="164" fontId="0" fillId="0" borderId="0" xfId="0" applyNumberFormat="1" applyFill="1" applyAlignment="1">
      <alignment horizontal="right"/>
    </xf>
    <xf numFmtId="0" fontId="6" fillId="0" borderId="0" xfId="0" applyFont="1" applyFill="1" applyAlignment="1">
      <alignment horizontal="left"/>
    </xf>
    <xf numFmtId="0" fontId="16" fillId="0" borderId="0" xfId="4" applyFill="1"/>
    <xf numFmtId="165" fontId="0" fillId="0" borderId="0" xfId="0" applyNumberFormat="1" applyFill="1" applyAlignment="1">
      <alignment horizontal="right"/>
    </xf>
    <xf numFmtId="1" fontId="7" fillId="0" borderId="0" xfId="4" applyNumberFormat="1" applyFont="1" applyFill="1" applyAlignment="1">
      <alignment horizontal="right"/>
    </xf>
    <xf numFmtId="0" fontId="3" fillId="0" borderId="0" xfId="0" applyFont="1" applyFill="1" applyBorder="1"/>
    <xf numFmtId="2" fontId="0" fillId="0" borderId="0" xfId="0" applyNumberFormat="1" applyFill="1" applyBorder="1"/>
    <xf numFmtId="1" fontId="0" fillId="0" borderId="0" xfId="0" applyNumberFormat="1" applyFill="1" applyBorder="1"/>
    <xf numFmtId="0" fontId="16" fillId="0" borderId="0" xfId="4" applyFill="1" applyBorder="1"/>
    <xf numFmtId="2" fontId="16" fillId="0" borderId="0" xfId="4" applyNumberFormat="1" applyFill="1" applyBorder="1"/>
    <xf numFmtId="11" fontId="16" fillId="0" borderId="0" xfId="4" applyNumberFormat="1" applyFill="1" applyBorder="1"/>
    <xf numFmtId="11" fontId="0" fillId="0" borderId="0" xfId="0" applyNumberFormat="1" applyFill="1" applyBorder="1"/>
    <xf numFmtId="167" fontId="0" fillId="0" borderId="0" xfId="0" applyNumberFormat="1" applyFill="1" applyBorder="1"/>
    <xf numFmtId="0" fontId="1" fillId="0" borderId="0" xfId="0" applyFont="1" applyFill="1" applyBorder="1"/>
    <xf numFmtId="165" fontId="16" fillId="0" borderId="0" xfId="4" applyNumberFormat="1" applyFill="1" applyBorder="1"/>
    <xf numFmtId="0" fontId="2" fillId="0" borderId="0" xfId="0" applyFont="1" applyFill="1" applyBorder="1"/>
    <xf numFmtId="0" fontId="1" fillId="0" borderId="0" xfId="0" applyFont="1" applyFill="1" applyBorder="1" applyAlignment="1">
      <alignment horizontal="right"/>
    </xf>
    <xf numFmtId="0" fontId="2" fillId="0" borderId="0" xfId="0" applyFont="1" applyFill="1" applyBorder="1" applyAlignment="1">
      <alignment horizontal="right"/>
    </xf>
    <xf numFmtId="166" fontId="0" fillId="0" borderId="0" xfId="0" applyNumberFormat="1" applyFill="1" applyBorder="1"/>
    <xf numFmtId="0" fontId="4" fillId="0" borderId="0" xfId="0" applyFont="1" applyFill="1" applyBorder="1"/>
    <xf numFmtId="164" fontId="2" fillId="0" borderId="0" xfId="0" applyNumberFormat="1" applyFont="1" applyFill="1" applyBorder="1"/>
    <xf numFmtId="164" fontId="0" fillId="0" borderId="0" xfId="0" applyNumberFormat="1" applyFill="1" applyBorder="1"/>
    <xf numFmtId="0" fontId="0" fillId="0" borderId="0" xfId="0" applyFill="1" applyBorder="1" applyAlignment="1">
      <alignment horizontal="left"/>
    </xf>
    <xf numFmtId="0" fontId="18" fillId="0" borderId="0" xfId="0" applyFont="1" applyFill="1" applyBorder="1" applyAlignment="1">
      <alignment horizontal="right"/>
    </xf>
    <xf numFmtId="0" fontId="0" fillId="0" borderId="1" xfId="0" applyFill="1" applyBorder="1" applyAlignment="1">
      <alignment horizontal="right"/>
    </xf>
    <xf numFmtId="0" fontId="6" fillId="0" borderId="1" xfId="0" applyFont="1" applyFill="1" applyBorder="1" applyAlignment="1">
      <alignment horizontal="right"/>
    </xf>
    <xf numFmtId="164" fontId="0" fillId="0" borderId="0" xfId="0" applyNumberFormat="1" applyFill="1"/>
    <xf numFmtId="164" fontId="0" fillId="0" borderId="1" xfId="0" applyNumberFormat="1" applyFill="1" applyBorder="1"/>
    <xf numFmtId="0" fontId="0" fillId="0" borderId="3" xfId="0" applyFill="1" applyBorder="1" applyAlignment="1">
      <alignment horizontal="right"/>
    </xf>
    <xf numFmtId="1" fontId="0" fillId="0" borderId="4" xfId="0" applyNumberFormat="1" applyFill="1" applyBorder="1"/>
    <xf numFmtId="164" fontId="7" fillId="0" borderId="1" xfId="4" applyNumberFormat="1" applyFont="1" applyFill="1" applyBorder="1"/>
    <xf numFmtId="0" fontId="23" fillId="0" borderId="0" xfId="0" applyFont="1"/>
    <xf numFmtId="0" fontId="7" fillId="0" borderId="0" xfId="4" applyFont="1" applyFill="1" applyBorder="1" applyAlignment="1">
      <alignment horizontal="right"/>
    </xf>
    <xf numFmtId="0" fontId="7" fillId="0" borderId="0" xfId="4" applyFont="1" applyFill="1"/>
    <xf numFmtId="0" fontId="2" fillId="0" borderId="0" xfId="3" applyFont="1" applyBorder="1" applyAlignment="1">
      <alignment horizontal="center"/>
    </xf>
    <xf numFmtId="2" fontId="8" fillId="0" borderId="0" xfId="3" applyNumberFormat="1" applyBorder="1" applyAlignment="1">
      <alignment horizontal="left"/>
    </xf>
    <xf numFmtId="0" fontId="1" fillId="0" borderId="0" xfId="3" applyFont="1" applyBorder="1" applyAlignment="1">
      <alignment horizontal="right"/>
    </xf>
    <xf numFmtId="11" fontId="1" fillId="0" borderId="0" xfId="3" applyNumberFormat="1" applyFont="1" applyBorder="1"/>
    <xf numFmtId="0" fontId="8" fillId="0" borderId="0" xfId="3" applyFill="1" applyBorder="1" applyAlignment="1">
      <alignment horizontal="center"/>
    </xf>
    <xf numFmtId="0" fontId="8" fillId="0" borderId="0" xfId="3" applyFill="1" applyBorder="1"/>
    <xf numFmtId="0" fontId="2" fillId="0" borderId="0" xfId="3" applyFont="1" applyFill="1" applyBorder="1" applyAlignment="1">
      <alignment horizontal="left"/>
    </xf>
    <xf numFmtId="0" fontId="3" fillId="0" borderId="0" xfId="0" applyFont="1" applyAlignment="1">
      <alignment horizontal="center"/>
    </xf>
  </cellXfs>
  <cellStyles count="6">
    <cellStyle name="Good" xfId="5" builtinId="26"/>
    <cellStyle name="Neutral" xfId="4" builtinId="28"/>
    <cellStyle name="Normal" xfId="0" builtinId="0"/>
    <cellStyle name="Normal 2" xfId="1"/>
    <cellStyle name="Normal 3" xfId="2"/>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70116235470565"/>
          <c:y val="5.1400554097404488E-2"/>
          <c:w val="0.8121084864391952"/>
          <c:h val="0.8326195683872849"/>
        </c:manualLayout>
      </c:layout>
      <c:scatterChart>
        <c:scatterStyle val="smoothMarker"/>
        <c:varyColors val="0"/>
        <c:ser>
          <c:idx val="0"/>
          <c:order val="0"/>
          <c:tx>
            <c:v>Calibration Data</c:v>
          </c:tx>
          <c:spPr>
            <a:ln>
              <a:noFill/>
            </a:ln>
          </c:spPr>
          <c:xVal>
            <c:numRef>
              <c:f>Chapter2!$J$26:$J$30</c:f>
              <c:numCache>
                <c:formatCode>General</c:formatCode>
                <c:ptCount val="5"/>
                <c:pt idx="0">
                  <c:v>10</c:v>
                </c:pt>
                <c:pt idx="1">
                  <c:v>30</c:v>
                </c:pt>
                <c:pt idx="2">
                  <c:v>50</c:v>
                </c:pt>
                <c:pt idx="3">
                  <c:v>70</c:v>
                </c:pt>
                <c:pt idx="4">
                  <c:v>90</c:v>
                </c:pt>
              </c:numCache>
            </c:numRef>
          </c:xVal>
          <c:yVal>
            <c:numRef>
              <c:f>Chapter2!$K$26:$K$30</c:f>
              <c:numCache>
                <c:formatCode>0.0</c:formatCode>
                <c:ptCount val="5"/>
                <c:pt idx="0">
                  <c:v>20</c:v>
                </c:pt>
                <c:pt idx="1">
                  <c:v>52.1</c:v>
                </c:pt>
                <c:pt idx="2">
                  <c:v>84.6</c:v>
                </c:pt>
                <c:pt idx="3">
                  <c:v>118.3</c:v>
                </c:pt>
                <c:pt idx="4">
                  <c:v>151</c:v>
                </c:pt>
              </c:numCache>
            </c:numRef>
          </c:yVal>
          <c:smooth val="1"/>
        </c:ser>
        <c:ser>
          <c:idx val="1"/>
          <c:order val="1"/>
          <c:tx>
            <c:v>Model 1</c:v>
          </c:tx>
          <c:marker>
            <c:symbol val="none"/>
          </c:marker>
          <c:xVal>
            <c:numRef>
              <c:f>Chapter2!$J$26:$J$30</c:f>
              <c:numCache>
                <c:formatCode>General</c:formatCode>
                <c:ptCount val="5"/>
                <c:pt idx="0">
                  <c:v>10</c:v>
                </c:pt>
                <c:pt idx="1">
                  <c:v>30</c:v>
                </c:pt>
                <c:pt idx="2">
                  <c:v>50</c:v>
                </c:pt>
                <c:pt idx="3">
                  <c:v>70</c:v>
                </c:pt>
                <c:pt idx="4">
                  <c:v>90</c:v>
                </c:pt>
              </c:numCache>
            </c:numRef>
          </c:xVal>
          <c:yVal>
            <c:numRef>
              <c:f>Chapter2!$L$26:$L$30</c:f>
              <c:numCache>
                <c:formatCode>General</c:formatCode>
                <c:ptCount val="5"/>
                <c:pt idx="0">
                  <c:v>19.560000000000006</c:v>
                </c:pt>
                <c:pt idx="1">
                  <c:v>52.38000000000001</c:v>
                </c:pt>
                <c:pt idx="2">
                  <c:v>85.2</c:v>
                </c:pt>
                <c:pt idx="3">
                  <c:v>118.02000000000001</c:v>
                </c:pt>
                <c:pt idx="4">
                  <c:v>150.84</c:v>
                </c:pt>
              </c:numCache>
            </c:numRef>
          </c:yVal>
          <c:smooth val="1"/>
        </c:ser>
        <c:ser>
          <c:idx val="2"/>
          <c:order val="2"/>
          <c:tx>
            <c:v>Model 2</c:v>
          </c:tx>
          <c:marker>
            <c:symbol val="none"/>
          </c:marker>
          <c:xVal>
            <c:numRef>
              <c:f>Chapter2!$J$26:$J$30</c:f>
              <c:numCache>
                <c:formatCode>General</c:formatCode>
                <c:ptCount val="5"/>
                <c:pt idx="0">
                  <c:v>10</c:v>
                </c:pt>
                <c:pt idx="1">
                  <c:v>30</c:v>
                </c:pt>
                <c:pt idx="2">
                  <c:v>50</c:v>
                </c:pt>
                <c:pt idx="3">
                  <c:v>70</c:v>
                </c:pt>
                <c:pt idx="4">
                  <c:v>90</c:v>
                </c:pt>
              </c:numCache>
            </c:numRef>
          </c:xVal>
          <c:yVal>
            <c:numRef>
              <c:f>Chapter2!$M$26:$M$30</c:f>
              <c:numCache>
                <c:formatCode>General</c:formatCode>
                <c:ptCount val="5"/>
                <c:pt idx="0">
                  <c:v>9.5</c:v>
                </c:pt>
                <c:pt idx="1">
                  <c:v>28.5</c:v>
                </c:pt>
                <c:pt idx="2">
                  <c:v>47.5</c:v>
                </c:pt>
                <c:pt idx="3">
                  <c:v>66.5</c:v>
                </c:pt>
                <c:pt idx="4">
                  <c:v>85.5</c:v>
                </c:pt>
              </c:numCache>
            </c:numRef>
          </c:yVal>
          <c:smooth val="1"/>
        </c:ser>
        <c:dLbls>
          <c:showLegendKey val="0"/>
          <c:showVal val="0"/>
          <c:showCatName val="0"/>
          <c:showSerName val="0"/>
          <c:showPercent val="0"/>
          <c:showBubbleSize val="0"/>
        </c:dLbls>
        <c:axId val="765017096"/>
        <c:axId val="765017488"/>
      </c:scatterChart>
      <c:valAx>
        <c:axId val="765017096"/>
        <c:scaling>
          <c:orientation val="minMax"/>
        </c:scaling>
        <c:delete val="0"/>
        <c:axPos val="b"/>
        <c:title>
          <c:tx>
            <c:rich>
              <a:bodyPr/>
              <a:lstStyle/>
              <a:p>
                <a:pPr>
                  <a:defRPr/>
                </a:pPr>
                <a:r>
                  <a:rPr lang="en-US"/>
                  <a:t>R</a:t>
                </a:r>
              </a:p>
            </c:rich>
          </c:tx>
          <c:overlay val="0"/>
        </c:title>
        <c:numFmt formatCode="General" sourceLinked="1"/>
        <c:majorTickMark val="out"/>
        <c:minorTickMark val="none"/>
        <c:tickLblPos val="nextTo"/>
        <c:crossAx val="765017488"/>
        <c:crosses val="autoZero"/>
        <c:crossBetween val="midCat"/>
      </c:valAx>
      <c:valAx>
        <c:axId val="765017488"/>
        <c:scaling>
          <c:orientation val="minMax"/>
        </c:scaling>
        <c:delete val="0"/>
        <c:axPos val="l"/>
        <c:majorGridlines/>
        <c:title>
          <c:tx>
            <c:rich>
              <a:bodyPr rot="-5400000" vert="horz"/>
              <a:lstStyle/>
              <a:p>
                <a:pPr>
                  <a:defRPr/>
                </a:pPr>
                <a:r>
                  <a:rPr lang="en-US"/>
                  <a:t>Vdot (L/min)</a:t>
                </a:r>
              </a:p>
            </c:rich>
          </c:tx>
          <c:overlay val="0"/>
        </c:title>
        <c:numFmt formatCode="0.0" sourceLinked="1"/>
        <c:majorTickMark val="out"/>
        <c:minorTickMark val="none"/>
        <c:tickLblPos val="nextTo"/>
        <c:crossAx val="765017096"/>
        <c:crosses val="autoZero"/>
        <c:crossBetween val="midCat"/>
      </c:valAx>
    </c:plotArea>
    <c:legend>
      <c:legendPos val="r"/>
      <c:layout>
        <c:manualLayout>
          <c:xMode val="edge"/>
          <c:yMode val="edge"/>
          <c:x val="0.16734645669291331"/>
          <c:y val="9.6646252551764386E-2"/>
          <c:w val="0.30398500187476568"/>
          <c:h val="0.25115157480314959"/>
        </c:manualLayout>
      </c:layout>
      <c:overlay val="0"/>
      <c:spPr>
        <a:solidFill>
          <a:schemeClr val="bg2"/>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400049</xdr:colOff>
      <xdr:row>1</xdr:row>
      <xdr:rowOff>95249</xdr:rowOff>
    </xdr:from>
    <xdr:to>
      <xdr:col>10</xdr:col>
      <xdr:colOff>295274</xdr:colOff>
      <xdr:row>54</xdr:row>
      <xdr:rowOff>85724</xdr:rowOff>
    </xdr:to>
    <xdr:sp macro="" textlink="">
      <xdr:nvSpPr>
        <xdr:cNvPr id="2" name="TextBox 1"/>
        <xdr:cNvSpPr txBox="1"/>
      </xdr:nvSpPr>
      <xdr:spPr>
        <a:xfrm>
          <a:off x="400049" y="285749"/>
          <a:ext cx="5991225" cy="1008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APEx</a:t>
          </a:r>
          <a:r>
            <a:rPr lang="en-US" sz="1100" baseline="0"/>
            <a:t> (Analyzing Processes with Excel) Microsoft</a:t>
          </a:r>
          <a:r>
            <a:rPr lang="en-US" sz="1100" b="0" i="0" u="none" strike="noStrike">
              <a:solidFill>
                <a:schemeClr val="dk1"/>
              </a:solidFill>
              <a:effectLst/>
              <a:latin typeface="+mn-lt"/>
              <a:ea typeface="+mn-ea"/>
              <a:cs typeface="+mn-cs"/>
            </a:rPr>
            <a:t>®</a:t>
          </a:r>
          <a:r>
            <a:rPr lang="en-US"/>
            <a:t> </a:t>
          </a:r>
          <a:r>
            <a:rPr lang="en-US" sz="1100" baseline="0"/>
            <a:t> </a:t>
          </a:r>
          <a:r>
            <a:rPr lang="en-US" sz="1100"/>
            <a:t>Excel</a:t>
          </a:r>
          <a:r>
            <a:rPr lang="en-US" sz="1100" b="0" i="0" u="none" strike="noStrike">
              <a:solidFill>
                <a:schemeClr val="dk1"/>
              </a:solidFill>
              <a:effectLst/>
              <a:latin typeface="+mn-lt"/>
              <a:ea typeface="+mn-ea"/>
              <a:cs typeface="+mn-cs"/>
            </a:rPr>
            <a:t>®</a:t>
          </a:r>
          <a:r>
            <a:rPr lang="en-US"/>
            <a:t> </a:t>
          </a:r>
          <a:r>
            <a:rPr lang="en-US" sz="1100" baseline="0"/>
            <a:t> Add-In to accompany </a:t>
          </a:r>
          <a:r>
            <a:rPr lang="en-US" sz="1100" i="1" baseline="0"/>
            <a:t>Elementary Principles of Chemical Processes, 4th Edition</a:t>
          </a:r>
          <a:r>
            <a:rPr lang="en-US" sz="1100" i="0" baseline="0"/>
            <a:t>.</a:t>
          </a:r>
        </a:p>
        <a:p>
          <a:endParaRPr lang="en-US" sz="1100" i="0" baseline="0"/>
        </a:p>
        <a:p>
          <a:r>
            <a:rPr lang="en-US" sz="1100" i="0" baseline="0"/>
            <a:t>IF AN ERROR MESSAGE HAS POPPED UP ASKING TO UPDATE LINKS:</a:t>
          </a:r>
        </a:p>
        <a:p>
          <a:endParaRPr lang="en-US" sz="1100" i="0" baseline="0"/>
        </a:p>
        <a:p>
          <a:endParaRPr lang="en-US" sz="1100" i="0" baseline="0"/>
        </a:p>
        <a:p>
          <a:endParaRPr lang="en-US" sz="1100" i="0" baseline="0"/>
        </a:p>
        <a:p>
          <a:endParaRPr lang="en-US" sz="1100" i="0" baseline="0"/>
        </a:p>
        <a:p>
          <a:endParaRPr lang="en-US" sz="1100" i="0" baseline="0"/>
        </a:p>
        <a:p>
          <a:r>
            <a:rPr lang="en-US" sz="1100" i="0" baseline="0"/>
            <a:t>Click Update, the Edit Links. On the Edit Links dialog:</a:t>
          </a:r>
        </a:p>
        <a:p>
          <a:endParaRPr lang="en-US" sz="1100" i="0" baseline="0"/>
        </a:p>
        <a:p>
          <a:endParaRPr lang="en-US" sz="1100" i="0" baseline="0"/>
        </a:p>
        <a:p>
          <a:endParaRPr lang="en-US" sz="1100" i="0" baseline="0"/>
        </a:p>
        <a:p>
          <a:endParaRPr lang="en-US" sz="1100" i="0" baseline="0"/>
        </a:p>
        <a:p>
          <a:endParaRPr lang="en-US" sz="1100" i="0" baseline="0"/>
        </a:p>
        <a:p>
          <a:endParaRPr lang="en-US" sz="1100" i="0" baseline="0"/>
        </a:p>
        <a:p>
          <a:endParaRPr lang="en-US" sz="1100" i="0" baseline="0"/>
        </a:p>
        <a:p>
          <a:endParaRPr lang="en-US" sz="1100" i="0" baseline="0"/>
        </a:p>
        <a:p>
          <a:endParaRPr lang="en-US" sz="1100" i="0" baseline="0"/>
        </a:p>
        <a:p>
          <a:endParaRPr lang="en-US" sz="1100" i="0" baseline="0"/>
        </a:p>
        <a:p>
          <a:endParaRPr lang="en-US" sz="1100" i="0" baseline="0"/>
        </a:p>
        <a:p>
          <a:r>
            <a:rPr lang="en-US" sz="1100" i="0" baseline="0"/>
            <a:t>Click Change Source, then navigate to the location of the Apex.xlam file you downloaded and select that file. Click OK, then Close the dialog. </a:t>
          </a:r>
        </a:p>
        <a:p>
          <a:endParaRPr lang="en-US" sz="1100" i="0" baseline="0"/>
        </a:p>
        <a:p>
          <a:endParaRPr lang="en-US" sz="1100" i="0" baseline="0"/>
        </a:p>
        <a:p>
          <a:r>
            <a:rPr lang="en-US" sz="1100" i="0" baseline="0"/>
            <a:t>A Note to Users:</a:t>
          </a:r>
        </a:p>
        <a:p>
          <a:r>
            <a:rPr lang="en-US" sz="1100" i="0" baseline="0"/>
            <a:t>This spreadsheet serves as an introduction to software intended to accomplish two purposes:</a:t>
          </a:r>
        </a:p>
        <a:p>
          <a:r>
            <a:rPr lang="en-US" sz="1100" i="0" baseline="0"/>
            <a:t>- Faciliate mathematical computation incorporating physical properties and other tabulated data required in the material and energy balance course</a:t>
          </a:r>
        </a:p>
        <a:p>
          <a:r>
            <a:rPr lang="en-US" sz="1100" i="0" baseline="0"/>
            <a:t>- Train students in proper use of Excel to solve chemical engineering problems, including solution of systems of algebraic equations using least squares minimization</a:t>
          </a:r>
        </a:p>
        <a:p>
          <a:endParaRPr lang="en-US" sz="1100" i="0" baseline="0"/>
        </a:p>
        <a:p>
          <a:r>
            <a:rPr lang="en-US" sz="1100" i="0" baseline="0"/>
            <a:t>To partialy accomplish the first of these  goals, all of the data in tables are "exposed" as Excel functions. This means that one could look up electronically most data contained in the text resources by using an Excel function. Need the molecular weight of heptane? Enter the formula =MW("heptane"). Need to find the temperature of saturated liquid water at 100 bar? Enter  =SteamSatP(100,"P","T","L") to get the answer.</a:t>
          </a:r>
        </a:p>
        <a:p>
          <a:endParaRPr lang="en-US" sz="1100" i="0" baseline="0"/>
        </a:p>
        <a:p>
          <a:r>
            <a:rPr lang="en-US" sz="1100" i="0" baseline="0"/>
            <a:t>The second goal is faciliated by the use of an "Equation Solving Wizard" to help students set up mathematical solutions of the type typically needed in the course in the structure of spreadsheets. It is hoped that after having the construction of a solution in Excel automated for a problem well understood they will gain a important skill they can carry on to later courses. </a:t>
          </a:r>
        </a:p>
        <a:p>
          <a:endParaRPr lang="en-US" sz="1100" i="0" baseline="0"/>
        </a:p>
        <a:p>
          <a:r>
            <a:rPr lang="en-US" sz="1100" i="0" baseline="0"/>
            <a:t>Througout the design of this software, the need to learn important engineering habits is kept paramount. Units are always an issue, and the software still requires students to think dimensionally. The data extracted is in the units of the textbook tables, and students will need to either do their own coversions or learn to use Excel's intrinsic CONVERT() function. While access to Antoine's coefficient data and even Antoine's equation calculations are available, bubble point calculations are not provided. There are even places where error trapping has been deliberately omitted-- students must still critically evaluate their work and take care when performing calculations to ensure reasonability and appropriateness. Excel comments are added to warn of extrapolation and in some cases to remind users of units. To maximize the benefits of these comments,  it can be helpful to place only one function call in a formula.</a:t>
          </a:r>
        </a:p>
        <a:p>
          <a:endParaRPr lang="en-US" sz="1100" i="0" baseline="0"/>
        </a:p>
        <a:p>
          <a:r>
            <a:rPr lang="en-US" sz="1100" i="0" baseline="0"/>
            <a:t>While there will be changes as we move though this process, my hope is that both instructors and students will find this useful. As feedback is received, the software and its documentation will be improved. </a:t>
          </a:r>
        </a:p>
        <a:p>
          <a:endParaRPr lang="en-US" sz="1100" i="0" baseline="0"/>
        </a:p>
        <a:p>
          <a:endParaRPr lang="en-US" sz="1100" i="0" baseline="0"/>
        </a:p>
        <a:p>
          <a:endParaRPr lang="en-US" sz="1100" i="0" baseline="0"/>
        </a:p>
        <a:p>
          <a:endParaRPr lang="en-US" sz="1100"/>
        </a:p>
      </xdr:txBody>
    </xdr:sp>
    <xdr:clientData/>
  </xdr:twoCellAnchor>
  <xdr:twoCellAnchor editAs="oneCell">
    <xdr:from>
      <xdr:col>0</xdr:col>
      <xdr:colOff>514350</xdr:colOff>
      <xdr:row>5</xdr:row>
      <xdr:rowOff>76201</xdr:rowOff>
    </xdr:from>
    <xdr:to>
      <xdr:col>9</xdr:col>
      <xdr:colOff>0</xdr:colOff>
      <xdr:row>9</xdr:row>
      <xdr:rowOff>175279</xdr:rowOff>
    </xdr:to>
    <xdr:pic>
      <xdr:nvPicPr>
        <xdr:cNvPr id="3" name="Picture 2"/>
        <xdr:cNvPicPr/>
      </xdr:nvPicPr>
      <xdr:blipFill>
        <a:blip xmlns:r="http://schemas.openxmlformats.org/officeDocument/2006/relationships" r:embed="rId1"/>
        <a:stretch>
          <a:fillRect/>
        </a:stretch>
      </xdr:blipFill>
      <xdr:spPr>
        <a:xfrm>
          <a:off x="514350" y="1028701"/>
          <a:ext cx="4972050" cy="861078"/>
        </a:xfrm>
        <a:prstGeom prst="rect">
          <a:avLst/>
        </a:prstGeom>
      </xdr:spPr>
    </xdr:pic>
    <xdr:clientData/>
  </xdr:twoCellAnchor>
  <xdr:twoCellAnchor editAs="oneCell">
    <xdr:from>
      <xdr:col>2</xdr:col>
      <xdr:colOff>209548</xdr:colOff>
      <xdr:row>11</xdr:row>
      <xdr:rowOff>0</xdr:rowOff>
    </xdr:from>
    <xdr:to>
      <xdr:col>8</xdr:col>
      <xdr:colOff>19050</xdr:colOff>
      <xdr:row>19</xdr:row>
      <xdr:rowOff>123826</xdr:rowOff>
    </xdr:to>
    <xdr:pic>
      <xdr:nvPicPr>
        <xdr:cNvPr id="4" name="Picture 3"/>
        <xdr:cNvPicPr/>
      </xdr:nvPicPr>
      <xdr:blipFill>
        <a:blip xmlns:r="http://schemas.openxmlformats.org/officeDocument/2006/relationships" r:embed="rId2"/>
        <a:stretch>
          <a:fillRect/>
        </a:stretch>
      </xdr:blipFill>
      <xdr:spPr>
        <a:xfrm>
          <a:off x="1428748" y="2095500"/>
          <a:ext cx="3467102" cy="1647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1</xdr:row>
      <xdr:rowOff>66674</xdr:rowOff>
    </xdr:from>
    <xdr:to>
      <xdr:col>6</xdr:col>
      <xdr:colOff>419100</xdr:colOff>
      <xdr:row>24</xdr:row>
      <xdr:rowOff>142875</xdr:rowOff>
    </xdr:to>
    <xdr:sp macro="" textlink="">
      <xdr:nvSpPr>
        <xdr:cNvPr id="2" name="TextBox 1"/>
        <xdr:cNvSpPr txBox="1"/>
      </xdr:nvSpPr>
      <xdr:spPr>
        <a:xfrm>
          <a:off x="247650" y="257174"/>
          <a:ext cx="3829050" cy="445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Chapter 2 Notes.</a:t>
          </a:r>
        </a:p>
        <a:p>
          <a:endParaRPr lang="en-US" sz="1100"/>
        </a:p>
        <a:p>
          <a:r>
            <a:rPr lang="en-US" sz="1100" b="1">
              <a:solidFill>
                <a:schemeClr val="dk1"/>
              </a:solidFill>
              <a:effectLst/>
              <a:latin typeface="+mn-lt"/>
              <a:ea typeface="+mn-ea"/>
              <a:cs typeface="+mn-cs"/>
            </a:rPr>
            <a:t>Slope1</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y_values, x_values</a:t>
          </a:r>
          <a:r>
            <a:rPr lang="en-US" sz="1100">
              <a:solidFill>
                <a:schemeClr val="dk1"/>
              </a:solidFill>
              <a:effectLst/>
              <a:latin typeface="+mn-lt"/>
              <a:ea typeface="+mn-ea"/>
              <a:cs typeface="+mn-cs"/>
            </a:rPr>
            <a:t>)	Performs a single parameter least squares regression assuming a zero y-intercept</a:t>
          </a:r>
        </a:p>
        <a:p>
          <a:r>
            <a:rPr lang="en-US" sz="1100" b="1">
              <a:solidFill>
                <a:schemeClr val="dk1"/>
              </a:solidFill>
              <a:effectLst/>
              <a:latin typeface="+mn-lt"/>
              <a:ea typeface="+mn-ea"/>
              <a:cs typeface="+mn-cs"/>
            </a:rPr>
            <a:t>Linterp</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x_values, y_values, x</a:t>
          </a:r>
          <a:r>
            <a:rPr lang="en-US" sz="1100">
              <a:solidFill>
                <a:schemeClr val="dk1"/>
              </a:solidFill>
              <a:effectLst/>
              <a:latin typeface="+mn-lt"/>
              <a:ea typeface="+mn-ea"/>
              <a:cs typeface="+mn-cs"/>
            </a:rPr>
            <a:t>)	Interpolates a “y” value at a given “x” value from ranges containing a y_values and corresponding x_values. If extrapolation is performed a comment is placed in the returning cell.</a:t>
          </a:r>
        </a:p>
        <a:p>
          <a:endParaRPr lang="en-US" sz="1100"/>
        </a:p>
        <a:p>
          <a:endParaRPr lang="en-US" sz="1100"/>
        </a:p>
        <a:p>
          <a:r>
            <a:rPr lang="en-US" sz="1100" baseline="0"/>
            <a:t>It is worthwhile to note that Excel does have some unit conversion capabilitiy.</a:t>
          </a:r>
        </a:p>
        <a:p>
          <a:endParaRPr lang="en-US" sz="1100" baseline="0"/>
        </a:p>
        <a:p>
          <a:r>
            <a:rPr lang="en-US" sz="1100" baseline="0"/>
            <a:t>=CONVERT(number, from_unit, to_unit)</a:t>
          </a:r>
        </a:p>
        <a:p>
          <a:endParaRPr lang="en-US" sz="1100" baseline="0"/>
        </a:p>
        <a:p>
          <a:r>
            <a:rPr lang="en-US" sz="1100" baseline="0"/>
            <a:t>The first argument is the number to be converted, and the second and third argument are text strings representing units. The Excel help file entry for CONVERT() can be helpful when learning about the limited set of units are available within Excel. Also useful will be the help file example of how to handle compound units (including some volume units).</a:t>
          </a:r>
        </a:p>
        <a:p>
          <a:endParaRPr lang="en-US" sz="1100" baseline="0"/>
        </a:p>
        <a:p>
          <a:r>
            <a:rPr lang="en-US" sz="1100" baseline="0"/>
            <a:t>In practice, you will find that proper use of the conversion factors in the text will be best.</a:t>
          </a:r>
          <a:endParaRPr lang="en-US" sz="1100"/>
        </a:p>
      </xdr:txBody>
    </xdr:sp>
    <xdr:clientData/>
  </xdr:twoCellAnchor>
  <xdr:twoCellAnchor>
    <xdr:from>
      <xdr:col>1</xdr:col>
      <xdr:colOff>533401</xdr:colOff>
      <xdr:row>26</xdr:row>
      <xdr:rowOff>142875</xdr:rowOff>
    </xdr:from>
    <xdr:to>
      <xdr:col>8</xdr:col>
      <xdr:colOff>266701</xdr:colOff>
      <xdr:row>41</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12</xdr:row>
      <xdr:rowOff>47626</xdr:rowOff>
    </xdr:from>
    <xdr:to>
      <xdr:col>16</xdr:col>
      <xdr:colOff>47625</xdr:colOff>
      <xdr:row>20</xdr:row>
      <xdr:rowOff>171450</xdr:rowOff>
    </xdr:to>
    <xdr:sp macro="" textlink="">
      <xdr:nvSpPr>
        <xdr:cNvPr id="4" name="TextBox 3"/>
        <xdr:cNvSpPr txBox="1"/>
      </xdr:nvSpPr>
      <xdr:spPr>
        <a:xfrm>
          <a:off x="4562475" y="2333626"/>
          <a:ext cx="5848350" cy="1647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 text uses a "visual</a:t>
          </a:r>
          <a:r>
            <a:rPr lang="en-US" sz="1100" b="0" i="0" u="none" strike="noStrike" baseline="0">
              <a:solidFill>
                <a:schemeClr val="dk1"/>
              </a:solidFill>
              <a:effectLst/>
              <a:latin typeface="+mn-lt"/>
              <a:ea typeface="+mn-ea"/>
              <a:cs typeface="+mn-cs"/>
            </a:rPr>
            <a:t> inspection" approach. If we use the more rigorous regression approach (see Appendix A.1), we can </a:t>
          </a:r>
          <a:r>
            <a:rPr lang="en-US" sz="1100" b="0" i="0" u="none" strike="noStrike">
              <a:solidFill>
                <a:schemeClr val="dk1"/>
              </a:solidFill>
              <a:effectLst/>
              <a:latin typeface="+mn-lt"/>
              <a:ea typeface="+mn-ea"/>
              <a:cs typeface="+mn-cs"/>
            </a:rPr>
            <a:t>assume that the regression should be of the form y=ax+b, where b is nonzero (</a:t>
          </a:r>
          <a:r>
            <a:rPr lang="en-US" sz="1100" b="1" i="0" u="none" strike="noStrike">
              <a:solidFill>
                <a:schemeClr val="dk1"/>
              </a:solidFill>
              <a:effectLst/>
              <a:latin typeface="+mn-lt"/>
              <a:ea typeface="+mn-ea"/>
              <a:cs typeface="+mn-cs"/>
            </a:rPr>
            <a:t>Model 1</a:t>
          </a:r>
          <a:r>
            <a:rPr lang="en-US" sz="1100" b="0" i="0" u="none" strike="noStrike">
              <a:solidFill>
                <a:schemeClr val="dk1"/>
              </a:solidFill>
              <a:effectLst/>
              <a:latin typeface="+mn-lt"/>
              <a:ea typeface="+mn-ea"/>
              <a:cs typeface="+mn-cs"/>
            </a:rPr>
            <a:t>); or,</a:t>
          </a:r>
          <a:r>
            <a:rPr lang="en-US" sz="1100" b="0" i="0" u="none" strike="noStrike" baseline="0">
              <a:solidFill>
                <a:schemeClr val="dk1"/>
              </a:solidFill>
              <a:effectLst/>
              <a:latin typeface="+mn-lt"/>
              <a:ea typeface="+mn-ea"/>
              <a:cs typeface="+mn-cs"/>
            </a:rPr>
            <a:t> wecan assume a model of the form y=ax (</a:t>
          </a:r>
          <a:r>
            <a:rPr lang="en-US" sz="1100" b="1" i="0" u="none" strike="noStrike" baseline="0">
              <a:solidFill>
                <a:schemeClr val="dk1"/>
              </a:solidFill>
              <a:effectLst/>
              <a:latin typeface="+mn-lt"/>
              <a:ea typeface="+mn-ea"/>
              <a:cs typeface="+mn-cs"/>
            </a:rPr>
            <a:t>Model 2</a:t>
          </a:r>
          <a:r>
            <a:rPr lang="en-US" sz="1100" b="0" i="0" u="none" strike="noStrike" baseline="0">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For Model 1, it is appropriate to use the built-in Excel regression functions SLOPE() and INTERCEPT().</a:t>
          </a:r>
          <a:r>
            <a:rPr lang="en-US"/>
            <a:t> </a:t>
          </a:r>
          <a:r>
            <a:rPr lang="en-US" sz="1100" b="0" i="0" u="none" strike="noStrike">
              <a:solidFill>
                <a:schemeClr val="dk1"/>
              </a:solidFill>
              <a:effectLst/>
              <a:latin typeface="+mn-lt"/>
              <a:ea typeface="+mn-ea"/>
              <a:cs typeface="+mn-cs"/>
            </a:rPr>
            <a:t>These functions use the same approach as Eq A.1-4 and A.1-5 in Appendix A.1 of the text.</a:t>
          </a:r>
          <a:r>
            <a:rPr lang="en-US"/>
            <a:t> </a:t>
          </a:r>
          <a:r>
            <a:rPr lang="en-US" sz="1100" b="0" i="0" u="none" strike="noStrike">
              <a:solidFill>
                <a:schemeClr val="dk1"/>
              </a:solidFill>
              <a:effectLst/>
              <a:latin typeface="+mn-lt"/>
              <a:ea typeface="+mn-ea"/>
              <a:cs typeface="+mn-cs"/>
            </a:rPr>
            <a:t>However, if you have reason to expect the intercept to be zero and use Model 2, it would be appropriate to apply</a:t>
          </a:r>
          <a:r>
            <a:rPr lang="en-US"/>
            <a:t> </a:t>
          </a:r>
          <a:r>
            <a:rPr lang="en-US" sz="1100" b="0" i="0" u="none" strike="noStrike">
              <a:solidFill>
                <a:schemeClr val="dk1"/>
              </a:solidFill>
              <a:effectLst/>
              <a:latin typeface="+mn-lt"/>
              <a:ea typeface="+mn-ea"/>
              <a:cs typeface="+mn-cs"/>
            </a:rPr>
            <a:t>equation A.1-6 from the appendix A.1. This formula has been implemented as the ProPrEx add-in function </a:t>
          </a:r>
          <a:r>
            <a:rPr lang="en-US" sz="1100" b="1" i="0" u="none" strike="noStrike">
              <a:solidFill>
                <a:schemeClr val="dk1"/>
              </a:solidFill>
              <a:effectLst/>
              <a:latin typeface="+mn-lt"/>
              <a:ea typeface="+mn-ea"/>
              <a:cs typeface="+mn-cs"/>
            </a:rPr>
            <a:t>SLOPE1()</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where the "1" in the function name is due to the presence of 1 non-zero paremeter in the model,</a:t>
          </a:r>
          <a:r>
            <a:rPr lang="en-US"/>
            <a:t> </a:t>
          </a:r>
          <a:r>
            <a:rPr lang="en-US" sz="1100" b="0" i="0" u="none" strike="noStrike">
              <a:solidFill>
                <a:schemeClr val="dk1"/>
              </a:solidFill>
              <a:effectLst/>
              <a:latin typeface="+mn-lt"/>
              <a:ea typeface="+mn-ea"/>
              <a:cs typeface="+mn-cs"/>
            </a:rPr>
            <a:t>the slope.</a:t>
          </a:r>
          <a:r>
            <a:rPr lang="en-US"/>
            <a:t> </a:t>
          </a:r>
          <a:endParaRPr lang="en-US" sz="1100"/>
        </a:p>
      </xdr:txBody>
    </xdr:sp>
    <xdr:clientData/>
  </xdr:twoCellAnchor>
  <xdr:twoCellAnchor>
    <xdr:from>
      <xdr:col>11</xdr:col>
      <xdr:colOff>9525</xdr:colOff>
      <xdr:row>38</xdr:row>
      <xdr:rowOff>28575</xdr:rowOff>
    </xdr:from>
    <xdr:to>
      <xdr:col>14</xdr:col>
      <xdr:colOff>238126</xdr:colOff>
      <xdr:row>44</xdr:row>
      <xdr:rowOff>171451</xdr:rowOff>
    </xdr:to>
    <xdr:sp macro="" textlink="">
      <xdr:nvSpPr>
        <xdr:cNvPr id="5" name="TextBox 4"/>
        <xdr:cNvSpPr txBox="1"/>
      </xdr:nvSpPr>
      <xdr:spPr>
        <a:xfrm>
          <a:off x="7896225" y="7267575"/>
          <a:ext cx="2238376" cy="1285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Reality Check. </a:t>
          </a:r>
          <a:r>
            <a:rPr lang="en-US" sz="1100" baseline="0"/>
            <a:t>Rotameters tend to be highly non-linear at the extremes of the range of flowrates that they are designed to measure, so forcing the intercept to zero may not be needed here.</a:t>
          </a:r>
          <a:endParaRPr lang="en-US" sz="1100"/>
        </a:p>
      </xdr:txBody>
    </xdr:sp>
    <xdr:clientData/>
  </xdr:twoCellAnchor>
  <xdr:twoCellAnchor>
    <xdr:from>
      <xdr:col>1</xdr:col>
      <xdr:colOff>371475</xdr:colOff>
      <xdr:row>42</xdr:row>
      <xdr:rowOff>133350</xdr:rowOff>
    </xdr:from>
    <xdr:to>
      <xdr:col>5</xdr:col>
      <xdr:colOff>352425</xdr:colOff>
      <xdr:row>47</xdr:row>
      <xdr:rowOff>57150</xdr:rowOff>
    </xdr:to>
    <xdr:sp macro="" textlink="">
      <xdr:nvSpPr>
        <xdr:cNvPr id="6" name="TextBox 5"/>
        <xdr:cNvSpPr txBox="1"/>
      </xdr:nvSpPr>
      <xdr:spPr>
        <a:xfrm>
          <a:off x="981075" y="8134350"/>
          <a:ext cx="241935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Practices:</a:t>
          </a:r>
          <a:r>
            <a:rPr lang="en-US" sz="1100"/>
            <a:t> Always check your model by plotting alongside your experimental data. Use points for the data and a curve (no points) for the model.</a:t>
          </a:r>
        </a:p>
      </xdr:txBody>
    </xdr:sp>
    <xdr:clientData/>
  </xdr:twoCellAnchor>
  <xdr:twoCellAnchor>
    <xdr:from>
      <xdr:col>6</xdr:col>
      <xdr:colOff>142875</xdr:colOff>
      <xdr:row>42</xdr:row>
      <xdr:rowOff>133349</xdr:rowOff>
    </xdr:from>
    <xdr:to>
      <xdr:col>8</xdr:col>
      <xdr:colOff>190500</xdr:colOff>
      <xdr:row>50</xdr:row>
      <xdr:rowOff>152400</xdr:rowOff>
    </xdr:to>
    <xdr:sp macro="" textlink="">
      <xdr:nvSpPr>
        <xdr:cNvPr id="7" name="TextBox 6"/>
        <xdr:cNvSpPr txBox="1"/>
      </xdr:nvSpPr>
      <xdr:spPr>
        <a:xfrm>
          <a:off x="3800475" y="8134349"/>
          <a:ext cx="1266825" cy="154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Practices: </a:t>
          </a:r>
          <a:r>
            <a:rPr lang="en-US" sz="1100"/>
            <a:t>Legends are essential with two or more data series plotted, but should be omitted with only one</a:t>
          </a:r>
          <a:r>
            <a:rPr lang="en-US" sz="1100" baseline="0"/>
            <a:t> data series.</a:t>
          </a:r>
          <a:endParaRPr lang="en-US" sz="1100"/>
        </a:p>
      </xdr:txBody>
    </xdr:sp>
    <xdr:clientData/>
  </xdr:twoCellAnchor>
  <xdr:twoCellAnchor>
    <xdr:from>
      <xdr:col>8</xdr:col>
      <xdr:colOff>657225</xdr:colOff>
      <xdr:row>43</xdr:row>
      <xdr:rowOff>161924</xdr:rowOff>
    </xdr:from>
    <xdr:to>
      <xdr:col>10</xdr:col>
      <xdr:colOff>371475</xdr:colOff>
      <xdr:row>51</xdr:row>
      <xdr:rowOff>171449</xdr:rowOff>
    </xdr:to>
    <xdr:sp macro="" textlink="">
      <xdr:nvSpPr>
        <xdr:cNvPr id="8" name="TextBox 7"/>
        <xdr:cNvSpPr txBox="1"/>
      </xdr:nvSpPr>
      <xdr:spPr>
        <a:xfrm>
          <a:off x="5534025" y="8353424"/>
          <a:ext cx="1943100"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Reality Check</a:t>
          </a:r>
          <a:r>
            <a:rPr lang="en-US" sz="1100"/>
            <a:t>. Is there</a:t>
          </a:r>
          <a:r>
            <a:rPr lang="en-US" sz="1100" baseline="0"/>
            <a:t> a meaningful difference between the two models? Rotameters are useful, inexpensive devices for measuring flow rates, but they are not high accuracy devices.</a:t>
          </a:r>
          <a:endParaRPr lang="en-US" sz="1100"/>
        </a:p>
      </xdr:txBody>
    </xdr:sp>
    <xdr:clientData/>
  </xdr:twoCellAnchor>
  <xdr:twoCellAnchor>
    <xdr:from>
      <xdr:col>0</xdr:col>
      <xdr:colOff>209550</xdr:colOff>
      <xdr:row>27</xdr:row>
      <xdr:rowOff>123825</xdr:rowOff>
    </xdr:from>
    <xdr:to>
      <xdr:col>1</xdr:col>
      <xdr:colOff>552450</xdr:colOff>
      <xdr:row>35</xdr:row>
      <xdr:rowOff>171450</xdr:rowOff>
    </xdr:to>
    <xdr:sp macro="" textlink="">
      <xdr:nvSpPr>
        <xdr:cNvPr id="9" name="TextBox 8"/>
        <xdr:cNvSpPr txBox="1"/>
      </xdr:nvSpPr>
      <xdr:spPr>
        <a:xfrm>
          <a:off x="209550" y="5267325"/>
          <a:ext cx="95250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Practices:</a:t>
          </a:r>
          <a:r>
            <a:rPr lang="en-US" sz="1100"/>
            <a:t> Don't forget to label your axes with units as appropriate.</a:t>
          </a:r>
        </a:p>
      </xdr:txBody>
    </xdr:sp>
    <xdr:clientData/>
  </xdr:twoCellAnchor>
  <xdr:twoCellAnchor>
    <xdr:from>
      <xdr:col>8</xdr:col>
      <xdr:colOff>866775</xdr:colOff>
      <xdr:row>37</xdr:row>
      <xdr:rowOff>104775</xdr:rowOff>
    </xdr:from>
    <xdr:to>
      <xdr:col>10</xdr:col>
      <xdr:colOff>571500</xdr:colOff>
      <xdr:row>41</xdr:row>
      <xdr:rowOff>152400</xdr:rowOff>
    </xdr:to>
    <xdr:sp macro="" textlink="">
      <xdr:nvSpPr>
        <xdr:cNvPr id="10" name="TextBox 9"/>
        <xdr:cNvSpPr txBox="1"/>
      </xdr:nvSpPr>
      <xdr:spPr>
        <a:xfrm>
          <a:off x="5743575" y="7153275"/>
          <a:ext cx="19335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Try it: </a:t>
          </a:r>
          <a:r>
            <a:rPr lang="en-US" sz="1100" b="0"/>
            <a:t>Add the model from the text and compare the error. Make sure you add the new series to the plot!</a:t>
          </a:r>
        </a:p>
      </xdr:txBody>
    </xdr:sp>
    <xdr:clientData/>
  </xdr:twoCellAnchor>
  <xdr:twoCellAnchor>
    <xdr:from>
      <xdr:col>8</xdr:col>
      <xdr:colOff>561975</xdr:colOff>
      <xdr:row>57</xdr:row>
      <xdr:rowOff>28575</xdr:rowOff>
    </xdr:from>
    <xdr:to>
      <xdr:col>10</xdr:col>
      <xdr:colOff>142875</xdr:colOff>
      <xdr:row>63</xdr:row>
      <xdr:rowOff>161925</xdr:rowOff>
    </xdr:to>
    <xdr:sp macro="" textlink="">
      <xdr:nvSpPr>
        <xdr:cNvPr id="11" name="TextBox 10"/>
        <xdr:cNvSpPr txBox="1"/>
      </xdr:nvSpPr>
      <xdr:spPr>
        <a:xfrm>
          <a:off x="5438775" y="10887075"/>
          <a:ext cx="180975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Watch Out!</a:t>
          </a:r>
          <a:r>
            <a:rPr lang="en-US" sz="1100" b="1" baseline="0"/>
            <a:t> </a:t>
          </a:r>
          <a:r>
            <a:rPr lang="en-US" sz="1100" baseline="0"/>
            <a:t>Order of operation errors are a common mistake when using a calculator to perform interpolation.</a:t>
          </a:r>
        </a:p>
      </xdr:txBody>
    </xdr:sp>
    <xdr:clientData/>
  </xdr:twoCellAnchor>
  <xdr:twoCellAnchor>
    <xdr:from>
      <xdr:col>0</xdr:col>
      <xdr:colOff>333375</xdr:colOff>
      <xdr:row>61</xdr:row>
      <xdr:rowOff>0</xdr:rowOff>
    </xdr:from>
    <xdr:to>
      <xdr:col>3</xdr:col>
      <xdr:colOff>371475</xdr:colOff>
      <xdr:row>67</xdr:row>
      <xdr:rowOff>66675</xdr:rowOff>
    </xdr:to>
    <xdr:sp macro="" textlink="">
      <xdr:nvSpPr>
        <xdr:cNvPr id="12" name="TextBox 11"/>
        <xdr:cNvSpPr txBox="1"/>
      </xdr:nvSpPr>
      <xdr:spPr>
        <a:xfrm>
          <a:off x="333375" y="11620500"/>
          <a:ext cx="1866900"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Practices</a:t>
          </a:r>
          <a:r>
            <a:rPr lang="en-US" sz="1100"/>
            <a:t>:  Be explicit when identifying</a:t>
          </a:r>
          <a:r>
            <a:rPr lang="en-US" sz="1100" baseline="0"/>
            <a:t> parameters to be used in a formula, especially when you're learning how to use that formula.</a:t>
          </a:r>
          <a:endParaRPr lang="en-US" sz="1100"/>
        </a:p>
      </xdr:txBody>
    </xdr:sp>
    <xdr:clientData/>
  </xdr:twoCellAnchor>
  <xdr:twoCellAnchor>
    <xdr:from>
      <xdr:col>4</xdr:col>
      <xdr:colOff>495300</xdr:colOff>
      <xdr:row>63</xdr:row>
      <xdr:rowOff>171450</xdr:rowOff>
    </xdr:from>
    <xdr:to>
      <xdr:col>8</xdr:col>
      <xdr:colOff>104775</xdr:colOff>
      <xdr:row>71</xdr:row>
      <xdr:rowOff>95250</xdr:rowOff>
    </xdr:to>
    <xdr:sp macro="" textlink="">
      <xdr:nvSpPr>
        <xdr:cNvPr id="15" name="TextBox 14"/>
        <xdr:cNvSpPr txBox="1"/>
      </xdr:nvSpPr>
      <xdr:spPr>
        <a:xfrm>
          <a:off x="2933700" y="12325350"/>
          <a:ext cx="2047875"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Think </a:t>
          </a:r>
          <a:r>
            <a:rPr lang="en-US" sz="1100">
              <a:solidFill>
                <a:schemeClr val="dk1"/>
              </a:solidFill>
              <a:effectLst/>
              <a:latin typeface="+mn-lt"/>
              <a:ea typeface="+mn-ea"/>
              <a:cs typeface="+mn-cs"/>
            </a:rPr>
            <a:t>about how you would tell someone about the process of  selecting x</a:t>
          </a:r>
          <a:r>
            <a:rPr lang="en-US" sz="1100" baseline="-25000">
              <a:solidFill>
                <a:schemeClr val="dk1"/>
              </a:solidFill>
              <a:effectLst/>
              <a:latin typeface="+mn-lt"/>
              <a:ea typeface="+mn-ea"/>
              <a:cs typeface="+mn-cs"/>
            </a:rPr>
            <a:t>1</a:t>
          </a:r>
          <a:r>
            <a:rPr lang="en-US" sz="1100">
              <a:solidFill>
                <a:schemeClr val="dk1"/>
              </a:solidFill>
              <a:effectLst/>
              <a:latin typeface="+mn-lt"/>
              <a:ea typeface="+mn-ea"/>
              <a:cs typeface="+mn-cs"/>
            </a:rPr>
            <a:t>,y</a:t>
          </a:r>
          <a:r>
            <a:rPr lang="en-US" sz="1100" baseline="-25000">
              <a:solidFill>
                <a:schemeClr val="dk1"/>
              </a:solidFill>
              <a:effectLst/>
              <a:latin typeface="+mn-lt"/>
              <a:ea typeface="+mn-ea"/>
              <a:cs typeface="+mn-cs"/>
            </a:rPr>
            <a:t>1</a:t>
          </a:r>
          <a:r>
            <a:rPr lang="en-US" sz="1100">
              <a:solidFill>
                <a:schemeClr val="dk1"/>
              </a:solidFill>
              <a:effectLst/>
              <a:latin typeface="+mn-lt"/>
              <a:ea typeface="+mn-ea"/>
              <a:cs typeface="+mn-cs"/>
            </a:rPr>
            <a:t> and x</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,y</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based on x. This is the first step in programming a function like Linterp().</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0</xdr:row>
      <xdr:rowOff>47624</xdr:rowOff>
    </xdr:from>
    <xdr:to>
      <xdr:col>8</xdr:col>
      <xdr:colOff>257175</xdr:colOff>
      <xdr:row>13</xdr:row>
      <xdr:rowOff>133350</xdr:rowOff>
    </xdr:to>
    <xdr:sp macro="" textlink="">
      <xdr:nvSpPr>
        <xdr:cNvPr id="2" name="TextBox 1"/>
        <xdr:cNvSpPr txBox="1"/>
      </xdr:nvSpPr>
      <xdr:spPr>
        <a:xfrm>
          <a:off x="266700" y="47624"/>
          <a:ext cx="4867275" cy="2562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Chapter 3.</a:t>
          </a:r>
        </a:p>
        <a:p>
          <a:endParaRPr lang="en-US" sz="1100"/>
        </a:p>
        <a:p>
          <a:r>
            <a:rPr lang="en-US" sz="1100" b="1"/>
            <a:t>APEx New Functions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all add-in</a:t>
          </a:r>
          <a:r>
            <a:rPr lang="en-US" sz="1100" baseline="0">
              <a:solidFill>
                <a:schemeClr val="dk1"/>
              </a:solidFill>
              <a:effectLst/>
              <a:latin typeface="+mn-lt"/>
              <a:ea typeface="+mn-ea"/>
              <a:cs typeface="+mn-cs"/>
            </a:rPr>
            <a:t> functions, </a:t>
          </a:r>
          <a:r>
            <a:rPr lang="en-US" sz="1100" i="1">
              <a:solidFill>
                <a:schemeClr val="dk1"/>
              </a:solidFill>
              <a:effectLst/>
              <a:latin typeface="+mn-lt"/>
              <a:ea typeface="+mn-ea"/>
              <a:cs typeface="+mn-cs"/>
            </a:rPr>
            <a:t>compound</a:t>
          </a:r>
          <a:r>
            <a:rPr lang="en-US" sz="1100" baseline="0">
              <a:solidFill>
                <a:schemeClr val="dk1"/>
              </a:solidFill>
              <a:effectLst/>
              <a:latin typeface="+mn-lt"/>
              <a:ea typeface="+mn-ea"/>
              <a:cs typeface="+mn-cs"/>
            </a:rPr>
            <a:t> is a text string corresponding to a common name of the substance. If you are entering the name as part of a formula, it must be in quotes. The same rule applies the vector called </a:t>
          </a:r>
          <a:r>
            <a:rPr lang="en-US" sz="1100" i="1" baseline="0">
              <a:solidFill>
                <a:schemeClr val="dk1"/>
              </a:solidFill>
              <a:effectLst/>
              <a:latin typeface="+mn-lt"/>
              <a:ea typeface="+mn-ea"/>
              <a:cs typeface="+mn-cs"/>
            </a:rPr>
            <a:t>elements</a:t>
          </a:r>
          <a:r>
            <a:rPr lang="en-US" sz="1100" i="0" baseline="0">
              <a:solidFill>
                <a:schemeClr val="dk1"/>
              </a:solidFill>
              <a:effectLst/>
              <a:latin typeface="+mn-lt"/>
              <a:ea typeface="+mn-ea"/>
              <a:cs typeface="+mn-cs"/>
            </a:rPr>
            <a:t>. See the examples for both uses.</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solidFill>
              <a:schemeClr val="dk1"/>
            </a:solidFill>
            <a:effectLst/>
            <a:latin typeface="+mn-lt"/>
            <a:ea typeface="+mn-ea"/>
            <a:cs typeface="+mn-cs"/>
          </a:endParaRPr>
        </a:p>
        <a:p>
          <a:r>
            <a:rPr lang="en-US" sz="1100" b="1">
              <a:solidFill>
                <a:schemeClr val="dk1"/>
              </a:solidFill>
              <a:effectLst/>
              <a:latin typeface="+mn-lt"/>
              <a:ea typeface="+mn-ea"/>
              <a:cs typeface="+mn-cs"/>
            </a:rPr>
            <a:t>MW</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molecular weight</a:t>
          </a:r>
          <a:r>
            <a:rPr lang="en-US" sz="1100" baseline="0">
              <a:solidFill>
                <a:schemeClr val="dk1"/>
              </a:solidFill>
              <a:effectLst/>
              <a:latin typeface="+mn-lt"/>
              <a:ea typeface="+mn-ea"/>
              <a:cs typeface="+mn-cs"/>
            </a:rPr>
            <a:t> of a compount.</a:t>
          </a:r>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MWCalc</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elements, counts</a:t>
          </a:r>
          <a:r>
            <a:rPr lang="en-US" sz="1100">
              <a:solidFill>
                <a:schemeClr val="dk1"/>
              </a:solidFill>
              <a:effectLst/>
              <a:latin typeface="+mn-lt"/>
              <a:ea typeface="+mn-ea"/>
              <a:cs typeface="+mn-cs"/>
            </a:rPr>
            <a:t>) calculates a molecular weight given a vector of elements and a corresponding vector of atomic counts.</a:t>
          </a:r>
        </a:p>
        <a:p>
          <a:r>
            <a:rPr lang="en-US" sz="1100" b="1">
              <a:solidFill>
                <a:schemeClr val="dk1"/>
              </a:solidFill>
              <a:effectLst/>
              <a:latin typeface="+mn-lt"/>
              <a:ea typeface="+mn-ea"/>
              <a:cs typeface="+mn-cs"/>
            </a:rPr>
            <a:t> SG</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gravity. The production version will also return a comment indicating any special conditions (i.e. a different temperature or reference temperature).</a:t>
          </a:r>
        </a:p>
      </xdr:txBody>
    </xdr:sp>
    <xdr:clientData/>
  </xdr:twoCellAnchor>
  <xdr:twoCellAnchor>
    <xdr:from>
      <xdr:col>8</xdr:col>
      <xdr:colOff>428626</xdr:colOff>
      <xdr:row>0</xdr:row>
      <xdr:rowOff>171450</xdr:rowOff>
    </xdr:from>
    <xdr:to>
      <xdr:col>12</xdr:col>
      <xdr:colOff>180976</xdr:colOff>
      <xdr:row>9</xdr:row>
      <xdr:rowOff>161926</xdr:rowOff>
    </xdr:to>
    <xdr:sp macro="" textlink="">
      <xdr:nvSpPr>
        <xdr:cNvPr id="3" name="TextBox 2"/>
        <xdr:cNvSpPr txBox="1"/>
      </xdr:nvSpPr>
      <xdr:spPr>
        <a:xfrm>
          <a:off x="5305426" y="171450"/>
          <a:ext cx="2190750" cy="170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baseline="0">
              <a:solidFill>
                <a:schemeClr val="dk1"/>
              </a:solidFill>
              <a:effectLst/>
              <a:latin typeface="+mn-lt"/>
              <a:ea typeface="+mn-ea"/>
              <a:cs typeface="+mn-cs"/>
            </a:rPr>
            <a:t>BEST PRACTICE</a:t>
          </a:r>
          <a:r>
            <a:rPr lang="en-US" sz="1100" i="0" baseline="0">
              <a:solidFill>
                <a:schemeClr val="dk1"/>
              </a:solidFill>
              <a:effectLst/>
              <a:latin typeface="+mn-lt"/>
              <a:ea typeface="+mn-ea"/>
              <a:cs typeface="+mn-cs"/>
            </a:rPr>
            <a:t>: When developing a spreadsheet, put your input values in separate cells from formulas and unit conversions. This makes it easier to find errors, enter vector quantities (lists), and to use string  (groups of characters) input values like compound names.</a:t>
          </a:r>
          <a:endParaRPr lang="en-US" sz="1100"/>
        </a:p>
      </xdr:txBody>
    </xdr:sp>
    <xdr:clientData/>
  </xdr:twoCellAnchor>
  <xdr:twoCellAnchor>
    <xdr:from>
      <xdr:col>8</xdr:col>
      <xdr:colOff>219075</xdr:colOff>
      <xdr:row>11</xdr:row>
      <xdr:rowOff>180975</xdr:rowOff>
    </xdr:from>
    <xdr:to>
      <xdr:col>12</xdr:col>
      <xdr:colOff>123825</xdr:colOff>
      <xdr:row>20</xdr:row>
      <xdr:rowOff>28575</xdr:rowOff>
    </xdr:to>
    <xdr:sp macro="" textlink="">
      <xdr:nvSpPr>
        <xdr:cNvPr id="4" name="TextBox 3"/>
        <xdr:cNvSpPr txBox="1"/>
      </xdr:nvSpPr>
      <xdr:spPr>
        <a:xfrm>
          <a:off x="5095875" y="2276475"/>
          <a:ext cx="234315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Think</a:t>
          </a:r>
          <a:r>
            <a:rPr lang="en-US" sz="1100"/>
            <a:t> of molecular weight as a conversion factor between mass and moles, and don't forget to keep the units</a:t>
          </a:r>
          <a:r>
            <a:rPr lang="en-US" sz="1100" baseline="0"/>
            <a:t> consistent-- g-moles (usually written as "plain" moles, mol) go with grams, kg-mol with kg, lb-mol with lb</a:t>
          </a:r>
          <a:r>
            <a:rPr lang="en-US" sz="1100" baseline="-25000"/>
            <a:t>m</a:t>
          </a:r>
          <a:r>
            <a:rPr lang="en-US" sz="1100" baseline="0"/>
            <a:t>, etc. Numerically, each consistent set has the same numerical value.</a:t>
          </a:r>
          <a:endParaRPr lang="en-US" sz="1100"/>
        </a:p>
      </xdr:txBody>
    </xdr:sp>
    <xdr:clientData/>
  </xdr:twoCellAnchor>
  <xdr:twoCellAnchor>
    <xdr:from>
      <xdr:col>8</xdr:col>
      <xdr:colOff>333375</xdr:colOff>
      <xdr:row>30</xdr:row>
      <xdr:rowOff>171451</xdr:rowOff>
    </xdr:from>
    <xdr:to>
      <xdr:col>12</xdr:col>
      <xdr:colOff>133350</xdr:colOff>
      <xdr:row>36</xdr:row>
      <xdr:rowOff>9526</xdr:rowOff>
    </xdr:to>
    <xdr:sp macro="" textlink="">
      <xdr:nvSpPr>
        <xdr:cNvPr id="5" name="TextBox 4"/>
        <xdr:cNvSpPr txBox="1"/>
      </xdr:nvSpPr>
      <xdr:spPr>
        <a:xfrm>
          <a:off x="5210175" y="5962651"/>
          <a:ext cx="2238375"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Think</a:t>
          </a:r>
          <a:r>
            <a:rPr lang="en-US" sz="1100"/>
            <a:t> of specific gravity as a conversion factor between mass and volume. You</a:t>
          </a:r>
          <a:r>
            <a:rPr lang="en-US" sz="1100" baseline="0"/>
            <a:t> get to choose your units by selecting the reference density (make sure you review the definition of specific gravity!)</a:t>
          </a:r>
          <a:endParaRPr lang="en-US" sz="1100"/>
        </a:p>
      </xdr:txBody>
    </xdr:sp>
    <xdr:clientData/>
  </xdr:twoCellAnchor>
  <xdr:twoCellAnchor>
    <xdr:from>
      <xdr:col>5</xdr:col>
      <xdr:colOff>57150</xdr:colOff>
      <xdr:row>14</xdr:row>
      <xdr:rowOff>9525</xdr:rowOff>
    </xdr:from>
    <xdr:to>
      <xdr:col>7</xdr:col>
      <xdr:colOff>381000</xdr:colOff>
      <xdr:row>19</xdr:row>
      <xdr:rowOff>57150</xdr:rowOff>
    </xdr:to>
    <xdr:sp macro="" textlink="">
      <xdr:nvSpPr>
        <xdr:cNvPr id="6" name="TextBox 5"/>
        <xdr:cNvSpPr txBox="1"/>
      </xdr:nvSpPr>
      <xdr:spPr>
        <a:xfrm>
          <a:off x="3105150" y="2676525"/>
          <a:ext cx="15430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aseline="0"/>
            <a:t> how you can enter function arguments two ways-- which do you think is more flexible?</a:t>
          </a:r>
          <a:endParaRPr lang="en-US" sz="1100"/>
        </a:p>
      </xdr:txBody>
    </xdr:sp>
    <xdr:clientData/>
  </xdr:twoCellAnchor>
  <xdr:twoCellAnchor>
    <xdr:from>
      <xdr:col>7</xdr:col>
      <xdr:colOff>47625</xdr:colOff>
      <xdr:row>20</xdr:row>
      <xdr:rowOff>95250</xdr:rowOff>
    </xdr:from>
    <xdr:to>
      <xdr:col>10</xdr:col>
      <xdr:colOff>485775</xdr:colOff>
      <xdr:row>24</xdr:row>
      <xdr:rowOff>133350</xdr:rowOff>
    </xdr:to>
    <xdr:sp macro="" textlink="">
      <xdr:nvSpPr>
        <xdr:cNvPr id="7" name="TextBox 6"/>
        <xdr:cNvSpPr txBox="1"/>
      </xdr:nvSpPr>
      <xdr:spPr>
        <a:xfrm>
          <a:off x="4314825" y="3905250"/>
          <a:ext cx="22669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a:t>
          </a:r>
          <a:r>
            <a:rPr lang="en-US" sz="1100" b="1" baseline="0"/>
            <a:t> PRACTICE</a:t>
          </a:r>
          <a:r>
            <a:rPr lang="en-US" sz="1100" baseline="0"/>
            <a:t>: </a:t>
          </a:r>
          <a:r>
            <a:rPr lang="en-US" sz="1100"/>
            <a:t>Reduce significant</a:t>
          </a:r>
          <a:r>
            <a:rPr lang="en-US" sz="1100" baseline="0"/>
            <a:t> digits displayed to at least a reasonable number when reporting an answer.</a:t>
          </a:r>
          <a:endParaRPr lang="en-US" sz="1100"/>
        </a:p>
      </xdr:txBody>
    </xdr:sp>
    <xdr:clientData/>
  </xdr:twoCellAnchor>
  <xdr:twoCellAnchor>
    <xdr:from>
      <xdr:col>1</xdr:col>
      <xdr:colOff>533400</xdr:colOff>
      <xdr:row>34</xdr:row>
      <xdr:rowOff>152399</xdr:rowOff>
    </xdr:from>
    <xdr:to>
      <xdr:col>4</xdr:col>
      <xdr:colOff>400049</xdr:colOff>
      <xdr:row>44</xdr:row>
      <xdr:rowOff>161925</xdr:rowOff>
    </xdr:to>
    <xdr:sp macro="" textlink="">
      <xdr:nvSpPr>
        <xdr:cNvPr id="8" name="TextBox 7"/>
        <xdr:cNvSpPr txBox="1"/>
      </xdr:nvSpPr>
      <xdr:spPr>
        <a:xfrm>
          <a:off x="1143000" y="6819899"/>
          <a:ext cx="1695449" cy="1943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a:t> the</a:t>
          </a:r>
          <a:r>
            <a:rPr lang="en-US" sz="1100" baseline="0"/>
            <a:t> comments (marked by red triangles in the corner). You can read helpful information about the results by hovering the mouse pointer over the cell. In this case, the reference temperatures for SG are given. </a:t>
          </a:r>
          <a:endParaRPr lang="en-US" sz="1100"/>
        </a:p>
      </xdr:txBody>
    </xdr:sp>
    <xdr:clientData/>
  </xdr:twoCellAnchor>
  <xdr:twoCellAnchor>
    <xdr:from>
      <xdr:col>4</xdr:col>
      <xdr:colOff>428625</xdr:colOff>
      <xdr:row>36</xdr:row>
      <xdr:rowOff>57150</xdr:rowOff>
    </xdr:from>
    <xdr:to>
      <xdr:col>11</xdr:col>
      <xdr:colOff>276225</xdr:colOff>
      <xdr:row>44</xdr:row>
      <xdr:rowOff>9526</xdr:rowOff>
    </xdr:to>
    <xdr:sp macro="" textlink="">
      <xdr:nvSpPr>
        <xdr:cNvPr id="9" name="TextBox 8"/>
        <xdr:cNvSpPr txBox="1"/>
      </xdr:nvSpPr>
      <xdr:spPr>
        <a:xfrm>
          <a:off x="2867025" y="7134225"/>
          <a:ext cx="4114800" cy="1476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TRY IT</a:t>
          </a:r>
          <a:r>
            <a:rPr lang="en-US" sz="1100"/>
            <a:t>: Note the '$' in the addresses in the formula</a:t>
          </a:r>
          <a:r>
            <a:rPr lang="en-US" sz="1100" baseline="0"/>
            <a:t> in </a:t>
          </a:r>
          <a:r>
            <a:rPr lang="en-US" sz="1100"/>
            <a:t>cell</a:t>
          </a:r>
          <a:r>
            <a:rPr lang="en-US" sz="1100" baseline="0"/>
            <a:t> H32. The '$' tells Excel not to change the element (column letter or row number) that follows when copying or "autofilling" cells. Select cell H32 (click on it), then place the cursor over the "handle" on the lower right of the cell. Click and hold the left mouse button and "drag" the handle down two cells to complete the table. Then go back and experiment with different combinations of '$' in the formula!</a:t>
          </a:r>
          <a:endParaRPr lang="en-US" sz="1100"/>
        </a:p>
      </xdr:txBody>
    </xdr:sp>
    <xdr:clientData/>
  </xdr:twoCellAnchor>
  <xdr:twoCellAnchor>
    <xdr:from>
      <xdr:col>6</xdr:col>
      <xdr:colOff>419100</xdr:colOff>
      <xdr:row>25</xdr:row>
      <xdr:rowOff>0</xdr:rowOff>
    </xdr:from>
    <xdr:to>
      <xdr:col>12</xdr:col>
      <xdr:colOff>152400</xdr:colOff>
      <xdr:row>28</xdr:row>
      <xdr:rowOff>142875</xdr:rowOff>
    </xdr:to>
    <xdr:sp macro="" textlink="">
      <xdr:nvSpPr>
        <xdr:cNvPr id="10" name="TextBox 9"/>
        <xdr:cNvSpPr txBox="1"/>
      </xdr:nvSpPr>
      <xdr:spPr>
        <a:xfrm>
          <a:off x="4076700" y="4800600"/>
          <a:ext cx="339090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TRY IT</a:t>
          </a:r>
          <a:r>
            <a:rPr lang="en-US" sz="1100">
              <a:solidFill>
                <a:schemeClr val="dk1"/>
              </a:solidFill>
              <a:effectLst/>
              <a:latin typeface="+mn-lt"/>
              <a:ea typeface="+mn-ea"/>
              <a:cs typeface="+mn-cs"/>
            </a:rPr>
            <a:t>: </a:t>
          </a:r>
          <a:r>
            <a:rPr lang="en-US" sz="1100"/>
            <a:t>Change the names of the cells where compounds</a:t>
          </a:r>
          <a:r>
            <a:rPr lang="en-US" sz="1100" baseline="0"/>
            <a:t> or elements are listed. Think about the numbers that are returned-- are they reasonable? </a:t>
          </a:r>
          <a:endParaRPr lang="en-US" sz="1100"/>
        </a:p>
      </xdr:txBody>
    </xdr:sp>
    <xdr:clientData/>
  </xdr:twoCellAnchor>
  <xdr:twoCellAnchor>
    <xdr:from>
      <xdr:col>7</xdr:col>
      <xdr:colOff>590549</xdr:colOff>
      <xdr:row>28</xdr:row>
      <xdr:rowOff>152400</xdr:rowOff>
    </xdr:from>
    <xdr:to>
      <xdr:col>13</xdr:col>
      <xdr:colOff>85724</xdr:colOff>
      <xdr:row>30</xdr:row>
      <xdr:rowOff>76200</xdr:rowOff>
    </xdr:to>
    <xdr:sp macro="" textlink="">
      <xdr:nvSpPr>
        <xdr:cNvPr id="11" name="TextBox 10"/>
        <xdr:cNvSpPr txBox="1"/>
      </xdr:nvSpPr>
      <xdr:spPr>
        <a:xfrm>
          <a:off x="4857749" y="5524500"/>
          <a:ext cx="315277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a:t>
          </a:r>
          <a:r>
            <a:rPr lang="en-US" sz="1100"/>
            <a:t>: Always label</a:t>
          </a:r>
          <a:r>
            <a:rPr lang="en-US" sz="1100" baseline="0"/>
            <a:t> results with units!</a:t>
          </a:r>
          <a:endParaRPr lang="en-US" sz="1100"/>
        </a:p>
      </xdr:txBody>
    </xdr:sp>
    <xdr:clientData/>
  </xdr:twoCellAnchor>
  <xdr:twoCellAnchor>
    <xdr:from>
      <xdr:col>0</xdr:col>
      <xdr:colOff>0</xdr:colOff>
      <xdr:row>16</xdr:row>
      <xdr:rowOff>19051</xdr:rowOff>
    </xdr:from>
    <xdr:to>
      <xdr:col>2</xdr:col>
      <xdr:colOff>19050</xdr:colOff>
      <xdr:row>20</xdr:row>
      <xdr:rowOff>38101</xdr:rowOff>
    </xdr:to>
    <xdr:sp macro="" textlink="">
      <xdr:nvSpPr>
        <xdr:cNvPr id="12" name="TextBox 11"/>
        <xdr:cNvSpPr txBox="1"/>
      </xdr:nvSpPr>
      <xdr:spPr>
        <a:xfrm>
          <a:off x="0" y="3067051"/>
          <a:ext cx="12382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MW()</a:t>
          </a:r>
          <a:r>
            <a:rPr lang="en-US" sz="1100"/>
            <a:t>: Look up compounds in the database when possible.</a:t>
          </a:r>
        </a:p>
      </xdr:txBody>
    </xdr:sp>
    <xdr:clientData/>
  </xdr:twoCellAnchor>
  <xdr:twoCellAnchor>
    <xdr:from>
      <xdr:col>0</xdr:col>
      <xdr:colOff>314325</xdr:colOff>
      <xdr:row>21</xdr:row>
      <xdr:rowOff>95250</xdr:rowOff>
    </xdr:from>
    <xdr:to>
      <xdr:col>3</xdr:col>
      <xdr:colOff>400050</xdr:colOff>
      <xdr:row>26</xdr:row>
      <xdr:rowOff>28575</xdr:rowOff>
    </xdr:to>
    <xdr:sp macro="" textlink="">
      <xdr:nvSpPr>
        <xdr:cNvPr id="13" name="TextBox 12"/>
        <xdr:cNvSpPr txBox="1"/>
      </xdr:nvSpPr>
      <xdr:spPr>
        <a:xfrm>
          <a:off x="314325" y="4095750"/>
          <a:ext cx="19145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MWCalc(): </a:t>
          </a:r>
          <a:r>
            <a:rPr lang="en-US" sz="1100"/>
            <a:t>If the compound is not in the database, you need to calculate it from its</a:t>
          </a:r>
          <a:r>
            <a:rPr lang="en-US" sz="1100" baseline="0"/>
            <a:t> molecular formula. </a:t>
          </a:r>
          <a:r>
            <a:rPr lang="en-US" sz="1100" baseline="0">
              <a:solidFill>
                <a:schemeClr val="dk1"/>
              </a:solidFill>
              <a:effectLst/>
              <a:latin typeface="+mn-lt"/>
              <a:ea typeface="+mn-ea"/>
              <a:cs typeface="+mn-cs"/>
            </a:rPr>
            <a:t>Names or symbols are valid inputs.</a:t>
          </a:r>
          <a:endParaRPr lang="en-US">
            <a:effectLst/>
          </a:endParaRPr>
        </a:p>
        <a:p>
          <a:endParaRPr lang="en-US" sz="1100"/>
        </a:p>
      </xdr:txBody>
    </xdr:sp>
    <xdr:clientData/>
  </xdr:twoCellAnchor>
  <xdr:twoCellAnchor>
    <xdr:from>
      <xdr:col>3</xdr:col>
      <xdr:colOff>161925</xdr:colOff>
      <xdr:row>34</xdr:row>
      <xdr:rowOff>1</xdr:rowOff>
    </xdr:from>
    <xdr:to>
      <xdr:col>4</xdr:col>
      <xdr:colOff>390525</xdr:colOff>
      <xdr:row>34</xdr:row>
      <xdr:rowOff>152399</xdr:rowOff>
    </xdr:to>
    <xdr:cxnSp macro="">
      <xdr:nvCxnSpPr>
        <xdr:cNvPr id="16" name="Straight Arrow Connector 15"/>
        <xdr:cNvCxnSpPr>
          <a:stCxn id="8" idx="0"/>
        </xdr:cNvCxnSpPr>
      </xdr:nvCxnSpPr>
      <xdr:spPr>
        <a:xfrm flipV="1">
          <a:off x="1990725" y="6667501"/>
          <a:ext cx="838200" cy="1523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32</xdr:row>
      <xdr:rowOff>123825</xdr:rowOff>
    </xdr:from>
    <xdr:to>
      <xdr:col>8</xdr:col>
      <xdr:colOff>47625</xdr:colOff>
      <xdr:row>36</xdr:row>
      <xdr:rowOff>57150</xdr:rowOff>
    </xdr:to>
    <xdr:cxnSp macro="">
      <xdr:nvCxnSpPr>
        <xdr:cNvPr id="18" name="Straight Arrow Connector 17"/>
        <xdr:cNvCxnSpPr>
          <a:stCxn id="9" idx="0"/>
        </xdr:cNvCxnSpPr>
      </xdr:nvCxnSpPr>
      <xdr:spPr>
        <a:xfrm flipH="1" flipV="1">
          <a:off x="4762500" y="6353175"/>
          <a:ext cx="16192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581025</xdr:colOff>
      <xdr:row>29</xdr:row>
      <xdr:rowOff>114300</xdr:rowOff>
    </xdr:from>
    <xdr:to>
      <xdr:col>7</xdr:col>
      <xdr:colOff>590549</xdr:colOff>
      <xdr:row>30</xdr:row>
      <xdr:rowOff>0</xdr:rowOff>
    </xdr:to>
    <xdr:cxnSp macro="">
      <xdr:nvCxnSpPr>
        <xdr:cNvPr id="20" name="Straight Arrow Connector 19"/>
        <xdr:cNvCxnSpPr>
          <a:stCxn id="11" idx="1"/>
        </xdr:cNvCxnSpPr>
      </xdr:nvCxnSpPr>
      <xdr:spPr>
        <a:xfrm flipH="1">
          <a:off x="4238625" y="5676900"/>
          <a:ext cx="619124"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xdr:row>
      <xdr:rowOff>95250</xdr:rowOff>
    </xdr:from>
    <xdr:to>
      <xdr:col>4</xdr:col>
      <xdr:colOff>552451</xdr:colOff>
      <xdr:row>15</xdr:row>
      <xdr:rowOff>104775</xdr:rowOff>
    </xdr:to>
    <xdr:sp macro="" textlink="">
      <xdr:nvSpPr>
        <xdr:cNvPr id="2" name="TextBox 1"/>
        <xdr:cNvSpPr txBox="1"/>
      </xdr:nvSpPr>
      <xdr:spPr>
        <a:xfrm>
          <a:off x="76200" y="285750"/>
          <a:ext cx="2914651"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Chapter 4.</a:t>
          </a:r>
        </a:p>
        <a:p>
          <a:endParaRPr lang="en-US" sz="1100"/>
        </a:p>
        <a:p>
          <a:r>
            <a:rPr lang="en-US" sz="1100"/>
            <a:t>This</a:t>
          </a:r>
          <a:r>
            <a:rPr lang="en-US" sz="1100" baseline="0"/>
            <a:t> chapter</a:t>
          </a:r>
          <a:r>
            <a:rPr lang="en-US" sz="1100"/>
            <a:t> does not require additional</a:t>
          </a:r>
          <a:r>
            <a:rPr lang="en-US" sz="1100" baseline="0"/>
            <a:t> </a:t>
          </a:r>
          <a:r>
            <a:rPr lang="en-US" sz="1100"/>
            <a:t>tabular</a:t>
          </a:r>
          <a:r>
            <a:rPr lang="en-US" sz="1100" baseline="0"/>
            <a:t> data, but it does require more in terms of equation solution. Here, the APEx Equation Solving Wizard (ESW) is introduced to guide you through use of a spreadsheet to solve a system  of non-linear (or linear) equations.  Note that the Excel Solver add-in must be installed to use the ESW.</a:t>
          </a:r>
        </a:p>
        <a:p>
          <a:endParaRPr lang="en-US" sz="1100" baseline="0"/>
        </a:p>
        <a:p>
          <a:r>
            <a:rPr lang="en-US" sz="1100" baseline="0"/>
            <a:t>To use the Wizard, click on the Add-ins tab (on Mac, use the menu to select View/Toolbars/APEx). Click on the Equation Solving Wizard button. </a:t>
          </a:r>
        </a:p>
        <a:p>
          <a:endParaRPr lang="en-US" sz="1100" baseline="0"/>
        </a:p>
      </xdr:txBody>
    </xdr:sp>
    <xdr:clientData/>
  </xdr:twoCellAnchor>
  <xdr:twoCellAnchor editAs="oneCell">
    <xdr:from>
      <xdr:col>5</xdr:col>
      <xdr:colOff>95250</xdr:colOff>
      <xdr:row>2</xdr:row>
      <xdr:rowOff>133350</xdr:rowOff>
    </xdr:from>
    <xdr:to>
      <xdr:col>11</xdr:col>
      <xdr:colOff>199555</xdr:colOff>
      <xdr:row>8</xdr:row>
      <xdr:rowOff>18921</xdr:rowOff>
    </xdr:to>
    <xdr:pic>
      <xdr:nvPicPr>
        <xdr:cNvPr id="3" name="Picture 2"/>
        <xdr:cNvPicPr>
          <a:picLocks noChangeAspect="1"/>
        </xdr:cNvPicPr>
      </xdr:nvPicPr>
      <xdr:blipFill>
        <a:blip xmlns:r="http://schemas.openxmlformats.org/officeDocument/2006/relationships" r:embed="rId1"/>
        <a:stretch>
          <a:fillRect/>
        </a:stretch>
      </xdr:blipFill>
      <xdr:spPr>
        <a:xfrm>
          <a:off x="3143250" y="514350"/>
          <a:ext cx="3761905" cy="1028571"/>
        </a:xfrm>
        <a:prstGeom prst="rect">
          <a:avLst/>
        </a:prstGeom>
      </xdr:spPr>
    </xdr:pic>
    <xdr:clientData/>
  </xdr:twoCellAnchor>
  <xdr:twoCellAnchor>
    <xdr:from>
      <xdr:col>0</xdr:col>
      <xdr:colOff>476250</xdr:colOff>
      <xdr:row>15</xdr:row>
      <xdr:rowOff>133350</xdr:rowOff>
    </xdr:from>
    <xdr:to>
      <xdr:col>5</xdr:col>
      <xdr:colOff>219075</xdr:colOff>
      <xdr:row>22</xdr:row>
      <xdr:rowOff>133350</xdr:rowOff>
    </xdr:to>
    <xdr:sp macro="" textlink="">
      <xdr:nvSpPr>
        <xdr:cNvPr id="4" name="TextBox 3"/>
        <xdr:cNvSpPr txBox="1"/>
      </xdr:nvSpPr>
      <xdr:spPr>
        <a:xfrm>
          <a:off x="476250" y="2990850"/>
          <a:ext cx="279082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a:t>
          </a:r>
          <a:r>
            <a:rPr lang="en-US" sz="1100" baseline="0"/>
            <a:t> reading the overview, click Next and enter your equations to be solved. You can copy and paste the equations from Example 4.5-1 at  right if you'd prefer.  Note how the ESW tracks your equations and your variables to ensure you reduce the degrees of freedom to zero before moving to the next step.</a:t>
          </a:r>
          <a:endParaRPr lang="en-US" sz="1100"/>
        </a:p>
      </xdr:txBody>
    </xdr:sp>
    <xdr:clientData/>
  </xdr:twoCellAnchor>
  <xdr:twoCellAnchor editAs="oneCell">
    <xdr:from>
      <xdr:col>7</xdr:col>
      <xdr:colOff>152400</xdr:colOff>
      <xdr:row>16</xdr:row>
      <xdr:rowOff>76200</xdr:rowOff>
    </xdr:from>
    <xdr:to>
      <xdr:col>13</xdr:col>
      <xdr:colOff>199562</xdr:colOff>
      <xdr:row>31</xdr:row>
      <xdr:rowOff>113938</xdr:rowOff>
    </xdr:to>
    <xdr:pic>
      <xdr:nvPicPr>
        <xdr:cNvPr id="5" name="Picture 4"/>
        <xdr:cNvPicPr>
          <a:picLocks noChangeAspect="1"/>
        </xdr:cNvPicPr>
      </xdr:nvPicPr>
      <xdr:blipFill>
        <a:blip xmlns:r="http://schemas.openxmlformats.org/officeDocument/2006/relationships" r:embed="rId2"/>
        <a:stretch>
          <a:fillRect/>
        </a:stretch>
      </xdr:blipFill>
      <xdr:spPr>
        <a:xfrm>
          <a:off x="4419600" y="3124200"/>
          <a:ext cx="3704762" cy="2895238"/>
        </a:xfrm>
        <a:prstGeom prst="rect">
          <a:avLst/>
        </a:prstGeom>
      </xdr:spPr>
    </xdr:pic>
    <xdr:clientData/>
  </xdr:twoCellAnchor>
  <xdr:twoCellAnchor editAs="oneCell">
    <xdr:from>
      <xdr:col>0</xdr:col>
      <xdr:colOff>161925</xdr:colOff>
      <xdr:row>32</xdr:row>
      <xdr:rowOff>47625</xdr:rowOff>
    </xdr:from>
    <xdr:to>
      <xdr:col>6</xdr:col>
      <xdr:colOff>218611</xdr:colOff>
      <xdr:row>46</xdr:row>
      <xdr:rowOff>171101</xdr:rowOff>
    </xdr:to>
    <xdr:pic>
      <xdr:nvPicPr>
        <xdr:cNvPr id="6" name="Picture 5"/>
        <xdr:cNvPicPr>
          <a:picLocks noChangeAspect="1"/>
        </xdr:cNvPicPr>
      </xdr:nvPicPr>
      <xdr:blipFill>
        <a:blip xmlns:r="http://schemas.openxmlformats.org/officeDocument/2006/relationships" r:embed="rId3"/>
        <a:stretch>
          <a:fillRect/>
        </a:stretch>
      </xdr:blipFill>
      <xdr:spPr>
        <a:xfrm>
          <a:off x="161925" y="6143625"/>
          <a:ext cx="3714286" cy="2790476"/>
        </a:xfrm>
        <a:prstGeom prst="rect">
          <a:avLst/>
        </a:prstGeom>
      </xdr:spPr>
    </xdr:pic>
    <xdr:clientData/>
  </xdr:twoCellAnchor>
  <xdr:twoCellAnchor>
    <xdr:from>
      <xdr:col>2</xdr:col>
      <xdr:colOff>228600</xdr:colOff>
      <xdr:row>23</xdr:row>
      <xdr:rowOff>161925</xdr:rowOff>
    </xdr:from>
    <xdr:to>
      <xdr:col>6</xdr:col>
      <xdr:colOff>552450</xdr:colOff>
      <xdr:row>32</xdr:row>
      <xdr:rowOff>19050</xdr:rowOff>
    </xdr:to>
    <xdr:sp macro="" textlink="">
      <xdr:nvSpPr>
        <xdr:cNvPr id="7" name="TextBox 6"/>
        <xdr:cNvSpPr txBox="1"/>
      </xdr:nvSpPr>
      <xdr:spPr>
        <a:xfrm>
          <a:off x="1447800" y="4543425"/>
          <a:ext cx="27622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can then change the initial</a:t>
          </a:r>
          <a:r>
            <a:rPr lang="en-US" sz="1100" baseline="0"/>
            <a:t> guess for your variables by clicking on the variable name. Giving guesses on the correct order of magnitude can improve the liklihood of solution for mathematically difficult systems. If you know all of your answers will be positive, checking the assumption box can result in a more efficient solution.</a:t>
          </a:r>
          <a:endParaRPr lang="en-US" sz="1100"/>
        </a:p>
      </xdr:txBody>
    </xdr:sp>
    <xdr:clientData/>
  </xdr:twoCellAnchor>
  <xdr:twoCellAnchor editAs="oneCell">
    <xdr:from>
      <xdr:col>1</xdr:col>
      <xdr:colOff>361950</xdr:colOff>
      <xdr:row>47</xdr:row>
      <xdr:rowOff>57150</xdr:rowOff>
    </xdr:from>
    <xdr:to>
      <xdr:col>7</xdr:col>
      <xdr:colOff>399588</xdr:colOff>
      <xdr:row>61</xdr:row>
      <xdr:rowOff>133007</xdr:rowOff>
    </xdr:to>
    <xdr:pic>
      <xdr:nvPicPr>
        <xdr:cNvPr id="8" name="Picture 7"/>
        <xdr:cNvPicPr>
          <a:picLocks noChangeAspect="1"/>
        </xdr:cNvPicPr>
      </xdr:nvPicPr>
      <xdr:blipFill>
        <a:blip xmlns:r="http://schemas.openxmlformats.org/officeDocument/2006/relationships" r:embed="rId4"/>
        <a:stretch>
          <a:fillRect/>
        </a:stretch>
      </xdr:blipFill>
      <xdr:spPr>
        <a:xfrm>
          <a:off x="971550" y="9010650"/>
          <a:ext cx="3695238" cy="2742857"/>
        </a:xfrm>
        <a:prstGeom prst="rect">
          <a:avLst/>
        </a:prstGeom>
      </xdr:spPr>
    </xdr:pic>
    <xdr:clientData/>
  </xdr:twoCellAnchor>
  <xdr:twoCellAnchor>
    <xdr:from>
      <xdr:col>7</xdr:col>
      <xdr:colOff>47625</xdr:colOff>
      <xdr:row>32</xdr:row>
      <xdr:rowOff>161925</xdr:rowOff>
    </xdr:from>
    <xdr:to>
      <xdr:col>13</xdr:col>
      <xdr:colOff>9525</xdr:colOff>
      <xdr:row>39</xdr:row>
      <xdr:rowOff>85725</xdr:rowOff>
    </xdr:to>
    <xdr:sp macro="" textlink="">
      <xdr:nvSpPr>
        <xdr:cNvPr id="9" name="TextBox 8"/>
        <xdr:cNvSpPr txBox="1"/>
      </xdr:nvSpPr>
      <xdr:spPr>
        <a:xfrm>
          <a:off x="4314825" y="6257925"/>
          <a:ext cx="36195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last step is to select where to place your results. Note this will overwrite existing</a:t>
          </a:r>
          <a:r>
            <a:rPr lang="en-US" sz="1100" baseline="0"/>
            <a:t> data. Note you have the option of using an enhancement for problems whose answers have widely varying orders of magntude (like mole fractions and heat duties or large flow rates). The last option lets you take a look at the Solver settings before finding a solution.</a:t>
          </a:r>
          <a:endParaRPr lang="en-US" sz="1100"/>
        </a:p>
      </xdr:txBody>
    </xdr:sp>
    <xdr:clientData/>
  </xdr:twoCellAnchor>
  <xdr:twoCellAnchor>
    <xdr:from>
      <xdr:col>7</xdr:col>
      <xdr:colOff>533400</xdr:colOff>
      <xdr:row>50</xdr:row>
      <xdr:rowOff>180974</xdr:rowOff>
    </xdr:from>
    <xdr:to>
      <xdr:col>9</xdr:col>
      <xdr:colOff>581025</xdr:colOff>
      <xdr:row>61</xdr:row>
      <xdr:rowOff>152399</xdr:rowOff>
    </xdr:to>
    <xdr:sp macro="" textlink="">
      <xdr:nvSpPr>
        <xdr:cNvPr id="10" name="TextBox 9"/>
        <xdr:cNvSpPr txBox="1"/>
      </xdr:nvSpPr>
      <xdr:spPr>
        <a:xfrm>
          <a:off x="4800600" y="9705974"/>
          <a:ext cx="1266825"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the ESW</a:t>
          </a:r>
          <a:r>
            <a:rPr lang="en-US" sz="1100" baseline="0"/>
            <a:t> finishes, you can run Solver (Data tab, Analysis section) again to resolve the system with any changes you've made without re-entering anything.</a:t>
          </a:r>
          <a:endParaRPr lang="en-US" sz="1100"/>
        </a:p>
      </xdr:txBody>
    </xdr:sp>
    <xdr:clientData/>
  </xdr:twoCellAnchor>
  <xdr:twoCellAnchor editAs="oneCell">
    <xdr:from>
      <xdr:col>10</xdr:col>
      <xdr:colOff>9525</xdr:colOff>
      <xdr:row>56</xdr:row>
      <xdr:rowOff>171450</xdr:rowOff>
    </xdr:from>
    <xdr:to>
      <xdr:col>16</xdr:col>
      <xdr:colOff>252274</xdr:colOff>
      <xdr:row>77</xdr:row>
      <xdr:rowOff>180975</xdr:rowOff>
    </xdr:to>
    <xdr:pic>
      <xdr:nvPicPr>
        <xdr:cNvPr id="11" name="Picture 10"/>
        <xdr:cNvPicPr>
          <a:picLocks noChangeAspect="1"/>
        </xdr:cNvPicPr>
      </xdr:nvPicPr>
      <xdr:blipFill>
        <a:blip xmlns:r="http://schemas.openxmlformats.org/officeDocument/2006/relationships" r:embed="rId5"/>
        <a:stretch>
          <a:fillRect/>
        </a:stretch>
      </xdr:blipFill>
      <xdr:spPr>
        <a:xfrm>
          <a:off x="6105525" y="10839450"/>
          <a:ext cx="3900349" cy="4010025"/>
        </a:xfrm>
        <a:prstGeom prst="rect">
          <a:avLst/>
        </a:prstGeom>
      </xdr:spPr>
    </xdr:pic>
    <xdr:clientData/>
  </xdr:twoCellAnchor>
  <xdr:twoCellAnchor>
    <xdr:from>
      <xdr:col>5</xdr:col>
      <xdr:colOff>104776</xdr:colOff>
      <xdr:row>63</xdr:row>
      <xdr:rowOff>76200</xdr:rowOff>
    </xdr:from>
    <xdr:to>
      <xdr:col>9</xdr:col>
      <xdr:colOff>238126</xdr:colOff>
      <xdr:row>70</xdr:row>
      <xdr:rowOff>171450</xdr:rowOff>
    </xdr:to>
    <xdr:sp macro="" textlink="">
      <xdr:nvSpPr>
        <xdr:cNvPr id="12" name="TextBox 11"/>
        <xdr:cNvSpPr txBox="1"/>
      </xdr:nvSpPr>
      <xdr:spPr>
        <a:xfrm>
          <a:off x="3152776" y="12077700"/>
          <a:ext cx="257175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Once</a:t>
          </a:r>
          <a:r>
            <a:rPr lang="en-US" sz="1100" baseline="0"/>
            <a:t> you get comfortable with this setup, you can easily solve systems (and find parameters for curve fits amongst other uses) with the same technique.</a:t>
          </a:r>
          <a:endParaRPr lang="en-US" sz="1100"/>
        </a:p>
      </xdr:txBody>
    </xdr:sp>
    <xdr:clientData/>
  </xdr:twoCellAnchor>
  <xdr:twoCellAnchor>
    <xdr:from>
      <xdr:col>4</xdr:col>
      <xdr:colOff>342900</xdr:colOff>
      <xdr:row>5</xdr:row>
      <xdr:rowOff>180976</xdr:rowOff>
    </xdr:from>
    <xdr:to>
      <xdr:col>5</xdr:col>
      <xdr:colOff>285750</xdr:colOff>
      <xdr:row>13</xdr:row>
      <xdr:rowOff>171450</xdr:rowOff>
    </xdr:to>
    <xdr:cxnSp macro="">
      <xdr:nvCxnSpPr>
        <xdr:cNvPr id="14" name="Straight Arrow Connector 13"/>
        <xdr:cNvCxnSpPr/>
      </xdr:nvCxnSpPr>
      <xdr:spPr>
        <a:xfrm flipV="1">
          <a:off x="2781300" y="1133476"/>
          <a:ext cx="552450" cy="15144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14</xdr:row>
      <xdr:rowOff>66675</xdr:rowOff>
    </xdr:from>
    <xdr:to>
      <xdr:col>5</xdr:col>
      <xdr:colOff>495300</xdr:colOff>
      <xdr:row>18</xdr:row>
      <xdr:rowOff>0</xdr:rowOff>
    </xdr:to>
    <xdr:cxnSp macro="">
      <xdr:nvCxnSpPr>
        <xdr:cNvPr id="16" name="Straight Arrow Connector 15"/>
        <xdr:cNvCxnSpPr/>
      </xdr:nvCxnSpPr>
      <xdr:spPr>
        <a:xfrm flipV="1">
          <a:off x="3162300" y="2733675"/>
          <a:ext cx="381000" cy="695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20</xdr:row>
      <xdr:rowOff>0</xdr:rowOff>
    </xdr:from>
    <xdr:to>
      <xdr:col>8</xdr:col>
      <xdr:colOff>466725</xdr:colOff>
      <xdr:row>27</xdr:row>
      <xdr:rowOff>123825</xdr:rowOff>
    </xdr:to>
    <xdr:cxnSp macro="">
      <xdr:nvCxnSpPr>
        <xdr:cNvPr id="18" name="Straight Arrow Connector 17"/>
        <xdr:cNvCxnSpPr/>
      </xdr:nvCxnSpPr>
      <xdr:spPr>
        <a:xfrm>
          <a:off x="3238500" y="3810000"/>
          <a:ext cx="2105025" cy="1457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428625</xdr:colOff>
      <xdr:row>27</xdr:row>
      <xdr:rowOff>57150</xdr:rowOff>
    </xdr:from>
    <xdr:to>
      <xdr:col>2</xdr:col>
      <xdr:colOff>285750</xdr:colOff>
      <xdr:row>36</xdr:row>
      <xdr:rowOff>66675</xdr:rowOff>
    </xdr:to>
    <xdr:cxnSp macro="">
      <xdr:nvCxnSpPr>
        <xdr:cNvPr id="20" name="Straight Arrow Connector 19"/>
        <xdr:cNvCxnSpPr/>
      </xdr:nvCxnSpPr>
      <xdr:spPr>
        <a:xfrm flipH="1">
          <a:off x="1038225" y="5200650"/>
          <a:ext cx="466725" cy="1724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31</xdr:row>
      <xdr:rowOff>47625</xdr:rowOff>
    </xdr:from>
    <xdr:to>
      <xdr:col>4</xdr:col>
      <xdr:colOff>419100</xdr:colOff>
      <xdr:row>35</xdr:row>
      <xdr:rowOff>104775</xdr:rowOff>
    </xdr:to>
    <xdr:cxnSp macro="">
      <xdr:nvCxnSpPr>
        <xdr:cNvPr id="22" name="Straight Arrow Connector 21"/>
        <xdr:cNvCxnSpPr/>
      </xdr:nvCxnSpPr>
      <xdr:spPr>
        <a:xfrm flipH="1">
          <a:off x="2657475" y="5953125"/>
          <a:ext cx="200025" cy="819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35</xdr:row>
      <xdr:rowOff>95250</xdr:rowOff>
    </xdr:from>
    <xdr:to>
      <xdr:col>7</xdr:col>
      <xdr:colOff>152400</xdr:colOff>
      <xdr:row>56</xdr:row>
      <xdr:rowOff>57150</xdr:rowOff>
    </xdr:to>
    <xdr:cxnSp macro="">
      <xdr:nvCxnSpPr>
        <xdr:cNvPr id="24" name="Straight Arrow Connector 23"/>
        <xdr:cNvCxnSpPr/>
      </xdr:nvCxnSpPr>
      <xdr:spPr>
        <a:xfrm flipH="1">
          <a:off x="3257550" y="6762750"/>
          <a:ext cx="1162050" cy="396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38</xdr:row>
      <xdr:rowOff>123825</xdr:rowOff>
    </xdr:from>
    <xdr:to>
      <xdr:col>8</xdr:col>
      <xdr:colOff>95250</xdr:colOff>
      <xdr:row>57</xdr:row>
      <xdr:rowOff>152400</xdr:rowOff>
    </xdr:to>
    <xdr:cxnSp macro="">
      <xdr:nvCxnSpPr>
        <xdr:cNvPr id="26" name="Straight Arrow Connector 25"/>
        <xdr:cNvCxnSpPr/>
      </xdr:nvCxnSpPr>
      <xdr:spPr>
        <a:xfrm flipH="1">
          <a:off x="3829050" y="7362825"/>
          <a:ext cx="1143000"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400050</xdr:colOff>
      <xdr:row>33</xdr:row>
      <xdr:rowOff>104775</xdr:rowOff>
    </xdr:from>
    <xdr:to>
      <xdr:col>7</xdr:col>
      <xdr:colOff>152400</xdr:colOff>
      <xdr:row>49</xdr:row>
      <xdr:rowOff>123825</xdr:rowOff>
    </xdr:to>
    <xdr:cxnSp macro="">
      <xdr:nvCxnSpPr>
        <xdr:cNvPr id="28" name="Straight Arrow Connector 27"/>
        <xdr:cNvCxnSpPr/>
      </xdr:nvCxnSpPr>
      <xdr:spPr>
        <a:xfrm flipH="1">
          <a:off x="2228850" y="6391275"/>
          <a:ext cx="2190750" cy="3067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51</xdr:row>
      <xdr:rowOff>0</xdr:rowOff>
    </xdr:from>
    <xdr:to>
      <xdr:col>16</xdr:col>
      <xdr:colOff>228115</xdr:colOff>
      <xdr:row>56</xdr:row>
      <xdr:rowOff>161786</xdr:rowOff>
    </xdr:to>
    <xdr:pic>
      <xdr:nvPicPr>
        <xdr:cNvPr id="29" name="Picture 28"/>
        <xdr:cNvPicPr>
          <a:picLocks noChangeAspect="1"/>
        </xdr:cNvPicPr>
      </xdr:nvPicPr>
      <xdr:blipFill>
        <a:blip xmlns:r="http://schemas.openxmlformats.org/officeDocument/2006/relationships" r:embed="rId6"/>
        <a:stretch>
          <a:fillRect/>
        </a:stretch>
      </xdr:blipFill>
      <xdr:spPr>
        <a:xfrm>
          <a:off x="6096000" y="9715500"/>
          <a:ext cx="3885715" cy="1114286"/>
        </a:xfrm>
        <a:prstGeom prst="rect">
          <a:avLst/>
        </a:prstGeom>
      </xdr:spPr>
    </xdr:pic>
    <xdr:clientData/>
  </xdr:twoCellAnchor>
  <xdr:twoCellAnchor>
    <xdr:from>
      <xdr:col>9</xdr:col>
      <xdr:colOff>409575</xdr:colOff>
      <xdr:row>53</xdr:row>
      <xdr:rowOff>19050</xdr:rowOff>
    </xdr:from>
    <xdr:to>
      <xdr:col>14</xdr:col>
      <xdr:colOff>485775</xdr:colOff>
      <xdr:row>53</xdr:row>
      <xdr:rowOff>38100</xdr:rowOff>
    </xdr:to>
    <xdr:cxnSp macro="">
      <xdr:nvCxnSpPr>
        <xdr:cNvPr id="31" name="Straight Arrow Connector 30"/>
        <xdr:cNvCxnSpPr/>
      </xdr:nvCxnSpPr>
      <xdr:spPr>
        <a:xfrm flipV="1">
          <a:off x="5895975" y="10115550"/>
          <a:ext cx="312420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152401</xdr:colOff>
      <xdr:row>2</xdr:row>
      <xdr:rowOff>57149</xdr:rowOff>
    </xdr:from>
    <xdr:to>
      <xdr:col>8</xdr:col>
      <xdr:colOff>523875</xdr:colOff>
      <xdr:row>7</xdr:row>
      <xdr:rowOff>0</xdr:rowOff>
    </xdr:to>
    <xdr:sp macro="" textlink="">
      <xdr:nvSpPr>
        <xdr:cNvPr id="2" name="TextBox 1"/>
        <xdr:cNvSpPr txBox="1"/>
      </xdr:nvSpPr>
      <xdr:spPr>
        <a:xfrm>
          <a:off x="152401" y="438149"/>
          <a:ext cx="5248274" cy="914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Chapter 5 introduces</a:t>
          </a:r>
          <a:r>
            <a:rPr lang="en-US" sz="1100" baseline="0"/>
            <a:t> a couple of </a:t>
          </a:r>
          <a:r>
            <a:rPr lang="en-US" sz="1100"/>
            <a:t> new  properties accessible from APEx</a:t>
          </a:r>
          <a:r>
            <a:rPr lang="en-US" sz="1100" baseline="0"/>
            <a:t>. </a:t>
          </a:r>
          <a:endParaRPr lang="en-US" sz="1100"/>
        </a:p>
        <a:p>
          <a:r>
            <a:rPr lang="en-US" sz="1100" b="1">
              <a:solidFill>
                <a:schemeClr val="dk1"/>
              </a:solidFill>
              <a:effectLst/>
              <a:latin typeface="+mn-lt"/>
              <a:ea typeface="+mn-ea"/>
              <a:cs typeface="+mn-cs"/>
            </a:rPr>
            <a:t>Tcrit</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critical temperature in K</a:t>
          </a:r>
        </a:p>
        <a:p>
          <a:r>
            <a:rPr lang="en-US" sz="1100" b="1">
              <a:solidFill>
                <a:schemeClr val="dk1"/>
              </a:solidFill>
              <a:effectLst/>
              <a:latin typeface="+mn-lt"/>
              <a:ea typeface="+mn-ea"/>
              <a:cs typeface="+mn-cs"/>
            </a:rPr>
            <a:t>Pcrit</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critical pressure of a compound in atm </a:t>
          </a:r>
        </a:p>
        <a:p>
          <a:endParaRPr lang="en-US" sz="1100"/>
        </a:p>
        <a:p>
          <a:endParaRPr lang="en-US" sz="1100"/>
        </a:p>
      </xdr:txBody>
    </xdr:sp>
    <xdr:clientData/>
  </xdr:twoCellAnchor>
  <xdr:twoCellAnchor>
    <xdr:from>
      <xdr:col>0</xdr:col>
      <xdr:colOff>466725</xdr:colOff>
      <xdr:row>11</xdr:row>
      <xdr:rowOff>76199</xdr:rowOff>
    </xdr:from>
    <xdr:to>
      <xdr:col>3</xdr:col>
      <xdr:colOff>323850</xdr:colOff>
      <xdr:row>22</xdr:row>
      <xdr:rowOff>47624</xdr:rowOff>
    </xdr:to>
    <xdr:sp macro="" textlink="">
      <xdr:nvSpPr>
        <xdr:cNvPr id="3" name="TextBox 2"/>
        <xdr:cNvSpPr txBox="1"/>
      </xdr:nvSpPr>
      <xdr:spPr>
        <a:xfrm>
          <a:off x="466725" y="3333749"/>
          <a:ext cx="1685925"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text cites how it looked up the density of</a:t>
          </a:r>
          <a:r>
            <a:rPr lang="en-US" sz="1100" baseline="0"/>
            <a:t> a 50% sulfuric acid solution at 20 </a:t>
          </a:r>
          <a:r>
            <a:rPr lang="en-US" sz="1100" baseline="30000"/>
            <a:t>o</a:t>
          </a:r>
          <a:r>
            <a:rPr lang="en-US" sz="1100" baseline="0"/>
            <a:t>C. We can replicate the test of the two suggested methods of estimating the mixture density from the pure component  densities using Excel and ProPrEx as illustrated here.</a:t>
          </a:r>
          <a:endParaRPr lang="en-US" sz="1100"/>
        </a:p>
      </xdr:txBody>
    </xdr:sp>
    <xdr:clientData/>
  </xdr:twoCellAnchor>
  <xdr:twoCellAnchor>
    <xdr:from>
      <xdr:col>8</xdr:col>
      <xdr:colOff>171450</xdr:colOff>
      <xdr:row>10</xdr:row>
      <xdr:rowOff>47625</xdr:rowOff>
    </xdr:from>
    <xdr:to>
      <xdr:col>11</xdr:col>
      <xdr:colOff>180975</xdr:colOff>
      <xdr:row>17</xdr:row>
      <xdr:rowOff>38100</xdr:rowOff>
    </xdr:to>
    <xdr:sp macro="" textlink="">
      <xdr:nvSpPr>
        <xdr:cNvPr id="4" name="TextBox 3"/>
        <xdr:cNvSpPr txBox="1"/>
      </xdr:nvSpPr>
      <xdr:spPr>
        <a:xfrm>
          <a:off x="5048250" y="3114675"/>
          <a:ext cx="183832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Hover your mouse over</a:t>
          </a:r>
          <a:r>
            <a:rPr lang="en-US" sz="1100" baseline="0"/>
            <a:t> the red triangles in the upper left of the SG values. This is the refernce state information. In the case of water, this is telling us this is the SG of water at 4 </a:t>
          </a:r>
          <a:r>
            <a:rPr lang="en-US" sz="1100" baseline="30000"/>
            <a:t>o</a:t>
          </a:r>
          <a:r>
            <a:rPr lang="en-US" sz="1100" baseline="0"/>
            <a:t>C, not at 20 </a:t>
          </a:r>
          <a:r>
            <a:rPr lang="en-US" sz="1100" baseline="30000"/>
            <a:t>o</a:t>
          </a:r>
          <a:r>
            <a:rPr lang="en-US" sz="1100" baseline="0"/>
            <a:t>C as in the book.</a:t>
          </a:r>
          <a:endParaRPr lang="en-US" sz="1100"/>
        </a:p>
      </xdr:txBody>
    </xdr:sp>
    <xdr:clientData/>
  </xdr:twoCellAnchor>
  <xdr:twoCellAnchor>
    <xdr:from>
      <xdr:col>8</xdr:col>
      <xdr:colOff>200025</xdr:colOff>
      <xdr:row>18</xdr:row>
      <xdr:rowOff>161925</xdr:rowOff>
    </xdr:from>
    <xdr:to>
      <xdr:col>11</xdr:col>
      <xdr:colOff>514350</xdr:colOff>
      <xdr:row>24</xdr:row>
      <xdr:rowOff>38100</xdr:rowOff>
    </xdr:to>
    <xdr:sp macro="" textlink="">
      <xdr:nvSpPr>
        <xdr:cNvPr id="5" name="TextBox 4"/>
        <xdr:cNvSpPr txBox="1"/>
      </xdr:nvSpPr>
      <xdr:spPr>
        <a:xfrm>
          <a:off x="5076825" y="5000625"/>
          <a:ext cx="214312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a:t>
          </a:r>
          <a:r>
            <a:rPr lang="en-US" sz="1100"/>
            <a:t>: Look</a:t>
          </a:r>
          <a:r>
            <a:rPr lang="en-US" sz="1100" baseline="0"/>
            <a:t> up values, then perform calculations using those values. This allows you to determine if the values returned by the function are reasonable.</a:t>
          </a:r>
          <a:endParaRPr lang="en-US" sz="1100"/>
        </a:p>
      </xdr:txBody>
    </xdr:sp>
    <xdr:clientData/>
  </xdr:twoCellAnchor>
  <xdr:twoCellAnchor>
    <xdr:from>
      <xdr:col>3</xdr:col>
      <xdr:colOff>542925</xdr:colOff>
      <xdr:row>35</xdr:row>
      <xdr:rowOff>19050</xdr:rowOff>
    </xdr:from>
    <xdr:to>
      <xdr:col>6</xdr:col>
      <xdr:colOff>323850</xdr:colOff>
      <xdr:row>39</xdr:row>
      <xdr:rowOff>180975</xdr:rowOff>
    </xdr:to>
    <xdr:sp macro="" textlink="">
      <xdr:nvSpPr>
        <xdr:cNvPr id="6" name="TextBox 5"/>
        <xdr:cNvSpPr txBox="1"/>
      </xdr:nvSpPr>
      <xdr:spPr>
        <a:xfrm>
          <a:off x="2371725" y="8181975"/>
          <a:ext cx="16097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Try it.</a:t>
          </a:r>
          <a:r>
            <a:rPr lang="en-US" sz="1100"/>
            <a:t> Complete the rest of the example in Excel, and</a:t>
          </a:r>
          <a:r>
            <a:rPr lang="en-US" sz="1100" baseline="0"/>
            <a:t> see if you can identify places you are likely to make errors in composing your formula (or entering  operations into your calculator)</a:t>
          </a:r>
          <a:endParaRPr lang="en-US" sz="1100"/>
        </a:p>
      </xdr:txBody>
    </xdr:sp>
    <xdr:clientData/>
  </xdr:twoCellAnchor>
  <xdr:twoCellAnchor>
    <xdr:from>
      <xdr:col>7</xdr:col>
      <xdr:colOff>228601</xdr:colOff>
      <xdr:row>25</xdr:row>
      <xdr:rowOff>38101</xdr:rowOff>
    </xdr:from>
    <xdr:to>
      <xdr:col>9</xdr:col>
      <xdr:colOff>400051</xdr:colOff>
      <xdr:row>31</xdr:row>
      <xdr:rowOff>95251</xdr:rowOff>
    </xdr:to>
    <xdr:sp macro="" textlink="">
      <xdr:nvSpPr>
        <xdr:cNvPr id="7" name="TextBox 6"/>
        <xdr:cNvSpPr txBox="1"/>
      </xdr:nvSpPr>
      <xdr:spPr>
        <a:xfrm>
          <a:off x="4495801" y="6257926"/>
          <a:ext cx="13906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Best Practice:</a:t>
          </a:r>
          <a:r>
            <a:rPr lang="en-US" sz="1100" b="1" baseline="0"/>
            <a:t> </a:t>
          </a:r>
          <a:r>
            <a:rPr lang="en-US" sz="1100" baseline="0"/>
            <a:t>Keep your original data input separate from any calculations, including unit conversions.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1</xdr:row>
      <xdr:rowOff>85725</xdr:rowOff>
    </xdr:from>
    <xdr:to>
      <xdr:col>9</xdr:col>
      <xdr:colOff>247650</xdr:colOff>
      <xdr:row>13</xdr:row>
      <xdr:rowOff>209550</xdr:rowOff>
    </xdr:to>
    <xdr:sp macro="" textlink="">
      <xdr:nvSpPr>
        <xdr:cNvPr id="2" name="TextBox 1"/>
        <xdr:cNvSpPr txBox="1"/>
      </xdr:nvSpPr>
      <xdr:spPr>
        <a:xfrm>
          <a:off x="647700" y="276225"/>
          <a:ext cx="5086350" cy="2733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following APEx functions allow you to access some of the key properties from the textbook within Excel.</a:t>
          </a:r>
          <a:endParaRPr lang="en-US" sz="1100"/>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Hv</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molar enthalpy change of vaporization in kJ/mol.</a:t>
          </a:r>
        </a:p>
        <a:p>
          <a:r>
            <a:rPr lang="en-US" sz="1100" b="1">
              <a:solidFill>
                <a:schemeClr val="dk1"/>
              </a:solidFill>
              <a:effectLst/>
              <a:latin typeface="+mn-lt"/>
              <a:ea typeface="+mn-ea"/>
              <a:cs typeface="+mn-cs"/>
            </a:rPr>
            <a:t>Tm</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melting point temperature in °C</a:t>
          </a:r>
        </a:p>
        <a:p>
          <a:r>
            <a:rPr lang="en-US" sz="1100" b="1">
              <a:solidFill>
                <a:schemeClr val="dk1"/>
              </a:solidFill>
              <a:effectLst/>
              <a:latin typeface="+mn-lt"/>
              <a:ea typeface="+mn-ea"/>
              <a:cs typeface="+mn-cs"/>
            </a:rPr>
            <a:t>Hm</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molar enthalpy change of melting in kJ/mol.</a:t>
          </a:r>
        </a:p>
        <a:p>
          <a:r>
            <a:rPr lang="en-US" sz="1100" b="1">
              <a:solidFill>
                <a:schemeClr val="dk1"/>
              </a:solidFill>
              <a:effectLst/>
              <a:latin typeface="+mn-lt"/>
              <a:ea typeface="+mn-ea"/>
              <a:cs typeface="+mn-cs"/>
            </a:rPr>
            <a:t>Tb</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normal boiling point temperature in °C</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VPWater</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temperature,[temperature units]</a:t>
          </a:r>
          <a:r>
            <a:rPr lang="en-US" sz="1100">
              <a:solidFill>
                <a:schemeClr val="dk1"/>
              </a:solidFill>
              <a:effectLst/>
              <a:latin typeface="+mn-lt"/>
              <a:ea typeface="+mn-ea"/>
              <a:cs typeface="+mn-cs"/>
            </a:rPr>
            <a:t>)	returns the vapor pressure in mm Hg of water for a given temperature.</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AntoineP</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 temperature, [temperature units]</a:t>
          </a:r>
          <a:r>
            <a:rPr lang="en-US" sz="1100">
              <a:solidFill>
                <a:schemeClr val="dk1"/>
              </a:solidFill>
              <a:effectLst/>
              <a:latin typeface="+mn-lt"/>
              <a:ea typeface="+mn-ea"/>
              <a:cs typeface="+mn-cs"/>
            </a:rPr>
            <a:t>)	returns the vapor pressure in mm Hg of a compound for a given temperature.</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AntoineT</a:t>
          </a:r>
          <a:r>
            <a:rPr lang="en-US" sz="1100" b="0">
              <a:solidFill>
                <a:schemeClr val="dk1"/>
              </a:solidFill>
              <a:effectLst/>
              <a:latin typeface="+mn-lt"/>
              <a:ea typeface="+mn-ea"/>
              <a:cs typeface="+mn-cs"/>
            </a:rPr>
            <a:t>(</a:t>
          </a:r>
          <a:r>
            <a:rPr lang="en-US" sz="1100" i="1">
              <a:solidFill>
                <a:schemeClr val="dk1"/>
              </a:solidFill>
              <a:effectLst/>
              <a:latin typeface="+mn-lt"/>
              <a:ea typeface="+mn-ea"/>
              <a:cs typeface="+mn-cs"/>
            </a:rPr>
            <a:t>compound, pressure</a:t>
          </a:r>
          <a:r>
            <a:rPr lang="en-US" sz="1100">
              <a:solidFill>
                <a:schemeClr val="dk1"/>
              </a:solidFill>
              <a:effectLst/>
              <a:latin typeface="+mn-lt"/>
              <a:ea typeface="+mn-ea"/>
              <a:cs typeface="+mn-cs"/>
            </a:rPr>
            <a:t>)	returns the temperature in </a:t>
          </a:r>
          <a:r>
            <a:rPr lang="en-US" sz="1100" baseline="30000">
              <a:solidFill>
                <a:schemeClr val="dk1"/>
              </a:solidFill>
              <a:effectLst/>
              <a:latin typeface="+mn-lt"/>
              <a:ea typeface="+mn-ea"/>
              <a:cs typeface="+mn-cs"/>
            </a:rPr>
            <a:t>oC</a:t>
          </a:r>
          <a:r>
            <a:rPr lang="en-US" sz="1100">
              <a:solidFill>
                <a:schemeClr val="dk1"/>
              </a:solidFill>
              <a:effectLst/>
              <a:latin typeface="+mn-lt"/>
              <a:ea typeface="+mn-ea"/>
              <a:cs typeface="+mn-cs"/>
            </a:rPr>
            <a:t> for a given vapor pressure in mm Hg of a compound.</a:t>
          </a:r>
        </a:p>
        <a:p>
          <a:endParaRPr lang="en-US" sz="1100"/>
        </a:p>
      </xdr:txBody>
    </xdr:sp>
    <xdr:clientData/>
  </xdr:twoCellAnchor>
  <xdr:twoCellAnchor>
    <xdr:from>
      <xdr:col>1</xdr:col>
      <xdr:colOff>152400</xdr:colOff>
      <xdr:row>17</xdr:row>
      <xdr:rowOff>142875</xdr:rowOff>
    </xdr:from>
    <xdr:to>
      <xdr:col>3</xdr:col>
      <xdr:colOff>152400</xdr:colOff>
      <xdr:row>30</xdr:row>
      <xdr:rowOff>133350</xdr:rowOff>
    </xdr:to>
    <xdr:sp macro="" textlink="">
      <xdr:nvSpPr>
        <xdr:cNvPr id="4" name="TextBox 3"/>
        <xdr:cNvSpPr txBox="1"/>
      </xdr:nvSpPr>
      <xdr:spPr>
        <a:xfrm>
          <a:off x="762000" y="3419475"/>
          <a:ext cx="12192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example demonstrates how bubble</a:t>
          </a:r>
          <a:r>
            <a:rPr lang="en-US" sz="1100" baseline="0"/>
            <a:t> and dew point calculations can be simplified by using Goal Seek or Solver in conjunction with the Antoine equation accessed by AntoineP() and its inverse AntoineT().</a:t>
          </a:r>
          <a:endParaRPr lang="en-US" sz="1100"/>
        </a:p>
      </xdr:txBody>
    </xdr:sp>
    <xdr:clientData/>
  </xdr:twoCellAnchor>
  <xdr:twoCellAnchor>
    <xdr:from>
      <xdr:col>7</xdr:col>
      <xdr:colOff>209550</xdr:colOff>
      <xdr:row>19</xdr:row>
      <xdr:rowOff>114300</xdr:rowOff>
    </xdr:from>
    <xdr:to>
      <xdr:col>11</xdr:col>
      <xdr:colOff>400050</xdr:colOff>
      <xdr:row>26</xdr:row>
      <xdr:rowOff>76200</xdr:rowOff>
    </xdr:to>
    <xdr:sp macro="" textlink="">
      <xdr:nvSpPr>
        <xdr:cNvPr id="5" name="TextBox 4"/>
        <xdr:cNvSpPr txBox="1"/>
      </xdr:nvSpPr>
      <xdr:spPr>
        <a:xfrm>
          <a:off x="4476750" y="3810000"/>
          <a:ext cx="26289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we vary the temperature</a:t>
          </a:r>
          <a:r>
            <a:rPr lang="en-US" sz="1100" baseline="0"/>
            <a:t> to set f(T</a:t>
          </a:r>
          <a:r>
            <a:rPr lang="en-US" sz="1100" baseline="-25000"/>
            <a:t>bp</a:t>
          </a:r>
          <a:r>
            <a:rPr lang="en-US" sz="1100" baseline="0"/>
            <a:t>)=0. The Goal Seek setup is shown below.</a:t>
          </a:r>
          <a:endParaRPr lang="en-US" sz="1100"/>
        </a:p>
      </xdr:txBody>
    </xdr:sp>
    <xdr:clientData/>
  </xdr:twoCellAnchor>
  <xdr:twoCellAnchor editAs="oneCell">
    <xdr:from>
      <xdr:col>8</xdr:col>
      <xdr:colOff>200025</xdr:colOff>
      <xdr:row>21</xdr:row>
      <xdr:rowOff>47625</xdr:rowOff>
    </xdr:from>
    <xdr:to>
      <xdr:col>11</xdr:col>
      <xdr:colOff>456939</xdr:colOff>
      <xdr:row>27</xdr:row>
      <xdr:rowOff>228420</xdr:rowOff>
    </xdr:to>
    <xdr:pic>
      <xdr:nvPicPr>
        <xdr:cNvPr id="6" name="Picture 5"/>
        <xdr:cNvPicPr>
          <a:picLocks noChangeAspect="1"/>
        </xdr:cNvPicPr>
      </xdr:nvPicPr>
      <xdr:blipFill>
        <a:blip xmlns:r="http://schemas.openxmlformats.org/officeDocument/2006/relationships" r:embed="rId1"/>
        <a:stretch>
          <a:fillRect/>
        </a:stretch>
      </xdr:blipFill>
      <xdr:spPr>
        <a:xfrm>
          <a:off x="5076825" y="4200525"/>
          <a:ext cx="2085714" cy="1438095"/>
        </a:xfrm>
        <a:prstGeom prst="rect">
          <a:avLst/>
        </a:prstGeom>
      </xdr:spPr>
    </xdr:pic>
    <xdr:clientData/>
  </xdr:twoCellAnchor>
  <xdr:twoCellAnchor>
    <xdr:from>
      <xdr:col>8</xdr:col>
      <xdr:colOff>200025</xdr:colOff>
      <xdr:row>15</xdr:row>
      <xdr:rowOff>142875</xdr:rowOff>
    </xdr:from>
    <xdr:to>
      <xdr:col>11</xdr:col>
      <xdr:colOff>590550</xdr:colOff>
      <xdr:row>18</xdr:row>
      <xdr:rowOff>152400</xdr:rowOff>
    </xdr:to>
    <xdr:sp macro="" textlink="">
      <xdr:nvSpPr>
        <xdr:cNvPr id="7" name="TextBox 6"/>
        <xdr:cNvSpPr txBox="1"/>
      </xdr:nvSpPr>
      <xdr:spPr>
        <a:xfrm>
          <a:off x="5076825" y="3000375"/>
          <a:ext cx="22193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Watch Out! </a:t>
          </a:r>
          <a:r>
            <a:rPr lang="en-US" sz="1100"/>
            <a:t>The Antoine equation</a:t>
          </a:r>
          <a:r>
            <a:rPr lang="en-US" sz="1100" baseline="0"/>
            <a:t> form in your text requires temperatures in </a:t>
          </a:r>
          <a:r>
            <a:rPr lang="en-US" sz="1100" baseline="30000"/>
            <a:t>o</a:t>
          </a:r>
          <a:r>
            <a:rPr lang="en-US" sz="1100" baseline="0"/>
            <a:t>C, not K! </a:t>
          </a:r>
          <a:endParaRPr lang="en-US" sz="1100"/>
        </a:p>
      </xdr:txBody>
    </xdr:sp>
    <xdr:clientData/>
  </xdr:twoCellAnchor>
  <xdr:twoCellAnchor>
    <xdr:from>
      <xdr:col>9</xdr:col>
      <xdr:colOff>390525</xdr:colOff>
      <xdr:row>9</xdr:row>
      <xdr:rowOff>123824</xdr:rowOff>
    </xdr:from>
    <xdr:to>
      <xdr:col>12</xdr:col>
      <xdr:colOff>390525</xdr:colOff>
      <xdr:row>15</xdr:row>
      <xdr:rowOff>133349</xdr:rowOff>
    </xdr:to>
    <xdr:sp macro="" textlink="">
      <xdr:nvSpPr>
        <xdr:cNvPr id="8" name="TextBox 7"/>
        <xdr:cNvSpPr txBox="1"/>
      </xdr:nvSpPr>
      <xdr:spPr>
        <a:xfrm>
          <a:off x="5876925" y="1838324"/>
          <a:ext cx="18288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Take Note: </a:t>
          </a:r>
          <a:r>
            <a:rPr lang="en-US" sz="1100"/>
            <a:t>The comments returned</a:t>
          </a:r>
          <a:r>
            <a:rPr lang="en-US" sz="1100" baseline="0"/>
            <a:t> by AntoineP() warn if the temperature is outside the bounds of the correlation. Use these results with care!</a:t>
          </a:r>
          <a:endParaRPr lang="en-US" sz="1100"/>
        </a:p>
      </xdr:txBody>
    </xdr:sp>
    <xdr:clientData/>
  </xdr:twoCellAnchor>
  <xdr:twoCellAnchor>
    <xdr:from>
      <xdr:col>6</xdr:col>
      <xdr:colOff>590550</xdr:colOff>
      <xdr:row>29</xdr:row>
      <xdr:rowOff>123826</xdr:rowOff>
    </xdr:from>
    <xdr:to>
      <xdr:col>11</xdr:col>
      <xdr:colOff>66675</xdr:colOff>
      <xdr:row>35</xdr:row>
      <xdr:rowOff>161926</xdr:rowOff>
    </xdr:to>
    <xdr:sp macro="" textlink="">
      <xdr:nvSpPr>
        <xdr:cNvPr id="10" name="TextBox 9"/>
        <xdr:cNvSpPr txBox="1"/>
      </xdr:nvSpPr>
      <xdr:spPr>
        <a:xfrm>
          <a:off x="4248150" y="5991226"/>
          <a:ext cx="252412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It doesn't hurt to test the inverse calculations as we do here, showing the</a:t>
          </a:r>
          <a:r>
            <a:rPr lang="en-US" sz="1100" baseline="0"/>
            <a:t> calculated vapor pressure yields the correct temperature as calculated above. You won't often need to do this unless tracking down errors.</a:t>
          </a:r>
          <a:endParaRPr lang="en-US" sz="1100"/>
        </a:p>
      </xdr:txBody>
    </xdr:sp>
    <xdr:clientData/>
  </xdr:twoCellAnchor>
  <xdr:twoCellAnchor>
    <xdr:from>
      <xdr:col>0</xdr:col>
      <xdr:colOff>371475</xdr:colOff>
      <xdr:row>33</xdr:row>
      <xdr:rowOff>76200</xdr:rowOff>
    </xdr:from>
    <xdr:to>
      <xdr:col>6</xdr:col>
      <xdr:colOff>57150</xdr:colOff>
      <xdr:row>39</xdr:row>
      <xdr:rowOff>152400</xdr:rowOff>
    </xdr:to>
    <xdr:sp macro="" textlink="">
      <xdr:nvSpPr>
        <xdr:cNvPr id="11" name="TextBox 10"/>
        <xdr:cNvSpPr txBox="1"/>
      </xdr:nvSpPr>
      <xdr:spPr>
        <a:xfrm>
          <a:off x="371475" y="6705600"/>
          <a:ext cx="334327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water, your</a:t>
          </a:r>
          <a:r>
            <a:rPr lang="en-US" sz="1100" baseline="0"/>
            <a:t> text provides a table of data for the vapor pressure of water. This data is more accurate than the Antoine equation correlation and should be used for water. Example 6.3-3 below shows how we might use the VPWater() function.</a:t>
          </a:r>
          <a:endParaRPr lang="en-US" sz="1100"/>
        </a:p>
      </xdr:txBody>
    </xdr:sp>
    <xdr:clientData/>
  </xdr:twoCellAnchor>
  <xdr:twoCellAnchor>
    <xdr:from>
      <xdr:col>6</xdr:col>
      <xdr:colOff>38100</xdr:colOff>
      <xdr:row>46</xdr:row>
      <xdr:rowOff>9525</xdr:rowOff>
    </xdr:from>
    <xdr:to>
      <xdr:col>9</xdr:col>
      <xdr:colOff>495300</xdr:colOff>
      <xdr:row>51</xdr:row>
      <xdr:rowOff>104775</xdr:rowOff>
    </xdr:to>
    <xdr:sp macro="" textlink="">
      <xdr:nvSpPr>
        <xdr:cNvPr id="12" name="TextBox 11"/>
        <xdr:cNvSpPr txBox="1"/>
      </xdr:nvSpPr>
      <xdr:spPr>
        <a:xfrm>
          <a:off x="3695700" y="9153525"/>
          <a:ext cx="2286000"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we use Goal Seek to vary T until p</a:t>
          </a:r>
          <a:r>
            <a:rPr lang="en-US" sz="1100" baseline="30000"/>
            <a:t>*</a:t>
          </a:r>
          <a:r>
            <a:rPr lang="en-US" sz="1100"/>
            <a:t>=p</a:t>
          </a:r>
          <a:r>
            <a:rPr lang="en-US" sz="1100" baseline="-25000"/>
            <a:t>H2O</a:t>
          </a:r>
          <a:r>
            <a:rPr lang="en-US" sz="1100"/>
            <a:t>.</a:t>
          </a:r>
          <a:r>
            <a:rPr lang="en-US" sz="1100" baseline="0"/>
            <a:t>  The value of T is used in the VPWater() function. Solver can be used here as well.</a:t>
          </a:r>
          <a:endParaRPr lang="en-US" sz="1100"/>
        </a:p>
      </xdr:txBody>
    </xdr:sp>
    <xdr:clientData/>
  </xdr:twoCellAnchor>
  <xdr:twoCellAnchor editAs="oneCell">
    <xdr:from>
      <xdr:col>4</xdr:col>
      <xdr:colOff>400050</xdr:colOff>
      <xdr:row>49</xdr:row>
      <xdr:rowOff>123825</xdr:rowOff>
    </xdr:from>
    <xdr:to>
      <xdr:col>7</xdr:col>
      <xdr:colOff>590298</xdr:colOff>
      <xdr:row>56</xdr:row>
      <xdr:rowOff>171277</xdr:rowOff>
    </xdr:to>
    <xdr:pic>
      <xdr:nvPicPr>
        <xdr:cNvPr id="13" name="Picture 12"/>
        <xdr:cNvPicPr>
          <a:picLocks noChangeAspect="1"/>
        </xdr:cNvPicPr>
      </xdr:nvPicPr>
      <xdr:blipFill>
        <a:blip xmlns:r="http://schemas.openxmlformats.org/officeDocument/2006/relationships" r:embed="rId2"/>
        <a:stretch>
          <a:fillRect/>
        </a:stretch>
      </xdr:blipFill>
      <xdr:spPr>
        <a:xfrm>
          <a:off x="2838450" y="9925050"/>
          <a:ext cx="2019048" cy="13809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514350</xdr:colOff>
      <xdr:row>2</xdr:row>
      <xdr:rowOff>1</xdr:rowOff>
    </xdr:from>
    <xdr:to>
      <xdr:col>8</xdr:col>
      <xdr:colOff>581025</xdr:colOff>
      <xdr:row>27</xdr:row>
      <xdr:rowOff>66675</xdr:rowOff>
    </xdr:to>
    <xdr:sp macro="" textlink="">
      <xdr:nvSpPr>
        <xdr:cNvPr id="2" name="TextBox 1"/>
        <xdr:cNvSpPr txBox="1"/>
      </xdr:nvSpPr>
      <xdr:spPr>
        <a:xfrm>
          <a:off x="514350" y="400051"/>
          <a:ext cx="4943475" cy="5210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Chapter 7 requires</a:t>
          </a:r>
          <a:r>
            <a:rPr lang="en-US" sz="1100" b="0" baseline="0">
              <a:solidFill>
                <a:schemeClr val="dk1"/>
              </a:solidFill>
              <a:effectLst/>
              <a:latin typeface="+mn-lt"/>
              <a:ea typeface="+mn-ea"/>
              <a:cs typeface="+mn-cs"/>
            </a:rPr>
            <a:t> use of the steam tables. SteamSatT() interpolates results from Table  B.5; SteamSatP() from Table B.6; and SteamSH from Table B.7. </a:t>
          </a:r>
        </a:p>
        <a:p>
          <a:pPr marL="0" marR="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Note that in table B.6 both U and H are not monotonic (multiple pressures may satisfy a given value of U or H). The lowest pressure solution will be returned unless otherwise specified in the last optional argument.</a:t>
          </a: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r>
            <a:rPr lang="en-US" sz="1100" b="1">
              <a:solidFill>
                <a:schemeClr val="dk1"/>
              </a:solidFill>
              <a:effectLst/>
              <a:latin typeface="+mn-lt"/>
              <a:ea typeface="+mn-ea"/>
              <a:cs typeface="+mn-cs"/>
            </a:rPr>
            <a:t>SteamSatT</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value</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typegiven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typetoreturn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phase]</a:t>
          </a:r>
          <a:r>
            <a:rPr lang="en-US" sz="1100">
              <a:solidFill>
                <a:schemeClr val="dk1"/>
              </a:solidFill>
              <a:effectLst/>
              <a:latin typeface="+mn-lt"/>
              <a:ea typeface="+mn-ea"/>
              <a:cs typeface="+mn-cs"/>
            </a:rPr>
            <a:t>) For the “value” given of “typegiven”, returns the quantity of the type “typetoreturn” from the saturated steam temperature table. Warns of extrapolation. Valid types of parameters 2 and 3 are “T”, “P”, “V”, “U”, and “H”.  Phase must be specified when returning V, U, and H.  Valid phases are “L” and “V”.  </a:t>
          </a:r>
        </a:p>
        <a:p>
          <a:r>
            <a:rPr lang="en-US" sz="1100" b="1">
              <a:solidFill>
                <a:schemeClr val="dk1"/>
              </a:solidFill>
              <a:effectLst/>
              <a:latin typeface="+mn-lt"/>
              <a:ea typeface="+mn-ea"/>
              <a:cs typeface="+mn-cs"/>
            </a:rPr>
            <a:t>SteamSatP</a:t>
          </a:r>
          <a:r>
            <a:rPr lang="en-US" sz="1100">
              <a:solidFill>
                <a:schemeClr val="dk1"/>
              </a:solidFill>
              <a:effectLst/>
              <a:latin typeface="+mn-lt"/>
              <a:ea typeface="+mn-ea"/>
              <a:cs typeface="+mn-cs"/>
            </a:rPr>
            <a:t>(value,typegiven, typetoreturn, [phase], [root]) 	For the “value” given of “typegiven”, returns the quantity of the type “typetoreturn” from the saturated steam pressure table. Valid types of parameters 2 and 3 are “T”, “P”, “V”, “U”, and “H”.  Phase must be specified when returning V, U, and H.  Valid phases are “L”, “E”, and “V”. For some “typegiven” quantities (U and H for vapor), multiple solutions are possible. The last optional parameter “root” can be specified as requesting the lower pressure root (“L”, default), or the upper pressure root (“U”).</a:t>
          </a:r>
        </a:p>
        <a:p>
          <a:r>
            <a:rPr lang="en-US" sz="1100" b="1">
              <a:solidFill>
                <a:schemeClr val="dk1"/>
              </a:solidFill>
              <a:effectLst/>
              <a:latin typeface="+mn-lt"/>
              <a:ea typeface="+mn-ea"/>
              <a:cs typeface="+mn-cs"/>
            </a:rPr>
            <a:t>SteamSH</a:t>
          </a:r>
          <a:r>
            <a:rPr lang="en-US" sz="1100">
              <a:solidFill>
                <a:schemeClr val="dk1"/>
              </a:solidFill>
              <a:effectLst/>
              <a:latin typeface="+mn-lt"/>
              <a:ea typeface="+mn-ea"/>
              <a:cs typeface="+mn-cs"/>
            </a:rPr>
            <a:t>(value1, value2, typegiven1, typegiven2, typetoreturn, [phase]) 	For the “value1” of “typegiven1” and “value2” of “typegiven2”, returns the value for “typegiven3”. Valid types for value1 are “T” and “P”; all other types may be “T”, “P”, “V”, “U”, or “H”. Phase is assumed vapor unless otherwise specified.</a:t>
          </a:r>
        </a:p>
        <a:p>
          <a:endParaRPr lang="en-US" sz="1100"/>
        </a:p>
        <a:p>
          <a:r>
            <a:rPr lang="en-US" sz="1100"/>
            <a:t>UNITS for all: Temperatures in  </a:t>
          </a:r>
          <a:r>
            <a:rPr lang="en-US" sz="1100" baseline="30000"/>
            <a:t>o</a:t>
          </a:r>
          <a:r>
            <a:rPr lang="en-US" sz="1100"/>
            <a:t>C,  pressures in bar,</a:t>
          </a:r>
          <a:r>
            <a:rPr lang="en-US" sz="1100" baseline="0"/>
            <a:t>  specific volumes in m</a:t>
          </a:r>
          <a:r>
            <a:rPr lang="en-US" sz="1100" baseline="30000"/>
            <a:t>3</a:t>
          </a:r>
          <a:r>
            <a:rPr lang="en-US" sz="1100" baseline="0"/>
            <a:t>/kg, specific enthalpies and specific internal energies in kJ/kg</a:t>
          </a:r>
          <a:endParaRPr lang="en-US" sz="1100"/>
        </a:p>
      </xdr:txBody>
    </xdr:sp>
    <xdr:clientData/>
  </xdr:twoCellAnchor>
  <xdr:twoCellAnchor>
    <xdr:from>
      <xdr:col>1</xdr:col>
      <xdr:colOff>542925</xdr:colOff>
      <xdr:row>39</xdr:row>
      <xdr:rowOff>57150</xdr:rowOff>
    </xdr:from>
    <xdr:to>
      <xdr:col>5</xdr:col>
      <xdr:colOff>504825</xdr:colOff>
      <xdr:row>42</xdr:row>
      <xdr:rowOff>180975</xdr:rowOff>
    </xdr:to>
    <xdr:sp macro="" textlink="">
      <xdr:nvSpPr>
        <xdr:cNvPr id="3" name="TextBox 2"/>
        <xdr:cNvSpPr txBox="1"/>
      </xdr:nvSpPr>
      <xdr:spPr>
        <a:xfrm>
          <a:off x="1152525" y="8029575"/>
          <a:ext cx="240030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Did</a:t>
          </a:r>
          <a:r>
            <a:rPr lang="en-US" sz="1100" b="1" baseline="0"/>
            <a:t> you notice?</a:t>
          </a:r>
          <a:r>
            <a:rPr lang="en-US" sz="1100" b="0" baseline="0"/>
            <a:t> This demonstrates the danger of extrapolation significantly beyond the range of your tabular data.</a:t>
          </a:r>
          <a:endParaRPr lang="en-US" sz="1100" b="0"/>
        </a:p>
      </xdr:txBody>
    </xdr:sp>
    <xdr:clientData/>
  </xdr:twoCellAnchor>
  <xdr:twoCellAnchor>
    <xdr:from>
      <xdr:col>7</xdr:col>
      <xdr:colOff>523875</xdr:colOff>
      <xdr:row>33</xdr:row>
      <xdr:rowOff>133350</xdr:rowOff>
    </xdr:from>
    <xdr:to>
      <xdr:col>11</xdr:col>
      <xdr:colOff>228600</xdr:colOff>
      <xdr:row>40</xdr:row>
      <xdr:rowOff>171450</xdr:rowOff>
    </xdr:to>
    <xdr:sp macro="" textlink="">
      <xdr:nvSpPr>
        <xdr:cNvPr id="4" name="TextBox 3"/>
        <xdr:cNvSpPr txBox="1"/>
      </xdr:nvSpPr>
      <xdr:spPr>
        <a:xfrm>
          <a:off x="4791075" y="6419850"/>
          <a:ext cx="2143125" cy="140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Try it. </a:t>
          </a:r>
          <a:r>
            <a:rPr lang="en-US" sz="1100"/>
            <a:t>Replace the given temperature </a:t>
          </a:r>
          <a:r>
            <a:rPr lang="en-US" sz="1100" baseline="0"/>
            <a:t>with some values within the range of Table B.5 (between 0 and 100 </a:t>
          </a:r>
          <a:r>
            <a:rPr lang="en-US" sz="1100" baseline="30000"/>
            <a:t>o</a:t>
          </a:r>
          <a:r>
            <a:rPr lang="en-US" sz="1100" baseline="0"/>
            <a:t>C) and confirm you get essentially the same results for each table when interpolating.</a:t>
          </a:r>
          <a:endParaRPr lang="en-US" sz="1100"/>
        </a:p>
      </xdr:txBody>
    </xdr:sp>
    <xdr:clientData/>
  </xdr:twoCellAnchor>
  <xdr:twoCellAnchor>
    <xdr:from>
      <xdr:col>0</xdr:col>
      <xdr:colOff>95250</xdr:colOff>
      <xdr:row>43</xdr:row>
      <xdr:rowOff>85726</xdr:rowOff>
    </xdr:from>
    <xdr:to>
      <xdr:col>9</xdr:col>
      <xdr:colOff>276225</xdr:colOff>
      <xdr:row>46</xdr:row>
      <xdr:rowOff>161926</xdr:rowOff>
    </xdr:to>
    <xdr:sp macro="" textlink="">
      <xdr:nvSpPr>
        <xdr:cNvPr id="6" name="TextBox 5"/>
        <xdr:cNvSpPr txBox="1"/>
      </xdr:nvSpPr>
      <xdr:spPr>
        <a:xfrm>
          <a:off x="95250" y="8820151"/>
          <a:ext cx="5667375"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Show that water at 400 °C and 10 bar is superheated steam and determine its specific volume, specific internal energy, and specific enthalpy relative to liquid water at the triple point, and its dew point.</a:t>
          </a:r>
          <a:r>
            <a:rPr lang="en-US"/>
            <a:t> </a:t>
          </a:r>
          <a:endParaRPr lang="en-US" sz="1100"/>
        </a:p>
      </xdr:txBody>
    </xdr:sp>
    <xdr:clientData/>
  </xdr:twoCellAnchor>
  <xdr:twoCellAnchor>
    <xdr:from>
      <xdr:col>7</xdr:col>
      <xdr:colOff>200025</xdr:colOff>
      <xdr:row>62</xdr:row>
      <xdr:rowOff>9524</xdr:rowOff>
    </xdr:from>
    <xdr:to>
      <xdr:col>11</xdr:col>
      <xdr:colOff>581025</xdr:colOff>
      <xdr:row>73</xdr:row>
      <xdr:rowOff>0</xdr:rowOff>
    </xdr:to>
    <xdr:sp macro="" textlink="">
      <xdr:nvSpPr>
        <xdr:cNvPr id="8" name="TextBox 7"/>
        <xdr:cNvSpPr txBox="1"/>
      </xdr:nvSpPr>
      <xdr:spPr>
        <a:xfrm>
          <a:off x="4467225" y="11877674"/>
          <a:ext cx="2819400" cy="2085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Try it. </a:t>
          </a:r>
          <a:r>
            <a:rPr lang="en-US" sz="1100"/>
            <a:t>For one or more of these examples, set up a problem where you attempt to determine the pressure (or temperature) given the enthalpy already calculated. U</a:t>
          </a:r>
          <a:r>
            <a:rPr lang="en-US" sz="1100" baseline="0"/>
            <a:t>se Goal Seek or Solver. For example, in Example 7.5-3, assume you don't know the pressure and start with a guess of P =1 bar. Now in Solver or Goal Seek vary P until Hhat in is equal to 3201 kJ/kg. Did you get the same result? If not, why? Repeat using a guess of P=15 bar.</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419100</xdr:colOff>
      <xdr:row>1</xdr:row>
      <xdr:rowOff>66676</xdr:rowOff>
    </xdr:from>
    <xdr:to>
      <xdr:col>9</xdr:col>
      <xdr:colOff>314325</xdr:colOff>
      <xdr:row>34</xdr:row>
      <xdr:rowOff>123826</xdr:rowOff>
    </xdr:to>
    <xdr:sp macro="" textlink="">
      <xdr:nvSpPr>
        <xdr:cNvPr id="2" name="TextBox 1"/>
        <xdr:cNvSpPr txBox="1"/>
      </xdr:nvSpPr>
      <xdr:spPr>
        <a:xfrm>
          <a:off x="419100" y="257176"/>
          <a:ext cx="5848350" cy="634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The key</a:t>
          </a:r>
          <a:r>
            <a:rPr lang="en-US" sz="1100" b="0" baseline="0">
              <a:solidFill>
                <a:schemeClr val="dk1"/>
              </a:solidFill>
              <a:effectLst/>
              <a:latin typeface="+mn-lt"/>
              <a:ea typeface="+mn-ea"/>
              <a:cs typeface="+mn-cs"/>
            </a:rPr>
            <a:t> addition for Chapter 8 is the need to account for energy change due to temperature change by integral of heat capacity functions. The Enthalpy() function uses the coeeficients in the text and integrates the resulting function.</a:t>
          </a: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Other lookup functions in this chapter include heats of solution/mixing, and approximating</a:t>
          </a:r>
          <a:r>
            <a:rPr lang="en-US" sz="1100" b="0" baseline="0">
              <a:solidFill>
                <a:schemeClr val="dk1"/>
              </a:solidFill>
              <a:effectLst/>
              <a:latin typeface="+mn-lt"/>
              <a:ea typeface="+mn-ea"/>
              <a:cs typeface="+mn-cs"/>
            </a:rPr>
            <a:t> heat capacity with Kopp's Rule.</a:t>
          </a: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Enthalpy</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 T1, T2, [temperature units],[state]</a:t>
          </a:r>
          <a:r>
            <a:rPr lang="en-US" sz="1100">
              <a:solidFill>
                <a:schemeClr val="dk1"/>
              </a:solidFill>
              <a:effectLst/>
              <a:latin typeface="+mn-lt"/>
              <a:ea typeface="+mn-ea"/>
              <a:cs typeface="+mn-cs"/>
            </a:rPr>
            <a:t>)	Integrates the constant pressure heat capacity correlations for a temperature change from T1 to T2 in kJ/(mol·°C).  If temperature units are not specified (“K”, “R”, “F”) units of °C are assumed. If state (“l”, “g”, “c”) is not specified, the first entry in the table is used. If either temperature is outside of the correlation range, a comment is set for the calling cell indicating “Out of Range”. If multiple coefficient sets are available for a given species and state, coefficients for the narrowest range containing T1 and T2 is used.</a:t>
          </a:r>
          <a:endParaRPr lang="en-US">
            <a:effectLst/>
          </a:endParaRPr>
        </a:p>
        <a:p>
          <a:r>
            <a:rPr lang="en-US" sz="1100" b="1">
              <a:solidFill>
                <a:schemeClr val="dk1"/>
              </a:solidFill>
              <a:effectLst/>
              <a:latin typeface="+mn-lt"/>
              <a:ea typeface="+mn-ea"/>
              <a:cs typeface="+mn-cs"/>
            </a:rPr>
            <a:t>HsHCl</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	Returns the integral heat of solution at 25 °C for HCl at a given value of r(mol H</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O/mol solute) in kJ/mol. Uses linear interpolation of table data. If value is extrapolated a comment is added to the calling cell. The heat of solution at infinite dilution is returned by entering </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 as “inf”.</a:t>
          </a:r>
        </a:p>
        <a:p>
          <a:r>
            <a:rPr lang="en-US" sz="1100" b="1">
              <a:solidFill>
                <a:schemeClr val="dk1"/>
              </a:solidFill>
              <a:effectLst/>
              <a:latin typeface="+mn-lt"/>
              <a:ea typeface="+mn-ea"/>
              <a:cs typeface="+mn-cs"/>
            </a:rPr>
            <a:t>HsNaOH</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	Returns the integral heat of solution at 25 °C for NaOH at a given value of r(mol H</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O/mol solute) in kJ/mol. Uses linear interpolation of table data. If value is extrapolated a comment is added to the calling cell. The heat of solution at infinite dilution is returned by entering </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 as “inf”.</a:t>
          </a:r>
        </a:p>
        <a:p>
          <a:r>
            <a:rPr lang="en-US" sz="1100" b="1">
              <a:solidFill>
                <a:schemeClr val="dk1"/>
              </a:solidFill>
              <a:effectLst/>
              <a:latin typeface="+mn-lt"/>
              <a:ea typeface="+mn-ea"/>
              <a:cs typeface="+mn-cs"/>
            </a:rPr>
            <a:t>HmH2SO4</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	Returns the integral heat of mixing at 25 °C for H</a:t>
          </a:r>
          <a:r>
            <a:rPr lang="en-US" sz="1100" i="1" baseline="-25000">
              <a:solidFill>
                <a:schemeClr val="dk1"/>
              </a:solidFill>
              <a:effectLst/>
              <a:latin typeface="+mn-lt"/>
              <a:ea typeface="+mn-ea"/>
              <a:cs typeface="+mn-cs"/>
            </a:rPr>
            <a:t>2</a:t>
          </a:r>
          <a:r>
            <a:rPr lang="en-US" sz="1100">
              <a:solidFill>
                <a:schemeClr val="dk1"/>
              </a:solidFill>
              <a:effectLst/>
              <a:latin typeface="+mn-lt"/>
              <a:ea typeface="+mn-ea"/>
              <a:cs typeface="+mn-cs"/>
            </a:rPr>
            <a:t>SO</a:t>
          </a:r>
          <a:r>
            <a:rPr lang="en-US" sz="1100" baseline="-25000">
              <a:solidFill>
                <a:schemeClr val="dk1"/>
              </a:solidFill>
              <a:effectLst/>
              <a:latin typeface="+mn-lt"/>
              <a:ea typeface="+mn-ea"/>
              <a:cs typeface="+mn-cs"/>
            </a:rPr>
            <a:t>4</a:t>
          </a:r>
          <a:r>
            <a:rPr lang="en-US" sz="1100">
              <a:solidFill>
                <a:schemeClr val="dk1"/>
              </a:solidFill>
              <a:effectLst/>
              <a:latin typeface="+mn-lt"/>
              <a:ea typeface="+mn-ea"/>
              <a:cs typeface="+mn-cs"/>
            </a:rPr>
            <a:t> at a given value of </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(mol H</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O/mol solute) in kJ/mol. Uses linear interpolation of table data. If value is extrapolated a comment is added to the calling cell. The heat of mixing at infinite dilution is returned by entering </a:t>
          </a:r>
          <a:r>
            <a:rPr lang="en-US" sz="1100" i="1">
              <a:solidFill>
                <a:schemeClr val="dk1"/>
              </a:solidFill>
              <a:effectLst/>
              <a:latin typeface="+mn-lt"/>
              <a:ea typeface="+mn-ea"/>
              <a:cs typeface="+mn-cs"/>
            </a:rPr>
            <a:t>r</a:t>
          </a:r>
          <a:r>
            <a:rPr lang="en-US" sz="1100">
              <a:solidFill>
                <a:schemeClr val="dk1"/>
              </a:solidFill>
              <a:effectLst/>
              <a:latin typeface="+mn-lt"/>
              <a:ea typeface="+mn-ea"/>
              <a:cs typeface="+mn-cs"/>
            </a:rPr>
            <a:t> as “inf”.</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Kopps</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elements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number</a:t>
          </a:r>
          <a:r>
            <a:rPr lang="en-US" sz="1100">
              <a:solidFill>
                <a:schemeClr val="dk1"/>
              </a:solidFill>
              <a:effectLst/>
              <a:latin typeface="+mn-lt"/>
              <a:ea typeface="+mn-ea"/>
              <a:cs typeface="+mn-cs"/>
            </a:rPr>
            <a:t>_</a:t>
          </a:r>
          <a:r>
            <a:rPr lang="en-US" sz="1100" i="1">
              <a:solidFill>
                <a:schemeClr val="dk1"/>
              </a:solidFill>
              <a:effectLst/>
              <a:latin typeface="+mn-lt"/>
              <a:ea typeface="+mn-ea"/>
              <a:cs typeface="+mn-cs"/>
            </a:rPr>
            <a:t>atoms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phase</a:t>
          </a:r>
          <a:r>
            <a:rPr lang="en-US" sz="1100">
              <a:solidFill>
                <a:schemeClr val="dk1"/>
              </a:solidFill>
              <a:effectLst/>
              <a:latin typeface="+mn-lt"/>
              <a:ea typeface="+mn-ea"/>
              <a:cs typeface="+mn-cs"/>
            </a:rPr>
            <a:t>])	Returns an estimate using Kopp’s Rule of the constant pressure heat capacity of a substance. </a:t>
          </a:r>
          <a:r>
            <a:rPr lang="en-US" sz="1100" i="1">
              <a:solidFill>
                <a:schemeClr val="dk1"/>
              </a:solidFill>
              <a:effectLst/>
              <a:latin typeface="+mn-lt"/>
              <a:ea typeface="+mn-ea"/>
              <a:cs typeface="+mn-cs"/>
            </a:rPr>
            <a:t>Elements</a:t>
          </a:r>
          <a:r>
            <a:rPr lang="en-US" sz="1100">
              <a:solidFill>
                <a:schemeClr val="dk1"/>
              </a:solidFill>
              <a:effectLst/>
              <a:latin typeface="+mn-lt"/>
              <a:ea typeface="+mn-ea"/>
              <a:cs typeface="+mn-cs"/>
            </a:rPr>
            <a:t> is a range of cells containing element symbols, and number_atoms is a range of cells containing the number of atoms for each element in the first argument. If phase is not specified (“s”, “l”) a liquid is assumed. </a:t>
          </a:r>
          <a:endParaRPr lang="en-US">
            <a:effectLst/>
          </a:endParaRPr>
        </a:p>
        <a:p>
          <a:endParaRPr lang="en-US" sz="1100"/>
        </a:p>
        <a:p>
          <a:r>
            <a:rPr lang="en-US" sz="1100"/>
            <a:t>Also remember these functions introduced</a:t>
          </a:r>
          <a:r>
            <a:rPr lang="en-US" sz="1100" baseline="0"/>
            <a:t> earlier:</a:t>
          </a:r>
        </a:p>
        <a:p>
          <a:pPr eaLnBrk="1" fontAlgn="auto" latinLnBrk="0" hangingPunct="1"/>
          <a:r>
            <a:rPr lang="en-US" sz="1100" b="1">
              <a:solidFill>
                <a:schemeClr val="dk1"/>
              </a:solidFill>
              <a:effectLst/>
              <a:latin typeface="+mn-lt"/>
              <a:ea typeface="+mn-ea"/>
              <a:cs typeface="+mn-cs"/>
            </a:rPr>
            <a:t>Hv</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molar enthalpy change of vaporization in kJ/mol.</a:t>
          </a:r>
          <a:endParaRPr lang="en-US">
            <a:effectLst/>
          </a:endParaRPr>
        </a:p>
        <a:p>
          <a:r>
            <a:rPr lang="en-US" sz="1100" b="1">
              <a:solidFill>
                <a:schemeClr val="dk1"/>
              </a:solidFill>
              <a:effectLst/>
              <a:latin typeface="+mn-lt"/>
              <a:ea typeface="+mn-ea"/>
              <a:cs typeface="+mn-cs"/>
            </a:rPr>
            <a:t>Tm</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melting point temperature in °C</a:t>
          </a:r>
          <a:endParaRPr lang="en-US">
            <a:effectLst/>
          </a:endParaRPr>
        </a:p>
        <a:p>
          <a:r>
            <a:rPr lang="en-US" sz="1100" b="1">
              <a:solidFill>
                <a:schemeClr val="dk1"/>
              </a:solidFill>
              <a:effectLst/>
              <a:latin typeface="+mn-lt"/>
              <a:ea typeface="+mn-ea"/>
              <a:cs typeface="+mn-cs"/>
            </a:rPr>
            <a:t>Hm</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molar enthalpy change of melting in kJ/mol.</a:t>
          </a:r>
          <a:endParaRPr lang="en-US">
            <a:effectLst/>
          </a:endParaRPr>
        </a:p>
        <a:p>
          <a:r>
            <a:rPr lang="en-US" sz="1100" b="1">
              <a:solidFill>
                <a:schemeClr val="dk1"/>
              </a:solidFill>
              <a:effectLst/>
              <a:latin typeface="+mn-lt"/>
              <a:ea typeface="+mn-ea"/>
              <a:cs typeface="+mn-cs"/>
            </a:rPr>
            <a:t>Tb</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normal boiling point temperature in °C</a:t>
          </a:r>
          <a:endParaRPr lang="en-US">
            <a:effectLst/>
          </a:endParaRPr>
        </a:p>
        <a:p>
          <a:endParaRPr lang="en-US" sz="1100"/>
        </a:p>
      </xdr:txBody>
    </xdr:sp>
    <xdr:clientData/>
  </xdr:twoCellAnchor>
  <xdr:twoCellAnchor>
    <xdr:from>
      <xdr:col>4</xdr:col>
      <xdr:colOff>361951</xdr:colOff>
      <xdr:row>39</xdr:row>
      <xdr:rowOff>104775</xdr:rowOff>
    </xdr:from>
    <xdr:to>
      <xdr:col>7</xdr:col>
      <xdr:colOff>133351</xdr:colOff>
      <xdr:row>45</xdr:row>
      <xdr:rowOff>9525</xdr:rowOff>
    </xdr:to>
    <xdr:sp macro="" textlink="">
      <xdr:nvSpPr>
        <xdr:cNvPr id="4" name="TextBox 3"/>
        <xdr:cNvSpPr txBox="1"/>
      </xdr:nvSpPr>
      <xdr:spPr>
        <a:xfrm>
          <a:off x="2886076" y="6200775"/>
          <a:ext cx="160020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Watch Out.</a:t>
          </a:r>
          <a:r>
            <a:rPr lang="en-US" sz="1100"/>
            <a:t> Don't forget to restrict the number of significant digits you display for your answer!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495300</xdr:colOff>
      <xdr:row>1</xdr:row>
      <xdr:rowOff>161926</xdr:rowOff>
    </xdr:from>
    <xdr:to>
      <xdr:col>8</xdr:col>
      <xdr:colOff>28575</xdr:colOff>
      <xdr:row>21</xdr:row>
      <xdr:rowOff>19050</xdr:rowOff>
    </xdr:to>
    <xdr:sp macro="" textlink="">
      <xdr:nvSpPr>
        <xdr:cNvPr id="2" name="TextBox 1"/>
        <xdr:cNvSpPr txBox="1"/>
      </xdr:nvSpPr>
      <xdr:spPr>
        <a:xfrm>
          <a:off x="495300" y="352426"/>
          <a:ext cx="4410075" cy="3667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You will continue to find APEx functions handy in</a:t>
          </a:r>
          <a:r>
            <a:rPr lang="en-US" sz="1100" b="0" baseline="0">
              <a:solidFill>
                <a:schemeClr val="dk1"/>
              </a:solidFill>
              <a:effectLst/>
              <a:latin typeface="+mn-lt"/>
              <a:ea typeface="+mn-ea"/>
              <a:cs typeface="+mn-cs"/>
            </a:rPr>
            <a:t> Chapter 9 when composing your enthalpy tables. New functions are introduced to allow access to heats of formation and combustion.</a:t>
          </a:r>
          <a:endParaRPr lang="en-US" sz="1100" b="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DeltaHfg</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formation of the compound in the gaseous state in kJ/mol</a:t>
          </a:r>
        </a:p>
        <a:p>
          <a:r>
            <a:rPr lang="en-US" sz="1100" b="1">
              <a:solidFill>
                <a:schemeClr val="dk1"/>
              </a:solidFill>
              <a:effectLst/>
              <a:latin typeface="+mn-lt"/>
              <a:ea typeface="+mn-ea"/>
              <a:cs typeface="+mn-cs"/>
            </a:rPr>
            <a:t>DeltaHfl</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formation of the compound in the liquid state in kJ/mol</a:t>
          </a:r>
        </a:p>
        <a:p>
          <a:r>
            <a:rPr lang="en-US" sz="1100" b="1">
              <a:solidFill>
                <a:schemeClr val="dk1"/>
              </a:solidFill>
              <a:effectLst/>
              <a:latin typeface="+mn-lt"/>
              <a:ea typeface="+mn-ea"/>
              <a:cs typeface="+mn-cs"/>
            </a:rPr>
            <a:t>DeltaHfaq</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formation of the compound in aqueous solution in kJ/mol</a:t>
          </a:r>
        </a:p>
        <a:p>
          <a:r>
            <a:rPr lang="en-US" sz="1100" b="1">
              <a:solidFill>
                <a:schemeClr val="dk1"/>
              </a:solidFill>
              <a:effectLst/>
              <a:latin typeface="+mn-lt"/>
              <a:ea typeface="+mn-ea"/>
              <a:cs typeface="+mn-cs"/>
            </a:rPr>
            <a:t>DeltaHfc</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formation of the compound in crystalline form in kJ/mol</a:t>
          </a:r>
        </a:p>
        <a:p>
          <a:r>
            <a:rPr lang="en-US" sz="1100" b="1">
              <a:solidFill>
                <a:schemeClr val="dk1"/>
              </a:solidFill>
              <a:effectLst/>
              <a:latin typeface="+mn-lt"/>
              <a:ea typeface="+mn-ea"/>
              <a:cs typeface="+mn-cs"/>
            </a:rPr>
            <a:t>DeltaHcg</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combustion of the compound in the gaseous state in kJ/mol</a:t>
          </a:r>
        </a:p>
        <a:p>
          <a:r>
            <a:rPr lang="en-US" sz="1100" b="1">
              <a:solidFill>
                <a:schemeClr val="dk1"/>
              </a:solidFill>
              <a:effectLst/>
              <a:latin typeface="+mn-lt"/>
              <a:ea typeface="+mn-ea"/>
              <a:cs typeface="+mn-cs"/>
            </a:rPr>
            <a:t>DeltaHcl</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combustion of the compound in the liquid state in kJ/mol</a:t>
          </a:r>
        </a:p>
        <a:p>
          <a:r>
            <a:rPr lang="en-US" sz="1100" b="1">
              <a:solidFill>
                <a:schemeClr val="dk1"/>
              </a:solidFill>
              <a:effectLst/>
              <a:latin typeface="+mn-lt"/>
              <a:ea typeface="+mn-ea"/>
              <a:cs typeface="+mn-cs"/>
            </a:rPr>
            <a:t>DeltaHcc</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combustion of the compound in the crystalline state in kJ/mol</a:t>
          </a:r>
        </a:p>
        <a:p>
          <a:r>
            <a:rPr lang="en-US" sz="1100" b="1">
              <a:solidFill>
                <a:schemeClr val="dk1"/>
              </a:solidFill>
              <a:effectLst/>
              <a:latin typeface="+mn-lt"/>
              <a:ea typeface="+mn-ea"/>
              <a:cs typeface="+mn-cs"/>
            </a:rPr>
            <a:t>DeltaHcs</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compound</a:t>
          </a:r>
          <a:r>
            <a:rPr lang="en-US" sz="1100">
              <a:solidFill>
                <a:schemeClr val="dk1"/>
              </a:solidFill>
              <a:effectLst/>
              <a:latin typeface="+mn-lt"/>
              <a:ea typeface="+mn-ea"/>
              <a:cs typeface="+mn-cs"/>
            </a:rPr>
            <a:t>)	returns the specific heat of combustion of the compound in the solid state in kJ/mol</a:t>
          </a:r>
        </a:p>
        <a:p>
          <a:endParaRPr lang="en-US" sz="1100"/>
        </a:p>
      </xdr:txBody>
    </xdr:sp>
    <xdr:clientData/>
  </xdr:twoCellAnchor>
  <xdr:twoCellAnchor>
    <xdr:from>
      <xdr:col>4</xdr:col>
      <xdr:colOff>9525</xdr:colOff>
      <xdr:row>36</xdr:row>
      <xdr:rowOff>57150</xdr:rowOff>
    </xdr:from>
    <xdr:to>
      <xdr:col>6</xdr:col>
      <xdr:colOff>495300</xdr:colOff>
      <xdr:row>39</xdr:row>
      <xdr:rowOff>133350</xdr:rowOff>
    </xdr:to>
    <xdr:sp macro="" textlink="">
      <xdr:nvSpPr>
        <xdr:cNvPr id="4" name="TextBox 3"/>
        <xdr:cNvSpPr txBox="1"/>
      </xdr:nvSpPr>
      <xdr:spPr>
        <a:xfrm>
          <a:off x="2447925" y="6953250"/>
          <a:ext cx="170497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aseline="0"/>
            <a:t> the use of the SUMPRODUCT() function to simplify the formula calculating the heat of reaction.</a:t>
          </a:r>
          <a:endParaRPr lang="en-US" sz="1100"/>
        </a:p>
      </xdr:txBody>
    </xdr:sp>
    <xdr:clientData/>
  </xdr:twoCellAnchor>
  <xdr:twoCellAnchor>
    <xdr:from>
      <xdr:col>5</xdr:col>
      <xdr:colOff>419100</xdr:colOff>
      <xdr:row>30</xdr:row>
      <xdr:rowOff>28575</xdr:rowOff>
    </xdr:from>
    <xdr:to>
      <xdr:col>8</xdr:col>
      <xdr:colOff>238125</xdr:colOff>
      <xdr:row>35</xdr:row>
      <xdr:rowOff>9525</xdr:rowOff>
    </xdr:to>
    <xdr:sp macro="" textlink="">
      <xdr:nvSpPr>
        <xdr:cNvPr id="5" name="TextBox 4"/>
        <xdr:cNvSpPr txBox="1"/>
      </xdr:nvSpPr>
      <xdr:spPr>
        <a:xfrm>
          <a:off x="3467100" y="5743575"/>
          <a:ext cx="164782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Don't Forget </a:t>
          </a:r>
          <a:r>
            <a:rPr lang="en-US" sz="1100"/>
            <a:t>the sign convention for stoichiometric coefficients: negative for reactants, positive for products.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OneDrive/Process%20Principles%20Add-in/current/APE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8"/>
      <sheetName val="B9"/>
      <sheetName val="B11"/>
      <sheetName val="Atomic"/>
      <sheetName val="ANTOINE"/>
      <sheetName val="KOPPS"/>
      <sheetName val="B3"/>
      <sheetName val="Sheet1"/>
      <sheetName val="Introduction"/>
      <sheetName val="Chapter2"/>
      <sheetName val="Chapter 3"/>
      <sheetName val="Chapter 4"/>
      <sheetName val="Chapter 5"/>
      <sheetName val="Chapter 6"/>
      <sheetName val="Chapter 7"/>
      <sheetName val="Chapter 8"/>
      <sheetName val="Chapter 9"/>
      <sheetName val="Chapter 10"/>
      <sheetName val="Chapter 11"/>
      <sheetName val="B6"/>
      <sheetName val="B5"/>
      <sheetName val="B7"/>
      <sheetName val="B7L"/>
      <sheetName val="Steam Tables"/>
      <sheetName val="Species"/>
      <sheetName val="B1"/>
      <sheetName val="B2"/>
      <sheetName val="Solver"/>
    </sheetNames>
    <definedNames>
      <definedName name="AntoineP"/>
      <definedName name="AntoineT"/>
      <definedName name="DeltaHcg"/>
      <definedName name="DeltaHfg"/>
      <definedName name="DeltaHfl"/>
      <definedName name="Enthalpy"/>
      <definedName name="HsHCl"/>
      <definedName name="Hv"/>
      <definedName name="linterp"/>
      <definedName name="MW"/>
      <definedName name="MWCalc"/>
      <definedName name="Pcrit"/>
      <definedName name="SG"/>
      <definedName name="SteamSatP"/>
      <definedName name="SteamSatT"/>
      <definedName name="SteamSH"/>
      <definedName name="tb"/>
      <definedName name="Tcrit"/>
      <definedName name="VPWate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tabSelected="1" workbookViewId="0">
      <selection activeCell="M9" sqref="M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63"/>
  <sheetViews>
    <sheetView workbookViewId="0">
      <selection activeCell="L34" sqref="L34"/>
    </sheetView>
  </sheetViews>
  <sheetFormatPr defaultRowHeight="15" x14ac:dyDescent="0.25"/>
  <cols>
    <col min="9" max="9" width="15.5703125" customWidth="1"/>
    <col min="10" max="10" width="17.85546875" customWidth="1"/>
    <col min="11" max="11" width="11.7109375" customWidth="1"/>
    <col min="13" max="13" width="11.85546875" customWidth="1"/>
  </cols>
  <sheetData>
    <row r="1" spans="1:10" x14ac:dyDescent="0.25">
      <c r="A1" s="12"/>
      <c r="B1" s="12"/>
      <c r="C1" s="12"/>
      <c r="D1" s="12"/>
      <c r="E1" s="12"/>
      <c r="F1" s="12"/>
      <c r="G1" s="12"/>
      <c r="H1" s="11"/>
    </row>
    <row r="2" spans="1:10" x14ac:dyDescent="0.25">
      <c r="A2" s="12"/>
      <c r="B2" s="12"/>
      <c r="C2" s="12"/>
      <c r="D2" s="12"/>
      <c r="E2" s="12"/>
      <c r="F2" s="12"/>
      <c r="G2" s="12"/>
      <c r="H2" s="11"/>
      <c r="I2" t="s">
        <v>94</v>
      </c>
    </row>
    <row r="3" spans="1:10" x14ac:dyDescent="0.25">
      <c r="A3" s="11"/>
      <c r="B3" s="11"/>
      <c r="C3" s="11"/>
      <c r="D3" s="11"/>
      <c r="E3" s="11"/>
      <c r="F3" s="11"/>
      <c r="G3" s="11"/>
      <c r="H3" s="11"/>
      <c r="I3" t="s">
        <v>71</v>
      </c>
    </row>
    <row r="4" spans="1:10" x14ac:dyDescent="0.25">
      <c r="A4" s="11"/>
      <c r="B4" s="11"/>
      <c r="C4" s="11"/>
      <c r="D4" s="11"/>
      <c r="E4" s="11"/>
      <c r="F4" s="11"/>
      <c r="G4" s="11"/>
      <c r="H4" s="11"/>
    </row>
    <row r="5" spans="1:10" x14ac:dyDescent="0.25">
      <c r="I5" t="s">
        <v>72</v>
      </c>
    </row>
    <row r="6" spans="1:10" x14ac:dyDescent="0.25">
      <c r="I6" t="s">
        <v>73</v>
      </c>
      <c r="J6" t="s">
        <v>74</v>
      </c>
    </row>
    <row r="7" spans="1:10" x14ac:dyDescent="0.25">
      <c r="I7" s="45" t="s">
        <v>76</v>
      </c>
      <c r="J7" s="45" t="s">
        <v>75</v>
      </c>
    </row>
    <row r="8" spans="1:10" x14ac:dyDescent="0.25">
      <c r="I8" s="5">
        <v>20</v>
      </c>
      <c r="J8">
        <v>10</v>
      </c>
    </row>
    <row r="9" spans="1:10" x14ac:dyDescent="0.25">
      <c r="I9" s="5">
        <v>52.1</v>
      </c>
      <c r="J9">
        <v>30</v>
      </c>
    </row>
    <row r="10" spans="1:10" x14ac:dyDescent="0.25">
      <c r="I10" s="5">
        <v>84.6</v>
      </c>
      <c r="J10">
        <v>50</v>
      </c>
    </row>
    <row r="11" spans="1:10" x14ac:dyDescent="0.25">
      <c r="I11" s="5">
        <v>118.3</v>
      </c>
      <c r="J11">
        <v>70</v>
      </c>
    </row>
    <row r="12" spans="1:10" x14ac:dyDescent="0.25">
      <c r="I12" s="5">
        <v>151</v>
      </c>
      <c r="J12">
        <v>90</v>
      </c>
    </row>
    <row r="23" spans="10:15" x14ac:dyDescent="0.25">
      <c r="J23" t="s">
        <v>74</v>
      </c>
      <c r="K23" t="s">
        <v>73</v>
      </c>
      <c r="L23" t="s">
        <v>81</v>
      </c>
      <c r="M23" t="s">
        <v>77</v>
      </c>
      <c r="N23" t="s">
        <v>79</v>
      </c>
      <c r="O23" t="s">
        <v>80</v>
      </c>
    </row>
    <row r="24" spans="10:15" x14ac:dyDescent="0.25">
      <c r="J24" s="45" t="s">
        <v>75</v>
      </c>
      <c r="K24" s="45" t="s">
        <v>76</v>
      </c>
    </row>
    <row r="25" spans="10:15" x14ac:dyDescent="0.25">
      <c r="J25">
        <v>0</v>
      </c>
      <c r="K25" s="5"/>
      <c r="L25">
        <f t="shared" ref="L25:L30" si="0">$L$33*J25+$L$34</f>
        <v>3.1500000000000057</v>
      </c>
      <c r="M25">
        <f t="shared" ref="M25:M30" si="1">$L$36*J25</f>
        <v>0</v>
      </c>
    </row>
    <row r="26" spans="10:15" x14ac:dyDescent="0.25">
      <c r="J26">
        <v>10</v>
      </c>
      <c r="K26" s="5">
        <v>20</v>
      </c>
      <c r="L26">
        <f t="shared" si="0"/>
        <v>19.560000000000006</v>
      </c>
      <c r="M26">
        <f t="shared" si="1"/>
        <v>9.5</v>
      </c>
      <c r="N26">
        <f>(L26-K26)^2</f>
        <v>0.19359999999999486</v>
      </c>
      <c r="O26">
        <f>(M26-K26)^2</f>
        <v>110.25</v>
      </c>
    </row>
    <row r="27" spans="10:15" x14ac:dyDescent="0.25">
      <c r="J27">
        <v>30</v>
      </c>
      <c r="K27" s="5">
        <v>52.1</v>
      </c>
      <c r="L27">
        <f t="shared" si="0"/>
        <v>52.38000000000001</v>
      </c>
      <c r="M27">
        <f t="shared" si="1"/>
        <v>28.5</v>
      </c>
      <c r="N27">
        <f>(L27-K27)^2</f>
        <v>7.8400000000004619E-2</v>
      </c>
      <c r="O27">
        <f>(M27-K27)^2</f>
        <v>556.96</v>
      </c>
    </row>
    <row r="28" spans="10:15" x14ac:dyDescent="0.25">
      <c r="J28">
        <v>50</v>
      </c>
      <c r="K28" s="5">
        <v>84.6</v>
      </c>
      <c r="L28">
        <f t="shared" si="0"/>
        <v>85.2</v>
      </c>
      <c r="M28">
        <f t="shared" si="1"/>
        <v>47.5</v>
      </c>
      <c r="N28">
        <f>(L28-K28)^2</f>
        <v>0.36000000000001026</v>
      </c>
      <c r="O28">
        <f>(M28-K28)^2</f>
        <v>1376.4099999999996</v>
      </c>
    </row>
    <row r="29" spans="10:15" x14ac:dyDescent="0.25">
      <c r="J29">
        <v>70</v>
      </c>
      <c r="K29" s="5">
        <v>118.3</v>
      </c>
      <c r="L29">
        <f t="shared" si="0"/>
        <v>118.02000000000001</v>
      </c>
      <c r="M29">
        <f t="shared" si="1"/>
        <v>66.5</v>
      </c>
      <c r="N29">
        <f>(L29-K29)^2</f>
        <v>7.8399999999992684E-2</v>
      </c>
      <c r="O29">
        <f>(M29-K29)^2</f>
        <v>2683.24</v>
      </c>
    </row>
    <row r="30" spans="10:15" x14ac:dyDescent="0.25">
      <c r="J30">
        <v>90</v>
      </c>
      <c r="K30" s="5">
        <v>151</v>
      </c>
      <c r="L30">
        <f t="shared" si="0"/>
        <v>150.84</v>
      </c>
      <c r="M30">
        <f t="shared" si="1"/>
        <v>85.5</v>
      </c>
      <c r="N30">
        <f>(L30-K30)^2</f>
        <v>2.5599999999998908E-2</v>
      </c>
      <c r="O30">
        <f>(M30-K30)^2</f>
        <v>4290.25</v>
      </c>
    </row>
    <row r="32" spans="10:15" x14ac:dyDescent="0.25">
      <c r="M32" t="s">
        <v>83</v>
      </c>
      <c r="N32">
        <f>SUM(N26:N30)</f>
        <v>0.73600000000000132</v>
      </c>
      <c r="O32">
        <f>SUM(O26:O30)</f>
        <v>9017.11</v>
      </c>
    </row>
    <row r="33" spans="10:12" x14ac:dyDescent="0.25">
      <c r="J33" t="s">
        <v>81</v>
      </c>
      <c r="K33" t="s">
        <v>82</v>
      </c>
      <c r="L33">
        <f>SLOPE(K26:K30,J26:J30)</f>
        <v>1.641</v>
      </c>
    </row>
    <row r="34" spans="10:12" x14ac:dyDescent="0.25">
      <c r="K34" t="s">
        <v>78</v>
      </c>
      <c r="L34">
        <f>INTERCEPT(K26:K30,J26:J30)</f>
        <v>3.1500000000000057</v>
      </c>
    </row>
    <row r="36" spans="10:12" x14ac:dyDescent="0.25">
      <c r="J36" t="s">
        <v>77</v>
      </c>
      <c r="K36" t="s">
        <v>82</v>
      </c>
      <c r="L36">
        <f>[1]!linterp(D57:D60,E57:E60,H61)</f>
        <v>0.95</v>
      </c>
    </row>
    <row r="54" spans="1:8" x14ac:dyDescent="0.25">
      <c r="A54" t="s">
        <v>84</v>
      </c>
    </row>
    <row r="55" spans="1:8" x14ac:dyDescent="0.25">
      <c r="A55" t="s">
        <v>85</v>
      </c>
    </row>
    <row r="56" spans="1:8" x14ac:dyDescent="0.25">
      <c r="D56" t="s">
        <v>33</v>
      </c>
      <c r="E56" t="s">
        <v>34</v>
      </c>
      <c r="G56" t="s">
        <v>86</v>
      </c>
    </row>
    <row r="57" spans="1:8" ht="18" x14ac:dyDescent="0.35">
      <c r="D57">
        <v>1</v>
      </c>
      <c r="E57">
        <v>0.3</v>
      </c>
      <c r="G57" t="s">
        <v>92</v>
      </c>
      <c r="H57">
        <f>D58</f>
        <v>2</v>
      </c>
    </row>
    <row r="58" spans="1:8" ht="18" x14ac:dyDescent="0.35">
      <c r="D58">
        <v>2</v>
      </c>
      <c r="E58">
        <v>0.7</v>
      </c>
      <c r="G58" t="s">
        <v>93</v>
      </c>
      <c r="H58">
        <f>D59</f>
        <v>3</v>
      </c>
    </row>
    <row r="59" spans="1:8" ht="18" x14ac:dyDescent="0.35">
      <c r="D59">
        <v>3</v>
      </c>
      <c r="E59">
        <v>1.2</v>
      </c>
      <c r="G59" t="s">
        <v>91</v>
      </c>
      <c r="H59">
        <f>+E58</f>
        <v>0.7</v>
      </c>
    </row>
    <row r="60" spans="1:8" ht="18" x14ac:dyDescent="0.35">
      <c r="D60">
        <v>4</v>
      </c>
      <c r="E60">
        <v>1.8</v>
      </c>
      <c r="G60" t="s">
        <v>90</v>
      </c>
      <c r="H60">
        <f>+E59</f>
        <v>1.2</v>
      </c>
    </row>
    <row r="61" spans="1:8" x14ac:dyDescent="0.25">
      <c r="G61" t="s">
        <v>87</v>
      </c>
      <c r="H61">
        <v>2.5</v>
      </c>
    </row>
    <row r="62" spans="1:8" x14ac:dyDescent="0.25">
      <c r="E62" t="s">
        <v>88</v>
      </c>
      <c r="G62" t="s">
        <v>36</v>
      </c>
      <c r="H62">
        <f>H59+(H61-H57)/(H58-H57)*(H60-H59)</f>
        <v>0.95</v>
      </c>
    </row>
    <row r="63" spans="1:8" x14ac:dyDescent="0.25">
      <c r="E63" t="s">
        <v>89</v>
      </c>
      <c r="G63" t="s">
        <v>36</v>
      </c>
      <c r="H63">
        <f>[1]!linterp(D57:D60,E57:E60,H61)</f>
        <v>0.95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A15:H37"/>
  <sheetViews>
    <sheetView zoomScaleNormal="100" workbookViewId="0"/>
  </sheetViews>
  <sheetFormatPr defaultRowHeight="15" x14ac:dyDescent="0.25"/>
  <sheetData>
    <row r="15" spans="2:8" x14ac:dyDescent="0.25">
      <c r="B15" s="35" t="s">
        <v>60</v>
      </c>
      <c r="C15" s="36"/>
      <c r="D15" s="29"/>
      <c r="E15" s="30"/>
      <c r="F15" s="30"/>
      <c r="G15" s="30"/>
      <c r="H15" s="30"/>
    </row>
    <row r="16" spans="2:8" x14ac:dyDescent="0.25">
      <c r="B16" s="35" t="s">
        <v>43</v>
      </c>
      <c r="C16" s="40" t="s">
        <v>2</v>
      </c>
      <c r="D16" s="39">
        <f>[1]!MW("Acetone")</f>
        <v>58.08</v>
      </c>
      <c r="E16" s="38">
        <f>[1]!MW(C16)</f>
        <v>58.08</v>
      </c>
      <c r="G16" s="30"/>
      <c r="H16" s="30"/>
    </row>
    <row r="17" spans="1:8" x14ac:dyDescent="0.25">
      <c r="C17" s="41" t="s">
        <v>22</v>
      </c>
      <c r="D17" s="39">
        <f>[1]!MW("Mercury")</f>
        <v>200.61</v>
      </c>
      <c r="E17" s="38">
        <f>[1]!MW(C17)</f>
        <v>200.61</v>
      </c>
    </row>
    <row r="18" spans="1:8" x14ac:dyDescent="0.25">
      <c r="B18" s="30"/>
      <c r="C18" s="40" t="s">
        <v>3</v>
      </c>
      <c r="D18" s="37">
        <f>[1]!MW("water")</f>
        <v>18.015999999999998</v>
      </c>
      <c r="E18" s="38">
        <f>[1]!MW(C18)</f>
        <v>18.015999999999998</v>
      </c>
      <c r="F18" s="30"/>
      <c r="G18" s="30"/>
      <c r="H18" s="30"/>
    </row>
    <row r="19" spans="1:8" x14ac:dyDescent="0.25">
      <c r="B19" s="29"/>
      <c r="C19" s="30"/>
      <c r="D19" s="30"/>
      <c r="E19" s="30"/>
      <c r="F19" s="30"/>
      <c r="G19" s="30"/>
      <c r="H19" s="30"/>
    </row>
    <row r="20" spans="1:8" x14ac:dyDescent="0.25">
      <c r="B20" s="30"/>
      <c r="C20" s="30"/>
      <c r="E20" s="30"/>
      <c r="F20" s="30"/>
      <c r="G20" s="30"/>
      <c r="H20" s="30"/>
    </row>
    <row r="21" spans="1:8" x14ac:dyDescent="0.25">
      <c r="B21" s="32"/>
      <c r="C21" s="30"/>
      <c r="D21" s="30"/>
      <c r="E21" s="30"/>
      <c r="F21" s="30" t="s">
        <v>0</v>
      </c>
      <c r="G21" s="30">
        <v>2</v>
      </c>
      <c r="H21" s="30"/>
    </row>
    <row r="22" spans="1:8" x14ac:dyDescent="0.25">
      <c r="B22" s="30"/>
      <c r="C22" s="30"/>
      <c r="E22" s="30"/>
      <c r="F22" s="30" t="s">
        <v>1</v>
      </c>
      <c r="G22" s="30">
        <v>1</v>
      </c>
      <c r="H22" s="30"/>
    </row>
    <row r="23" spans="1:8" ht="18" x14ac:dyDescent="0.35">
      <c r="B23" s="30"/>
      <c r="C23" s="30"/>
      <c r="E23" s="2" t="s">
        <v>61</v>
      </c>
      <c r="F23" s="37">
        <f>[1]!MWCalc(F21:F22,G21:G22)</f>
        <v>18.015339999999998</v>
      </c>
      <c r="G23" s="42">
        <f>F23</f>
        <v>18.015339999999998</v>
      </c>
      <c r="H23" s="30"/>
    </row>
    <row r="24" spans="1:8" x14ac:dyDescent="0.25">
      <c r="B24" s="32"/>
      <c r="C24" s="30"/>
      <c r="D24" s="30"/>
      <c r="E24" s="30"/>
      <c r="F24" s="30" t="s">
        <v>51</v>
      </c>
      <c r="G24" s="30">
        <v>2</v>
      </c>
      <c r="H24" s="30"/>
    </row>
    <row r="25" spans="1:8" x14ac:dyDescent="0.25">
      <c r="B25" s="29"/>
      <c r="C25" s="30"/>
      <c r="E25" s="30"/>
      <c r="F25" s="30" t="s">
        <v>52</v>
      </c>
      <c r="G25" s="30">
        <v>1</v>
      </c>
      <c r="H25" s="30"/>
    </row>
    <row r="26" spans="1:8" ht="18" x14ac:dyDescent="0.35">
      <c r="B26" s="30"/>
      <c r="C26" s="30"/>
      <c r="D26" s="30"/>
      <c r="E26" s="2" t="s">
        <v>61</v>
      </c>
      <c r="F26" s="37">
        <f>[1]!MWCalc(F24:F25,G24:G25)</f>
        <v>18.015339999999998</v>
      </c>
      <c r="G26" s="30"/>
      <c r="H26" s="30"/>
    </row>
    <row r="30" spans="1:8" x14ac:dyDescent="0.25">
      <c r="B30" s="35" t="s">
        <v>62</v>
      </c>
      <c r="E30" s="35" t="s">
        <v>18</v>
      </c>
      <c r="F30" s="34" t="s">
        <v>63</v>
      </c>
    </row>
    <row r="31" spans="1:8" ht="18.75" x14ac:dyDescent="0.35">
      <c r="A31" s="98" t="s">
        <v>70</v>
      </c>
      <c r="B31" s="98"/>
      <c r="F31" t="s">
        <v>66</v>
      </c>
      <c r="G31" t="s">
        <v>67</v>
      </c>
      <c r="H31" t="s">
        <v>68</v>
      </c>
    </row>
    <row r="32" spans="1:8" ht="18.75" x14ac:dyDescent="0.35">
      <c r="A32">
        <v>62.4</v>
      </c>
      <c r="B32" t="s">
        <v>66</v>
      </c>
      <c r="C32" s="32" t="s">
        <v>2</v>
      </c>
      <c r="E32" s="44">
        <f>[1]!SG(C32)</f>
        <v>0.79100000000000004</v>
      </c>
      <c r="F32">
        <f>E32*$A$32</f>
        <v>49.358400000000003</v>
      </c>
      <c r="G32">
        <f>E32*$A$33</f>
        <v>0.79100000000000004</v>
      </c>
      <c r="H32">
        <f>E32*$A$34</f>
        <v>791</v>
      </c>
    </row>
    <row r="33" spans="1:7" ht="17.25" x14ac:dyDescent="0.25">
      <c r="A33" s="3">
        <v>1</v>
      </c>
      <c r="B33" t="s">
        <v>67</v>
      </c>
      <c r="C33" s="43" t="s">
        <v>22</v>
      </c>
      <c r="E33" s="44">
        <f>[1]!SG(C33)</f>
        <v>13.545999999999999</v>
      </c>
      <c r="F33">
        <f t="shared" ref="F33:F34" si="0">E33*$A$32</f>
        <v>845.2704</v>
      </c>
      <c r="G33">
        <f t="shared" ref="G33:G34" si="1">E33*$A$33</f>
        <v>13.545999999999999</v>
      </c>
    </row>
    <row r="34" spans="1:7" ht="17.25" x14ac:dyDescent="0.25">
      <c r="A34">
        <v>1000</v>
      </c>
      <c r="B34" t="s">
        <v>68</v>
      </c>
      <c r="C34" s="32" t="s">
        <v>55</v>
      </c>
      <c r="E34" s="44">
        <f>[1]!SG(C34)</f>
        <v>0.69899999999999995</v>
      </c>
      <c r="F34">
        <f t="shared" si="0"/>
        <v>43.617599999999996</v>
      </c>
      <c r="G34">
        <f t="shared" si="1"/>
        <v>0.69899999999999995</v>
      </c>
    </row>
    <row r="35" spans="1:7" x14ac:dyDescent="0.25">
      <c r="A35" s="3">
        <v>1</v>
      </c>
      <c r="B35" t="s">
        <v>64</v>
      </c>
    </row>
    <row r="36" spans="1:7" ht="17.25" x14ac:dyDescent="0.25">
      <c r="A36" s="3">
        <v>1</v>
      </c>
      <c r="B36" t="s">
        <v>69</v>
      </c>
    </row>
    <row r="37" spans="1:7" x14ac:dyDescent="0.25">
      <c r="A37" s="3">
        <v>1</v>
      </c>
      <c r="B37" t="s">
        <v>65</v>
      </c>
    </row>
  </sheetData>
  <mergeCells count="1">
    <mergeCell ref="A31:B31"/>
  </mergeCells>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G11:N50"/>
  <sheetViews>
    <sheetView workbookViewId="0"/>
  </sheetViews>
  <sheetFormatPr defaultRowHeight="15" x14ac:dyDescent="0.25"/>
  <sheetData>
    <row r="11" spans="7:7" x14ac:dyDescent="0.25">
      <c r="G11" t="s">
        <v>191</v>
      </c>
    </row>
    <row r="13" spans="7:7" x14ac:dyDescent="0.25">
      <c r="G13" t="s">
        <v>192</v>
      </c>
    </row>
    <row r="14" spans="7:7" x14ac:dyDescent="0.25">
      <c r="G14" t="s">
        <v>193</v>
      </c>
    </row>
    <row r="15" spans="7:7" x14ac:dyDescent="0.25">
      <c r="G15" t="s">
        <v>194</v>
      </c>
    </row>
    <row r="16" spans="7:7" x14ac:dyDescent="0.25">
      <c r="G16" t="s">
        <v>195</v>
      </c>
    </row>
    <row r="17" spans="7:7" x14ac:dyDescent="0.25">
      <c r="G17" t="s">
        <v>196</v>
      </c>
    </row>
    <row r="41" spans="9:14" x14ac:dyDescent="0.25">
      <c r="I41" s="34" t="s">
        <v>197</v>
      </c>
      <c r="J41" t="s">
        <v>37</v>
      </c>
      <c r="K41" t="s">
        <v>38</v>
      </c>
      <c r="L41" t="s">
        <v>39</v>
      </c>
      <c r="M41" t="s">
        <v>40</v>
      </c>
      <c r="N41" t="s">
        <v>56</v>
      </c>
    </row>
    <row r="42" spans="9:14" x14ac:dyDescent="0.25">
      <c r="I42" s="34" t="s">
        <v>198</v>
      </c>
      <c r="J42">
        <v>102.39583331140371</v>
      </c>
      <c r="K42">
        <v>392.51735748806362</v>
      </c>
      <c r="L42">
        <v>2.3958333108583019</v>
      </c>
      <c r="M42">
        <v>390.12152417618933</v>
      </c>
      <c r="N42">
        <v>290.12152417760268</v>
      </c>
    </row>
    <row r="44" spans="9:14" x14ac:dyDescent="0.25">
      <c r="I44" s="34" t="s">
        <v>199</v>
      </c>
      <c r="J44" s="34" t="s">
        <v>57</v>
      </c>
      <c r="K44" s="34" t="s">
        <v>58</v>
      </c>
      <c r="L44" s="34" t="s">
        <v>59</v>
      </c>
    </row>
    <row r="45" spans="9:14" x14ac:dyDescent="0.25">
      <c r="I45" t="s">
        <v>192</v>
      </c>
      <c r="J45">
        <f>$J$42+$N$42</f>
        <v>392.51735748900637</v>
      </c>
      <c r="K45">
        <f>$K$42</f>
        <v>392.51735748806362</v>
      </c>
      <c r="L45">
        <f>(J45-K45)^2</f>
        <v>8.8877398345976064E-19</v>
      </c>
    </row>
    <row r="46" spans="9:14" x14ac:dyDescent="0.25">
      <c r="I46" t="s">
        <v>193</v>
      </c>
      <c r="J46">
        <f>0.04*$J$42+0.017*$N$42</f>
        <v>9.0278992434753942</v>
      </c>
      <c r="K46">
        <f>0.023*$K$42</f>
        <v>9.0278992222254626</v>
      </c>
      <c r="L46">
        <f>(J46-K46)^2</f>
        <v>4.5155959267053305E-16</v>
      </c>
    </row>
    <row r="47" spans="9:14" x14ac:dyDescent="0.25">
      <c r="I47" t="s">
        <v>194</v>
      </c>
      <c r="J47">
        <f>$K$42</f>
        <v>392.51735748806362</v>
      </c>
      <c r="K47">
        <f>$L$42+$M$42</f>
        <v>392.5173574870476</v>
      </c>
      <c r="L47">
        <f>(J47-K47)^2</f>
        <v>1.0322951544064271E-18</v>
      </c>
    </row>
    <row r="48" spans="9:14" x14ac:dyDescent="0.25">
      <c r="I48" t="s">
        <v>195</v>
      </c>
      <c r="J48">
        <f>0.023*$K$42</f>
        <v>9.0278992222254626</v>
      </c>
      <c r="K48">
        <f>$L$42+0.017*$M$42</f>
        <v>9.0278992218535201</v>
      </c>
      <c r="L48">
        <f>(J48-K48)^2</f>
        <v>1.3834120606137564E-19</v>
      </c>
    </row>
    <row r="49" spans="9:12" x14ac:dyDescent="0.25">
      <c r="I49" t="s">
        <v>196</v>
      </c>
      <c r="J49">
        <f>$M$42</f>
        <v>390.12152417618933</v>
      </c>
      <c r="K49">
        <f>$N$42+100</f>
        <v>390.12152417760268</v>
      </c>
      <c r="L49">
        <f>(J49-K49)^2</f>
        <v>1.9975716961441074E-18</v>
      </c>
    </row>
    <row r="50" spans="9:12" x14ac:dyDescent="0.25">
      <c r="K50" t="s">
        <v>200</v>
      </c>
      <c r="L50">
        <f>SUM(L45:L49)</f>
        <v>4.5561657471060472E-16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5:R34"/>
  <sheetViews>
    <sheetView workbookViewId="0"/>
  </sheetViews>
  <sheetFormatPr defaultRowHeight="15" x14ac:dyDescent="0.25"/>
  <sheetData>
    <row r="5" spans="1:18" x14ac:dyDescent="0.25">
      <c r="M5" s="49"/>
      <c r="N5" s="50"/>
      <c r="O5" s="51"/>
      <c r="P5" s="52"/>
      <c r="Q5" s="52"/>
    </row>
    <row r="6" spans="1:18" x14ac:dyDescent="0.25">
      <c r="M6" s="49"/>
      <c r="N6" s="51"/>
      <c r="O6" s="48"/>
      <c r="P6" s="28"/>
      <c r="Q6" s="48"/>
      <c r="R6" s="28"/>
    </row>
    <row r="7" spans="1:18" x14ac:dyDescent="0.25">
      <c r="M7" s="49"/>
      <c r="N7" s="51"/>
      <c r="O7" s="48"/>
      <c r="P7" s="28"/>
      <c r="Q7" s="48"/>
      <c r="R7" s="28"/>
    </row>
    <row r="8" spans="1:18" x14ac:dyDescent="0.25">
      <c r="M8" s="49"/>
      <c r="N8" s="51"/>
      <c r="O8" s="48"/>
      <c r="P8" s="51"/>
      <c r="Q8" s="48"/>
      <c r="R8" s="29"/>
    </row>
    <row r="9" spans="1:18" x14ac:dyDescent="0.25">
      <c r="M9" s="49"/>
      <c r="N9" s="51"/>
      <c r="O9" s="48"/>
      <c r="P9" s="51"/>
      <c r="Q9" s="48"/>
    </row>
    <row r="10" spans="1:18" x14ac:dyDescent="0.25">
      <c r="A10" t="s">
        <v>95</v>
      </c>
      <c r="M10" s="49"/>
      <c r="N10" s="51"/>
      <c r="O10" s="48"/>
      <c r="P10" s="51"/>
      <c r="Q10" s="48"/>
      <c r="R10" s="32"/>
    </row>
    <row r="11" spans="1:18" ht="18" x14ac:dyDescent="0.35">
      <c r="F11" t="s">
        <v>100</v>
      </c>
      <c r="G11">
        <v>0.5</v>
      </c>
    </row>
    <row r="12" spans="1:18" ht="18" x14ac:dyDescent="0.35">
      <c r="F12" t="s">
        <v>101</v>
      </c>
      <c r="G12" s="3">
        <f>[1]!SG("water")</f>
        <v>1</v>
      </c>
    </row>
    <row r="13" spans="1:18" ht="18" x14ac:dyDescent="0.35">
      <c r="F13" t="s">
        <v>102</v>
      </c>
      <c r="G13">
        <f>[1]!SG("h2so4")</f>
        <v>1.8340000000000001</v>
      </c>
    </row>
    <row r="14" spans="1:18" ht="18.75" x14ac:dyDescent="0.35">
      <c r="F14" t="s">
        <v>103</v>
      </c>
      <c r="G14">
        <v>1</v>
      </c>
      <c r="H14" t="s">
        <v>67</v>
      </c>
    </row>
    <row r="15" spans="1:18" x14ac:dyDescent="0.25">
      <c r="E15" t="s">
        <v>96</v>
      </c>
    </row>
    <row r="16" spans="1:18" ht="18" x14ac:dyDescent="0.35">
      <c r="F16" t="s">
        <v>98</v>
      </c>
      <c r="G16">
        <f>G11/G12/G14+(1-G11)/G13/G14</f>
        <v>0.77262813522355511</v>
      </c>
    </row>
    <row r="17" spans="1:8" ht="18.75" x14ac:dyDescent="0.35">
      <c r="F17" t="s">
        <v>99</v>
      </c>
      <c r="G17" s="3">
        <f>1/G16</f>
        <v>1.2942836979534227</v>
      </c>
      <c r="H17" t="s">
        <v>67</v>
      </c>
    </row>
    <row r="18" spans="1:8" x14ac:dyDescent="0.25">
      <c r="E18" t="s">
        <v>97</v>
      </c>
    </row>
    <row r="19" spans="1:8" ht="18.75" x14ac:dyDescent="0.35">
      <c r="F19" t="s">
        <v>99</v>
      </c>
      <c r="G19">
        <f>G11*G12*G14+G11*G13*G14</f>
        <v>1.417</v>
      </c>
      <c r="H19" t="s">
        <v>67</v>
      </c>
    </row>
    <row r="26" spans="1:8" x14ac:dyDescent="0.25">
      <c r="A26" t="s">
        <v>104</v>
      </c>
      <c r="E26" t="s">
        <v>49</v>
      </c>
      <c r="F26">
        <v>-150.80000000000001</v>
      </c>
      <c r="G26" t="s">
        <v>4</v>
      </c>
    </row>
    <row r="27" spans="1:8" x14ac:dyDescent="0.25">
      <c r="F27">
        <f>+F26+273.15</f>
        <v>122.34999999999997</v>
      </c>
      <c r="G27" t="s">
        <v>20</v>
      </c>
    </row>
    <row r="28" spans="1:8" x14ac:dyDescent="0.25">
      <c r="E28" t="s">
        <v>50</v>
      </c>
      <c r="F28">
        <v>3</v>
      </c>
      <c r="G28" t="s">
        <v>107</v>
      </c>
    </row>
    <row r="29" spans="1:8" x14ac:dyDescent="0.25">
      <c r="E29" t="s">
        <v>106</v>
      </c>
      <c r="F29">
        <v>2</v>
      </c>
      <c r="G29" t="s">
        <v>108</v>
      </c>
    </row>
    <row r="30" spans="1:8" x14ac:dyDescent="0.25">
      <c r="E30" t="s">
        <v>105</v>
      </c>
      <c r="F30">
        <f>F28/F29</f>
        <v>1.5</v>
      </c>
      <c r="G30" t="s">
        <v>109</v>
      </c>
    </row>
    <row r="31" spans="1:8" x14ac:dyDescent="0.25">
      <c r="E31" s="46" t="s">
        <v>110</v>
      </c>
      <c r="F31" s="46">
        <f>[1]!Tcrit("N2")</f>
        <v>126.2</v>
      </c>
      <c r="G31" s="46" t="s">
        <v>20</v>
      </c>
    </row>
    <row r="32" spans="1:8" x14ac:dyDescent="0.25">
      <c r="E32" s="46" t="s">
        <v>111</v>
      </c>
      <c r="F32" s="46">
        <f>[1]!Pcrit("nitrogen")</f>
        <v>33.5</v>
      </c>
      <c r="G32" s="46" t="s">
        <v>21</v>
      </c>
    </row>
    <row r="33" spans="5:6" ht="18" x14ac:dyDescent="0.35">
      <c r="E33" t="s">
        <v>112</v>
      </c>
      <c r="F33">
        <v>0.04</v>
      </c>
    </row>
    <row r="34" spans="5:6" x14ac:dyDescent="0.25">
      <c r="E34" t="s">
        <v>113</v>
      </c>
      <c r="F34">
        <f>F27/F31</f>
        <v>0.96949286846275728</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B2:U55"/>
  <sheetViews>
    <sheetView workbookViewId="0"/>
  </sheetViews>
  <sheetFormatPr defaultRowHeight="15" x14ac:dyDescent="0.25"/>
  <sheetData>
    <row r="2" spans="2:21" x14ac:dyDescent="0.25">
      <c r="U2" s="15"/>
    </row>
    <row r="16" spans="2:21" x14ac:dyDescent="0.25">
      <c r="B16" s="27"/>
      <c r="C16" s="54" t="s">
        <v>5</v>
      </c>
      <c r="D16" s="47"/>
      <c r="E16" s="55"/>
      <c r="F16" s="47"/>
      <c r="G16" s="47"/>
      <c r="L16" s="27"/>
    </row>
    <row r="17" spans="2:17" ht="18" x14ac:dyDescent="0.35">
      <c r="B17" s="27"/>
      <c r="E17" s="47" t="s">
        <v>6</v>
      </c>
      <c r="F17" s="47">
        <v>0.4</v>
      </c>
      <c r="G17" s="55"/>
      <c r="H17" s="47"/>
      <c r="I17" s="47"/>
      <c r="L17" s="27"/>
    </row>
    <row r="18" spans="2:17" ht="18" x14ac:dyDescent="0.35">
      <c r="B18" s="27"/>
      <c r="E18" s="47" t="s">
        <v>7</v>
      </c>
      <c r="F18" s="47">
        <v>0.6</v>
      </c>
      <c r="G18" s="55"/>
      <c r="H18" s="47"/>
      <c r="I18" s="47"/>
      <c r="L18" s="27"/>
    </row>
    <row r="19" spans="2:17" x14ac:dyDescent="0.25">
      <c r="B19" s="27"/>
      <c r="E19" s="47" t="s">
        <v>8</v>
      </c>
      <c r="F19" s="47">
        <v>368.29596888849397</v>
      </c>
      <c r="G19" s="55" t="s">
        <v>9</v>
      </c>
      <c r="H19" s="57">
        <f>F19-273.15</f>
        <v>95.145968888493996</v>
      </c>
      <c r="I19" s="58" t="s">
        <v>4</v>
      </c>
    </row>
    <row r="20" spans="2:17" ht="18" x14ac:dyDescent="0.35">
      <c r="B20" s="27"/>
      <c r="E20" s="47" t="s">
        <v>10</v>
      </c>
      <c r="F20" s="61">
        <f>[1]!AntoineP("Benzene",F19,"K")</f>
        <v>1181.4045563890561</v>
      </c>
      <c r="G20" s="55" t="s">
        <v>11</v>
      </c>
      <c r="H20" s="47"/>
      <c r="I20" s="47"/>
      <c r="L20" s="27"/>
    </row>
    <row r="21" spans="2:17" ht="18" x14ac:dyDescent="0.35">
      <c r="B21" s="27"/>
      <c r="E21" s="47" t="s">
        <v>12</v>
      </c>
      <c r="F21" s="61">
        <f>[1]!AntoineP("Toluene",F19,"K")</f>
        <v>479.06382577082672</v>
      </c>
      <c r="G21" s="55" t="s">
        <v>11</v>
      </c>
      <c r="H21" s="47"/>
      <c r="I21" s="47"/>
      <c r="L21" s="27"/>
    </row>
    <row r="22" spans="2:17" x14ac:dyDescent="0.25">
      <c r="B22" s="27"/>
      <c r="E22" s="47"/>
      <c r="F22" s="47"/>
      <c r="G22" s="55"/>
      <c r="H22" s="47"/>
      <c r="I22" s="47"/>
      <c r="L22" s="27"/>
    </row>
    <row r="23" spans="2:17" ht="18" x14ac:dyDescent="0.35">
      <c r="B23" s="27"/>
      <c r="E23" s="47" t="s">
        <v>114</v>
      </c>
      <c r="F23" s="47">
        <f>F17*F20+F18*F21-760</f>
        <v>1.1801811842815368E-4</v>
      </c>
      <c r="G23" s="55"/>
      <c r="H23" s="47"/>
      <c r="I23" s="47"/>
      <c r="L23" s="27"/>
    </row>
    <row r="24" spans="2:17" x14ac:dyDescent="0.25">
      <c r="B24" s="27"/>
      <c r="E24" s="47"/>
      <c r="F24" s="47"/>
      <c r="G24" s="55"/>
      <c r="H24" s="47"/>
      <c r="I24" s="47"/>
      <c r="L24" s="27"/>
    </row>
    <row r="25" spans="2:17" ht="18" x14ac:dyDescent="0.35">
      <c r="B25" s="27"/>
      <c r="E25" s="47" t="s">
        <v>13</v>
      </c>
      <c r="F25" s="57">
        <f>F17*F20</f>
        <v>472.56182255562248</v>
      </c>
      <c r="G25" s="55" t="s">
        <v>11</v>
      </c>
      <c r="H25" s="47"/>
      <c r="I25" s="47"/>
      <c r="L25" s="27"/>
    </row>
    <row r="26" spans="2:17" ht="18" x14ac:dyDescent="0.35">
      <c r="B26" s="27"/>
      <c r="E26" s="47" t="s">
        <v>15</v>
      </c>
      <c r="F26" s="57">
        <f>F18*F21</f>
        <v>287.438295462496</v>
      </c>
      <c r="G26" s="55" t="s">
        <v>11</v>
      </c>
      <c r="H26" s="47"/>
      <c r="I26" s="47"/>
      <c r="L26" s="27"/>
    </row>
    <row r="27" spans="2:17" x14ac:dyDescent="0.25">
      <c r="B27" s="27"/>
      <c r="E27" s="47" t="s">
        <v>14</v>
      </c>
      <c r="F27" s="57">
        <f>F25+F26</f>
        <v>760.00011801811843</v>
      </c>
      <c r="G27" s="55" t="s">
        <v>11</v>
      </c>
      <c r="H27" s="47"/>
      <c r="I27" s="47"/>
      <c r="L27" s="27"/>
    </row>
    <row r="28" spans="2:17" ht="18" x14ac:dyDescent="0.35">
      <c r="B28" s="27"/>
      <c r="E28" s="47" t="s">
        <v>115</v>
      </c>
      <c r="F28" s="60">
        <f>F25/F27</f>
        <v>0.6217917752275357</v>
      </c>
      <c r="G28" s="55" t="s">
        <v>17</v>
      </c>
      <c r="H28" s="47"/>
      <c r="I28" s="47"/>
      <c r="L28" s="27"/>
    </row>
    <row r="29" spans="2:17" ht="18" x14ac:dyDescent="0.35">
      <c r="B29" s="27"/>
      <c r="E29" s="47" t="s">
        <v>116</v>
      </c>
      <c r="F29" s="60">
        <f>1-F28</f>
        <v>0.3782082247724643</v>
      </c>
      <c r="G29" s="55" t="s">
        <v>16</v>
      </c>
      <c r="H29" s="47"/>
      <c r="I29" s="47"/>
      <c r="L29" s="27"/>
      <c r="N29" s="27"/>
      <c r="O29" s="27"/>
      <c r="P29" s="27"/>
      <c r="Q29" s="27"/>
    </row>
    <row r="30" spans="2:17" x14ac:dyDescent="0.25">
      <c r="B30" s="27"/>
      <c r="I30" s="47"/>
      <c r="L30" s="27"/>
      <c r="N30" s="27"/>
      <c r="O30" s="27"/>
      <c r="P30" s="27"/>
      <c r="Q30" s="27"/>
    </row>
    <row r="31" spans="2:17" x14ac:dyDescent="0.25">
      <c r="B31" s="27"/>
      <c r="E31" s="47" t="s">
        <v>42</v>
      </c>
      <c r="F31">
        <f>[1]!AntoineT("benzene",F20)</f>
        <v>95.145968888493996</v>
      </c>
      <c r="G31" s="55" t="s">
        <v>4</v>
      </c>
      <c r="I31" s="47"/>
      <c r="L31" s="27"/>
      <c r="N31" s="27"/>
      <c r="O31" s="27"/>
      <c r="P31" s="27"/>
      <c r="Q31" s="27"/>
    </row>
    <row r="32" spans="2:17" x14ac:dyDescent="0.25">
      <c r="B32" s="56"/>
      <c r="C32" s="27"/>
      <c r="D32" s="27"/>
      <c r="E32" s="47" t="s">
        <v>42</v>
      </c>
      <c r="F32">
        <f>[1]!AntoineT("toluene",F21)</f>
        <v>95.145968888493968</v>
      </c>
      <c r="G32" s="55" t="s">
        <v>4</v>
      </c>
      <c r="I32" s="47"/>
      <c r="L32" s="27"/>
      <c r="N32" s="27"/>
      <c r="O32" s="27"/>
      <c r="P32" s="27"/>
      <c r="Q32" s="27"/>
    </row>
    <row r="33" spans="2:17" x14ac:dyDescent="0.25">
      <c r="B33" s="47"/>
      <c r="C33" s="27"/>
      <c r="D33" s="27"/>
      <c r="E33" s="27"/>
      <c r="I33" s="47"/>
      <c r="L33" s="27"/>
      <c r="N33" s="27"/>
      <c r="O33" s="27"/>
      <c r="P33" s="27"/>
      <c r="Q33" s="27"/>
    </row>
    <row r="34" spans="2:17" x14ac:dyDescent="0.25">
      <c r="B34" s="47"/>
      <c r="C34" s="27"/>
      <c r="D34" s="27"/>
      <c r="E34" s="27"/>
      <c r="I34" s="47"/>
      <c r="L34" s="27"/>
      <c r="N34" s="27"/>
      <c r="O34" s="27"/>
      <c r="P34" s="27"/>
      <c r="Q34" s="27"/>
    </row>
    <row r="35" spans="2:17" x14ac:dyDescent="0.25">
      <c r="B35" s="47"/>
      <c r="C35" s="27"/>
      <c r="D35" s="27"/>
      <c r="E35" s="27"/>
      <c r="F35" s="58"/>
      <c r="I35" s="47"/>
      <c r="L35" s="27"/>
      <c r="N35" s="27"/>
      <c r="O35" s="27"/>
      <c r="P35" s="27"/>
      <c r="Q35" s="27"/>
    </row>
    <row r="36" spans="2:17" x14ac:dyDescent="0.25">
      <c r="B36" s="47"/>
      <c r="C36" s="59"/>
      <c r="D36" s="27"/>
      <c r="E36" s="27"/>
      <c r="I36" s="47"/>
      <c r="L36" s="27"/>
      <c r="N36" s="27"/>
      <c r="O36" s="27"/>
      <c r="P36" s="27"/>
      <c r="Q36" s="27"/>
    </row>
    <row r="37" spans="2:17" x14ac:dyDescent="0.25">
      <c r="B37" s="47"/>
      <c r="C37" s="59"/>
      <c r="D37" s="27"/>
      <c r="E37" s="27"/>
      <c r="I37" s="47"/>
      <c r="L37" s="27"/>
      <c r="N37" s="27"/>
      <c r="O37" s="27"/>
      <c r="P37" s="27"/>
      <c r="Q37" s="27"/>
    </row>
    <row r="42" spans="2:17" x14ac:dyDescent="0.25">
      <c r="B42" s="34" t="s">
        <v>117</v>
      </c>
    </row>
    <row r="43" spans="2:17" x14ac:dyDescent="0.25">
      <c r="D43" t="s">
        <v>42</v>
      </c>
      <c r="E43">
        <v>100</v>
      </c>
      <c r="F43" t="s">
        <v>4</v>
      </c>
    </row>
    <row r="44" spans="2:17" x14ac:dyDescent="0.25">
      <c r="C44" s="3"/>
      <c r="D44" t="s">
        <v>14</v>
      </c>
      <c r="E44">
        <v>5260</v>
      </c>
      <c r="F44" t="s">
        <v>118</v>
      </c>
    </row>
    <row r="45" spans="2:17" ht="18" x14ac:dyDescent="0.35">
      <c r="C45" s="5"/>
      <c r="D45" t="s">
        <v>119</v>
      </c>
      <c r="E45" s="3">
        <v>0.1</v>
      </c>
    </row>
    <row r="46" spans="2:17" x14ac:dyDescent="0.25">
      <c r="C46" s="3"/>
    </row>
    <row r="47" spans="2:17" ht="18" x14ac:dyDescent="0.35">
      <c r="C47" s="5" t="s">
        <v>120</v>
      </c>
      <c r="E47">
        <f>E45*E44</f>
        <v>526</v>
      </c>
      <c r="F47" t="s">
        <v>118</v>
      </c>
    </row>
    <row r="48" spans="2:17" ht="18.75" x14ac:dyDescent="0.35">
      <c r="C48" s="4" t="s">
        <v>121</v>
      </c>
      <c r="E48" s="5">
        <v>90.012007210987932</v>
      </c>
      <c r="F48" t="s">
        <v>4</v>
      </c>
    </row>
    <row r="49" spans="3:5" x14ac:dyDescent="0.25">
      <c r="D49" t="s">
        <v>53</v>
      </c>
      <c r="E49">
        <f>[1]!VPWater(E48)</f>
        <v>526.00014420000002</v>
      </c>
    </row>
    <row r="52" spans="3:5" x14ac:dyDescent="0.25">
      <c r="C52" s="4"/>
    </row>
    <row r="53" spans="3:5" x14ac:dyDescent="0.25">
      <c r="C53" s="4"/>
    </row>
    <row r="54" spans="3:5" x14ac:dyDescent="0.25">
      <c r="C54" s="4"/>
    </row>
    <row r="55" spans="3:5" x14ac:dyDescent="0.25">
      <c r="C55" s="4"/>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3:X90"/>
  <sheetViews>
    <sheetView workbookViewId="0"/>
  </sheetViews>
  <sheetFormatPr defaultRowHeight="15" x14ac:dyDescent="0.25"/>
  <cols>
    <col min="15" max="15" width="12" bestFit="1" customWidth="1"/>
  </cols>
  <sheetData>
    <row r="3" spans="19:24" x14ac:dyDescent="0.25">
      <c r="S3" s="70"/>
      <c r="T3" s="52"/>
      <c r="U3" s="52"/>
      <c r="V3" s="52"/>
      <c r="W3" s="52"/>
      <c r="X3" s="52"/>
    </row>
    <row r="4" spans="19:24" x14ac:dyDescent="0.25">
      <c r="S4" s="52"/>
      <c r="T4" s="52"/>
      <c r="U4" s="52"/>
      <c r="V4" s="52"/>
      <c r="W4" s="52"/>
      <c r="X4" s="52"/>
    </row>
    <row r="5" spans="19:24" x14ac:dyDescent="0.25">
      <c r="S5" s="52"/>
      <c r="T5" s="52"/>
      <c r="U5" s="51"/>
      <c r="V5" s="52"/>
      <c r="W5" s="52"/>
      <c r="X5" s="52"/>
    </row>
    <row r="6" spans="19:24" x14ac:dyDescent="0.25">
      <c r="S6" s="52"/>
      <c r="T6" s="52"/>
      <c r="U6" s="51"/>
      <c r="V6" s="52"/>
      <c r="W6" s="52"/>
      <c r="X6" s="52"/>
    </row>
    <row r="7" spans="19:24" x14ac:dyDescent="0.25">
      <c r="S7" s="52"/>
      <c r="T7" s="52"/>
      <c r="U7" s="51"/>
      <c r="V7" s="52"/>
      <c r="W7" s="52"/>
      <c r="X7" s="52"/>
    </row>
    <row r="8" spans="19:24" x14ac:dyDescent="0.25">
      <c r="S8" s="52"/>
      <c r="T8" s="52"/>
      <c r="U8" s="51"/>
      <c r="V8" s="52"/>
      <c r="W8" s="52"/>
      <c r="X8" s="52"/>
    </row>
    <row r="9" spans="19:24" x14ac:dyDescent="0.25">
      <c r="S9" s="52"/>
      <c r="T9" s="52"/>
      <c r="U9" s="51"/>
      <c r="V9" s="52"/>
      <c r="W9" s="52"/>
      <c r="X9" s="52"/>
    </row>
    <row r="10" spans="19:24" x14ac:dyDescent="0.25">
      <c r="S10" s="52"/>
      <c r="T10" s="52"/>
      <c r="U10" s="51"/>
      <c r="V10" s="52"/>
      <c r="W10" s="52"/>
      <c r="X10" s="52"/>
    </row>
    <row r="11" spans="19:24" x14ac:dyDescent="0.25">
      <c r="S11" s="52"/>
      <c r="T11" s="52"/>
      <c r="U11" s="51"/>
      <c r="V11" s="52"/>
      <c r="W11" s="52"/>
      <c r="X11" s="52"/>
    </row>
    <row r="12" spans="19:24" x14ac:dyDescent="0.25">
      <c r="S12" s="52"/>
      <c r="T12" s="52"/>
      <c r="U12" s="51"/>
      <c r="V12" s="52"/>
      <c r="W12" s="52"/>
      <c r="X12" s="52"/>
    </row>
    <row r="13" spans="19:24" x14ac:dyDescent="0.25">
      <c r="S13" s="52"/>
      <c r="T13" s="52"/>
      <c r="U13" s="51"/>
      <c r="V13" s="71"/>
      <c r="W13" s="52"/>
      <c r="X13" s="52"/>
    </row>
    <row r="14" spans="19:24" x14ac:dyDescent="0.25">
      <c r="S14" s="52"/>
      <c r="T14" s="52"/>
      <c r="U14" s="52"/>
      <c r="V14" s="63"/>
      <c r="W14" s="52"/>
      <c r="X14" s="52"/>
    </row>
    <row r="15" spans="19:24" x14ac:dyDescent="0.25">
      <c r="S15" s="52"/>
      <c r="T15" s="52"/>
      <c r="U15" s="52"/>
      <c r="V15" s="52"/>
      <c r="W15" s="52"/>
      <c r="X15" s="52"/>
    </row>
    <row r="16" spans="19:24" x14ac:dyDescent="0.25">
      <c r="S16" s="52"/>
      <c r="T16" s="52"/>
      <c r="U16" s="72"/>
      <c r="V16" s="52"/>
      <c r="W16" s="52"/>
      <c r="X16" s="52"/>
    </row>
    <row r="17" spans="1:24" x14ac:dyDescent="0.25">
      <c r="S17" s="52"/>
      <c r="T17" s="52"/>
      <c r="U17" s="52"/>
      <c r="V17" s="52"/>
      <c r="W17" s="52"/>
      <c r="X17" s="52"/>
    </row>
    <row r="18" spans="1:24" x14ac:dyDescent="0.25">
      <c r="S18" s="52"/>
      <c r="T18" s="52"/>
      <c r="U18" s="52"/>
      <c r="V18" s="52"/>
      <c r="W18" s="52"/>
      <c r="X18" s="52"/>
    </row>
    <row r="19" spans="1:24" x14ac:dyDescent="0.25">
      <c r="M19" s="62"/>
      <c r="N19" s="52"/>
      <c r="O19" s="52"/>
      <c r="P19" s="52"/>
      <c r="Q19" s="52"/>
      <c r="R19" s="52"/>
      <c r="S19" s="52"/>
      <c r="T19" s="52"/>
      <c r="U19" s="52"/>
      <c r="V19" s="52"/>
      <c r="W19" s="52"/>
      <c r="X19" s="52"/>
    </row>
    <row r="20" spans="1:24" x14ac:dyDescent="0.25">
      <c r="M20" s="52"/>
      <c r="N20" s="52"/>
      <c r="O20" s="52"/>
      <c r="P20" s="52"/>
      <c r="Q20" s="52"/>
      <c r="R20" s="52"/>
      <c r="S20" s="52"/>
      <c r="T20" s="52"/>
      <c r="U20" s="52"/>
      <c r="V20" s="52"/>
      <c r="W20" s="52"/>
      <c r="X20" s="52"/>
    </row>
    <row r="21" spans="1:24" x14ac:dyDescent="0.25">
      <c r="M21" s="52"/>
      <c r="N21" s="52"/>
      <c r="O21" s="63"/>
      <c r="P21" s="52"/>
      <c r="Q21" s="52"/>
      <c r="R21" s="52"/>
      <c r="S21" s="52"/>
      <c r="T21" s="52"/>
      <c r="U21" s="52"/>
      <c r="V21" s="52"/>
      <c r="W21" s="52"/>
      <c r="X21" s="52"/>
    </row>
    <row r="22" spans="1:24" x14ac:dyDescent="0.25">
      <c r="M22" s="52"/>
      <c r="N22" s="52"/>
      <c r="O22" s="63"/>
      <c r="P22" s="52"/>
      <c r="Q22" s="52"/>
      <c r="R22" s="52"/>
      <c r="S22" s="52"/>
      <c r="T22" s="52"/>
      <c r="U22" s="72"/>
      <c r="V22" s="52"/>
      <c r="W22" s="52"/>
      <c r="X22" s="52"/>
    </row>
    <row r="23" spans="1:24" x14ac:dyDescent="0.25">
      <c r="M23" s="52"/>
      <c r="N23" s="52"/>
      <c r="O23" s="64"/>
      <c r="P23" s="52"/>
      <c r="Q23" s="52"/>
      <c r="R23" s="52"/>
      <c r="S23" s="52"/>
      <c r="T23" s="52"/>
      <c r="U23" s="72"/>
      <c r="V23" s="52"/>
      <c r="W23" s="52"/>
      <c r="X23" s="52"/>
    </row>
    <row r="24" spans="1:24" x14ac:dyDescent="0.25">
      <c r="M24" s="52"/>
      <c r="N24" s="52"/>
      <c r="O24" s="52"/>
      <c r="P24" s="52"/>
      <c r="Q24" s="52"/>
      <c r="R24" s="52"/>
      <c r="S24" s="52"/>
      <c r="T24" s="52"/>
      <c r="U24" s="72"/>
      <c r="V24" s="52"/>
      <c r="W24" s="52"/>
      <c r="X24" s="52"/>
    </row>
    <row r="25" spans="1:24" x14ac:dyDescent="0.25">
      <c r="M25" s="52"/>
      <c r="N25" s="52"/>
      <c r="O25" s="65"/>
      <c r="P25" s="52"/>
      <c r="Q25" s="52"/>
      <c r="R25" s="52"/>
      <c r="S25" s="52"/>
      <c r="T25" s="52"/>
      <c r="U25" s="52"/>
      <c r="V25" s="52"/>
      <c r="W25" s="52"/>
      <c r="X25" s="52"/>
    </row>
    <row r="26" spans="1:24" x14ac:dyDescent="0.25">
      <c r="C26">
        <f>[1]!DeltaHcg("n-butane")</f>
        <v>-2878.5</v>
      </c>
      <c r="M26" s="52"/>
      <c r="N26" s="51"/>
      <c r="O26" s="52"/>
      <c r="P26" s="52"/>
      <c r="Q26" s="52"/>
      <c r="R26" s="52"/>
      <c r="S26" s="52"/>
      <c r="T26" s="52"/>
      <c r="U26" s="73"/>
      <c r="V26" s="65"/>
      <c r="W26" s="52"/>
      <c r="X26" s="52"/>
    </row>
    <row r="27" spans="1:24" x14ac:dyDescent="0.25">
      <c r="M27" s="52"/>
      <c r="N27" s="52"/>
      <c r="O27" s="52"/>
      <c r="P27" s="52"/>
      <c r="Q27" s="52"/>
      <c r="R27" s="52"/>
      <c r="S27" s="52"/>
      <c r="T27" s="72"/>
      <c r="U27" s="74"/>
      <c r="V27" s="75"/>
      <c r="W27" s="52"/>
      <c r="X27" s="52"/>
    </row>
    <row r="28" spans="1:24" x14ac:dyDescent="0.25">
      <c r="M28" s="52"/>
      <c r="N28" s="52"/>
      <c r="O28" s="52"/>
      <c r="P28" s="52"/>
      <c r="Q28" s="52"/>
      <c r="R28" s="52"/>
      <c r="S28" s="52"/>
      <c r="T28" s="76"/>
      <c r="U28" s="51"/>
      <c r="V28" s="77"/>
      <c r="W28" s="52"/>
      <c r="X28" s="52"/>
    </row>
    <row r="29" spans="1:24" x14ac:dyDescent="0.25">
      <c r="M29" s="52"/>
      <c r="N29" s="51"/>
      <c r="O29" s="66"/>
      <c r="P29" s="52"/>
      <c r="Q29" s="52"/>
      <c r="R29" s="52"/>
      <c r="S29" s="52"/>
      <c r="T29" s="72"/>
      <c r="U29" s="51"/>
      <c r="V29" s="78"/>
      <c r="W29" s="52"/>
      <c r="X29" s="52"/>
    </row>
    <row r="30" spans="1:24" x14ac:dyDescent="0.25">
      <c r="A30" t="s">
        <v>122</v>
      </c>
      <c r="M30" s="52"/>
      <c r="N30" s="51"/>
      <c r="O30" s="67"/>
      <c r="P30" s="52"/>
      <c r="Q30" s="52"/>
      <c r="R30" s="52"/>
      <c r="S30" s="52"/>
      <c r="T30" s="52"/>
      <c r="U30" s="52"/>
      <c r="V30" s="52"/>
      <c r="W30" s="52"/>
      <c r="X30" s="52"/>
    </row>
    <row r="31" spans="1:24" x14ac:dyDescent="0.25">
      <c r="M31" s="52"/>
      <c r="N31" s="51"/>
      <c r="O31" s="68"/>
      <c r="P31" s="52"/>
      <c r="Q31" s="52"/>
      <c r="R31" s="52"/>
      <c r="S31" s="52"/>
      <c r="T31" s="52"/>
      <c r="U31" s="52"/>
      <c r="V31" s="52"/>
      <c r="W31" s="52"/>
      <c r="X31" s="52"/>
    </row>
    <row r="32" spans="1:24" x14ac:dyDescent="0.25">
      <c r="A32" t="s">
        <v>185</v>
      </c>
      <c r="M32" s="52"/>
      <c r="N32" s="52"/>
      <c r="O32" s="63"/>
      <c r="P32" s="52"/>
      <c r="Q32" s="52"/>
      <c r="R32" s="52"/>
      <c r="S32" s="52"/>
      <c r="T32" s="52"/>
      <c r="U32" s="52"/>
      <c r="V32" s="52"/>
      <c r="W32" s="52"/>
      <c r="X32" s="52"/>
    </row>
    <row r="33" spans="1:24" x14ac:dyDescent="0.25">
      <c r="A33" t="s">
        <v>123</v>
      </c>
      <c r="M33" s="52"/>
      <c r="N33" s="52"/>
      <c r="O33" s="69"/>
      <c r="P33" s="52"/>
      <c r="Q33" s="52"/>
      <c r="R33" s="52"/>
      <c r="S33" s="52"/>
      <c r="T33" s="74"/>
      <c r="U33" s="63"/>
      <c r="V33" s="52"/>
      <c r="W33" s="52"/>
      <c r="X33" s="52"/>
    </row>
    <row r="34" spans="1:24" x14ac:dyDescent="0.25">
      <c r="B34" t="s">
        <v>42</v>
      </c>
      <c r="C34">
        <v>133.5</v>
      </c>
      <c r="D34" t="s">
        <v>4</v>
      </c>
      <c r="S34" s="52"/>
      <c r="T34" s="52"/>
      <c r="U34" s="52"/>
      <c r="V34" s="52"/>
      <c r="W34" s="52"/>
      <c r="X34" s="52"/>
    </row>
    <row r="35" spans="1:24" x14ac:dyDescent="0.25">
      <c r="A35" t="s">
        <v>124</v>
      </c>
      <c r="E35" t="s">
        <v>125</v>
      </c>
    </row>
    <row r="36" spans="1:24" x14ac:dyDescent="0.25">
      <c r="B36" t="s">
        <v>53</v>
      </c>
      <c r="C36">
        <f>[1]!SteamSatT(C34,"T","P")</f>
        <v>2.2609750000000002</v>
      </c>
      <c r="D36" t="s">
        <v>127</v>
      </c>
      <c r="F36" t="s">
        <v>53</v>
      </c>
      <c r="G36" s="5">
        <f>[1]!SteamSatP(C34,"T","P")</f>
        <v>3</v>
      </c>
    </row>
    <row r="37" spans="1:24" ht="17.25" x14ac:dyDescent="0.25">
      <c r="B37" t="s">
        <v>126</v>
      </c>
      <c r="C37">
        <f>[1]!SteamSatT(C34,"T","V","V")</f>
        <v>-0.11924999999999969</v>
      </c>
      <c r="D37" t="s">
        <v>129</v>
      </c>
      <c r="F37" t="s">
        <v>126</v>
      </c>
      <c r="G37">
        <f>[1]!SteamSatP(C34,"T","V","V")</f>
        <v>0.60599999999999998</v>
      </c>
      <c r="H37" t="s">
        <v>129</v>
      </c>
    </row>
    <row r="38" spans="1:24" x14ac:dyDescent="0.25">
      <c r="B38" t="s">
        <v>130</v>
      </c>
      <c r="C38">
        <f>[1]!SteamSatT(C34,"T","U","V")</f>
        <v>2540.5</v>
      </c>
      <c r="D38" t="s">
        <v>128</v>
      </c>
      <c r="F38" t="s">
        <v>130</v>
      </c>
      <c r="G38">
        <f>[1]!SteamSatP(C34,"T","U","V")</f>
        <v>2543</v>
      </c>
      <c r="H38" t="s">
        <v>128</v>
      </c>
    </row>
    <row r="39" spans="1:24" x14ac:dyDescent="0.25">
      <c r="B39" t="s">
        <v>131</v>
      </c>
      <c r="C39">
        <f>[1]!SteamSatT(C34,"T","H","V")</f>
        <v>2726.25</v>
      </c>
      <c r="D39" t="s">
        <v>128</v>
      </c>
      <c r="F39" t="s">
        <v>131</v>
      </c>
      <c r="G39">
        <f>[1]!SteamSatP(C34,"T","H","V")</f>
        <v>2724.7</v>
      </c>
      <c r="H39" t="s">
        <v>128</v>
      </c>
    </row>
    <row r="48" spans="1:24" x14ac:dyDescent="0.25">
      <c r="A48" t="s">
        <v>150</v>
      </c>
    </row>
    <row r="49" spans="1:8" x14ac:dyDescent="0.25">
      <c r="A49" t="s">
        <v>132</v>
      </c>
    </row>
    <row r="50" spans="1:8" x14ac:dyDescent="0.25">
      <c r="B50" t="s">
        <v>42</v>
      </c>
      <c r="C50">
        <v>400</v>
      </c>
      <c r="D50" t="s">
        <v>4</v>
      </c>
    </row>
    <row r="51" spans="1:8" x14ac:dyDescent="0.25">
      <c r="B51" t="s">
        <v>14</v>
      </c>
      <c r="C51">
        <v>10</v>
      </c>
      <c r="D51" t="s">
        <v>127</v>
      </c>
    </row>
    <row r="52" spans="1:8" x14ac:dyDescent="0.25">
      <c r="B52" t="s">
        <v>131</v>
      </c>
      <c r="C52">
        <f>[1]!SteamSH(C50,C51,"T","P","H")</f>
        <v>3264</v>
      </c>
      <c r="D52" t="s">
        <v>128</v>
      </c>
    </row>
    <row r="53" spans="1:8" x14ac:dyDescent="0.25">
      <c r="B53" t="s">
        <v>130</v>
      </c>
      <c r="C53">
        <f>[1]!SteamSH(C50,C51,"T","P","U")</f>
        <v>2958</v>
      </c>
      <c r="D53" t="s">
        <v>128</v>
      </c>
    </row>
    <row r="54" spans="1:8" ht="17.25" x14ac:dyDescent="0.25">
      <c r="B54" t="s">
        <v>126</v>
      </c>
      <c r="C54">
        <f>[1]!SteamSH(C50,C51,"T","P","V")</f>
        <v>0.307</v>
      </c>
      <c r="D54" t="s">
        <v>129</v>
      </c>
    </row>
    <row r="55" spans="1:8" x14ac:dyDescent="0.25">
      <c r="A55" t="s">
        <v>134</v>
      </c>
    </row>
    <row r="56" spans="1:8" x14ac:dyDescent="0.25">
      <c r="B56" t="s">
        <v>133</v>
      </c>
      <c r="C56">
        <f>[1]!SteamSatP(C51,"P","T")</f>
        <v>179.9</v>
      </c>
      <c r="D56" t="s">
        <v>4</v>
      </c>
    </row>
    <row r="58" spans="1:8" x14ac:dyDescent="0.25">
      <c r="A58" t="s">
        <v>135</v>
      </c>
    </row>
    <row r="60" spans="1:8" x14ac:dyDescent="0.25">
      <c r="A60" t="s">
        <v>186</v>
      </c>
    </row>
    <row r="61" spans="1:8" x14ac:dyDescent="0.25">
      <c r="B61" t="s">
        <v>14</v>
      </c>
      <c r="C61">
        <v>10</v>
      </c>
      <c r="D61" t="s">
        <v>127</v>
      </c>
      <c r="F61" t="s">
        <v>14</v>
      </c>
      <c r="G61">
        <v>1</v>
      </c>
      <c r="H61" t="s">
        <v>127</v>
      </c>
    </row>
    <row r="62" spans="1:8" x14ac:dyDescent="0.25">
      <c r="B62" t="s">
        <v>42</v>
      </c>
      <c r="C62">
        <v>370</v>
      </c>
      <c r="D62" t="s">
        <v>4</v>
      </c>
    </row>
    <row r="63" spans="1:8" x14ac:dyDescent="0.25">
      <c r="B63" t="s">
        <v>136</v>
      </c>
      <c r="C63">
        <f>[1]!SteamSH(C61,C62,"P","T","H")</f>
        <v>3201</v>
      </c>
      <c r="D63" t="s">
        <v>128</v>
      </c>
      <c r="F63" t="s">
        <v>137</v>
      </c>
      <c r="G63">
        <f>[1]!SteamSatP(G61,"P","H","V")</f>
        <v>2675.4</v>
      </c>
    </row>
    <row r="65" spans="1:7" x14ac:dyDescent="0.25">
      <c r="A65" t="s">
        <v>187</v>
      </c>
    </row>
    <row r="67" spans="1:7" x14ac:dyDescent="0.25">
      <c r="B67" t="s">
        <v>140</v>
      </c>
      <c r="E67" t="s">
        <v>141</v>
      </c>
    </row>
    <row r="68" spans="1:7" x14ac:dyDescent="0.25">
      <c r="B68" t="s">
        <v>139</v>
      </c>
      <c r="E68" t="s">
        <v>139</v>
      </c>
    </row>
    <row r="69" spans="1:7" x14ac:dyDescent="0.25">
      <c r="B69" t="s">
        <v>42</v>
      </c>
      <c r="C69">
        <v>30</v>
      </c>
      <c r="D69" t="s">
        <v>4</v>
      </c>
      <c r="E69" t="s">
        <v>42</v>
      </c>
      <c r="F69">
        <v>65</v>
      </c>
      <c r="G69" t="s">
        <v>4</v>
      </c>
    </row>
    <row r="70" spans="1:7" x14ac:dyDescent="0.25">
      <c r="B70" t="s">
        <v>138</v>
      </c>
      <c r="C70">
        <f>[1]!SteamSatT(C69,"T","H","L")</f>
        <v>125.7</v>
      </c>
      <c r="D70" t="s">
        <v>128</v>
      </c>
      <c r="E70" t="s">
        <v>142</v>
      </c>
      <c r="F70">
        <f>[1]!SteamSatT(F69,"T","H","L")</f>
        <v>272.04999999999995</v>
      </c>
      <c r="G70" t="s">
        <v>128</v>
      </c>
    </row>
    <row r="72" spans="1:7" x14ac:dyDescent="0.25">
      <c r="B72" t="s">
        <v>143</v>
      </c>
    </row>
    <row r="73" spans="1:7" x14ac:dyDescent="0.25">
      <c r="B73" t="s">
        <v>144</v>
      </c>
    </row>
    <row r="74" spans="1:7" x14ac:dyDescent="0.25">
      <c r="B74" t="s">
        <v>14</v>
      </c>
      <c r="C74">
        <v>17</v>
      </c>
      <c r="D74" t="s">
        <v>127</v>
      </c>
    </row>
    <row r="75" spans="1:7" x14ac:dyDescent="0.25">
      <c r="B75" t="s">
        <v>131</v>
      </c>
      <c r="C75">
        <f>[1]!SteamSatP(C74,"P","H","V")</f>
        <v>2793.4</v>
      </c>
      <c r="D75" t="s">
        <v>128</v>
      </c>
    </row>
    <row r="78" spans="1:7" x14ac:dyDescent="0.25">
      <c r="A78" t="s">
        <v>188</v>
      </c>
    </row>
    <row r="80" spans="1:7" x14ac:dyDescent="0.25">
      <c r="B80" t="s">
        <v>145</v>
      </c>
      <c r="E80" t="s">
        <v>147</v>
      </c>
    </row>
    <row r="81" spans="2:7" x14ac:dyDescent="0.25">
      <c r="B81" t="s">
        <v>146</v>
      </c>
      <c r="E81" t="s">
        <v>42</v>
      </c>
      <c r="F81">
        <v>400</v>
      </c>
      <c r="G81" t="s">
        <v>4</v>
      </c>
    </row>
    <row r="82" spans="2:7" x14ac:dyDescent="0.25">
      <c r="B82" t="s">
        <v>14</v>
      </c>
      <c r="C82">
        <v>1</v>
      </c>
      <c r="D82" t="s">
        <v>21</v>
      </c>
      <c r="E82" t="s">
        <v>14</v>
      </c>
      <c r="F82">
        <v>1</v>
      </c>
      <c r="G82" t="s">
        <v>21</v>
      </c>
    </row>
    <row r="83" spans="2:7" x14ac:dyDescent="0.25">
      <c r="C83">
        <f>C82*1.01325</f>
        <v>1.01325</v>
      </c>
      <c r="D83" t="s">
        <v>127</v>
      </c>
      <c r="F83">
        <f>1.01325*F82</f>
        <v>1.01325</v>
      </c>
      <c r="G83" t="s">
        <v>127</v>
      </c>
    </row>
    <row r="84" spans="2:7" x14ac:dyDescent="0.25">
      <c r="B84" t="s">
        <v>138</v>
      </c>
      <c r="C84">
        <f>[1]!SteamSatP(C83,"P","H","V")</f>
        <v>2676</v>
      </c>
      <c r="D84" t="s">
        <v>128</v>
      </c>
      <c r="E84" t="s">
        <v>142</v>
      </c>
      <c r="F84">
        <f>[1]!SteamSH(F81,F83,"T","P","H","V")</f>
        <v>3277.980125</v>
      </c>
      <c r="G84" t="s">
        <v>128</v>
      </c>
    </row>
    <row r="86" spans="2:7" x14ac:dyDescent="0.25">
      <c r="B86" t="s">
        <v>148</v>
      </c>
    </row>
    <row r="87" spans="2:7" x14ac:dyDescent="0.25">
      <c r="B87" t="s">
        <v>42</v>
      </c>
      <c r="C87">
        <v>300</v>
      </c>
      <c r="D87" t="s">
        <v>4</v>
      </c>
    </row>
    <row r="88" spans="2:7" x14ac:dyDescent="0.25">
      <c r="B88" t="s">
        <v>14</v>
      </c>
      <c r="C88">
        <v>1</v>
      </c>
      <c r="D88" t="s">
        <v>21</v>
      </c>
    </row>
    <row r="89" spans="2:7" x14ac:dyDescent="0.25">
      <c r="C89">
        <f>+C88*1.01325</f>
        <v>1.01325</v>
      </c>
      <c r="D89" t="s">
        <v>127</v>
      </c>
    </row>
    <row r="90" spans="2:7" x14ac:dyDescent="0.25">
      <c r="B90" t="s">
        <v>149</v>
      </c>
      <c r="C90">
        <f>[1]!SteamSH(C87,C89,"T","P","H","V")</f>
        <v>3073.9701875000001</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4:Y73"/>
  <sheetViews>
    <sheetView workbookViewId="0"/>
  </sheetViews>
  <sheetFormatPr defaultRowHeight="15" x14ac:dyDescent="0.25"/>
  <cols>
    <col min="2" max="2" width="11.85546875" customWidth="1"/>
    <col min="6" max="6" width="13.42578125" bestFit="1" customWidth="1"/>
  </cols>
  <sheetData>
    <row r="4" spans="13:17" x14ac:dyDescent="0.25">
      <c r="N4" s="1"/>
      <c r="O4" s="1"/>
      <c r="P4" s="1"/>
      <c r="Q4" s="1"/>
    </row>
    <row r="5" spans="13:17" x14ac:dyDescent="0.25">
      <c r="N5" s="1"/>
      <c r="O5" s="1"/>
      <c r="P5" s="1"/>
      <c r="Q5" s="1"/>
    </row>
    <row r="6" spans="13:17" x14ac:dyDescent="0.25">
      <c r="N6" s="1"/>
      <c r="O6" s="1"/>
      <c r="P6" s="1"/>
      <c r="Q6" s="1"/>
    </row>
    <row r="7" spans="13:17" x14ac:dyDescent="0.25">
      <c r="N7" s="1"/>
      <c r="O7" s="1"/>
      <c r="P7" s="1"/>
      <c r="Q7" s="1"/>
    </row>
    <row r="8" spans="13:17" x14ac:dyDescent="0.25">
      <c r="N8" s="1"/>
      <c r="O8" s="1"/>
      <c r="P8" s="1"/>
      <c r="Q8" s="1"/>
    </row>
    <row r="9" spans="13:17" x14ac:dyDescent="0.25">
      <c r="N9" s="1"/>
      <c r="O9" s="1"/>
      <c r="P9" s="1"/>
      <c r="Q9" s="1"/>
    </row>
    <row r="10" spans="13:17" x14ac:dyDescent="0.25">
      <c r="N10" s="1"/>
      <c r="O10" s="1"/>
      <c r="P10" s="1"/>
      <c r="Q10" s="1"/>
    </row>
    <row r="11" spans="13:17" x14ac:dyDescent="0.25">
      <c r="N11" s="31"/>
      <c r="O11" s="1"/>
      <c r="P11" s="1"/>
      <c r="Q11" s="1"/>
    </row>
    <row r="14" spans="13:17" x14ac:dyDescent="0.25">
      <c r="M14" s="50"/>
      <c r="N14" s="52"/>
      <c r="O14" s="52"/>
      <c r="P14" s="52"/>
      <c r="Q14" s="52"/>
    </row>
    <row r="15" spans="13:17" x14ac:dyDescent="0.25">
      <c r="M15" s="52"/>
      <c r="N15" s="52"/>
      <c r="O15" s="52"/>
      <c r="P15" s="52"/>
      <c r="Q15" s="52"/>
    </row>
    <row r="16" spans="13:17" x14ac:dyDescent="0.25">
      <c r="M16" s="52"/>
      <c r="N16" s="52"/>
      <c r="O16" s="52"/>
      <c r="P16" s="52"/>
      <c r="Q16" s="52"/>
    </row>
    <row r="17" spans="3:17" x14ac:dyDescent="0.25">
      <c r="M17" s="52"/>
      <c r="N17" s="52"/>
      <c r="O17" s="52"/>
      <c r="P17" s="52"/>
      <c r="Q17" s="52"/>
    </row>
    <row r="18" spans="3:17" x14ac:dyDescent="0.25">
      <c r="M18" s="52"/>
      <c r="N18" s="52"/>
      <c r="O18" s="52"/>
      <c r="P18" s="52"/>
      <c r="Q18" s="52"/>
    </row>
    <row r="19" spans="3:17" x14ac:dyDescent="0.25">
      <c r="M19" s="52"/>
      <c r="N19" s="52"/>
      <c r="O19" s="52"/>
      <c r="P19" s="52"/>
      <c r="Q19" s="52"/>
    </row>
    <row r="20" spans="3:17" x14ac:dyDescent="0.25">
      <c r="M20" s="50"/>
      <c r="N20" s="52"/>
      <c r="O20" s="52"/>
      <c r="P20" s="52"/>
      <c r="Q20" s="52"/>
    </row>
    <row r="21" spans="3:17" x14ac:dyDescent="0.25">
      <c r="M21" s="52"/>
      <c r="N21" s="52"/>
      <c r="O21" s="52"/>
      <c r="P21" s="52"/>
      <c r="Q21" s="52"/>
    </row>
    <row r="22" spans="3:17" x14ac:dyDescent="0.25">
      <c r="M22" s="52"/>
      <c r="N22" s="52"/>
      <c r="O22" s="52"/>
      <c r="P22" s="52"/>
      <c r="Q22" s="52"/>
    </row>
    <row r="23" spans="3:17" x14ac:dyDescent="0.25">
      <c r="M23" s="52"/>
      <c r="N23" s="51"/>
      <c r="O23" s="79"/>
      <c r="P23" s="52"/>
      <c r="Q23" s="52"/>
    </row>
    <row r="24" spans="3:17" x14ac:dyDescent="0.25">
      <c r="M24" s="52"/>
      <c r="N24" s="52"/>
      <c r="O24" s="52"/>
      <c r="P24" s="52"/>
      <c r="Q24" s="52"/>
    </row>
    <row r="25" spans="3:17" x14ac:dyDescent="0.25">
      <c r="M25" s="52"/>
      <c r="N25" s="80"/>
      <c r="O25" s="52"/>
      <c r="P25" s="52"/>
      <c r="Q25" s="52"/>
    </row>
    <row r="26" spans="3:17" x14ac:dyDescent="0.25">
      <c r="C26">
        <f>[1]!DeltaHcg("n-butane")</f>
        <v>-2878.5</v>
      </c>
      <c r="M26" s="52"/>
      <c r="N26" s="80"/>
      <c r="O26" s="52"/>
      <c r="P26" s="52"/>
      <c r="Q26" s="52"/>
    </row>
    <row r="27" spans="3:17" x14ac:dyDescent="0.25">
      <c r="M27" s="52"/>
      <c r="N27" s="51"/>
      <c r="O27" s="52"/>
      <c r="P27" s="52"/>
      <c r="Q27" s="52"/>
    </row>
    <row r="28" spans="3:17" x14ac:dyDescent="0.25">
      <c r="M28" s="52"/>
      <c r="N28" s="51"/>
      <c r="O28" s="52"/>
      <c r="P28" s="52"/>
      <c r="Q28" s="52"/>
    </row>
    <row r="29" spans="3:17" x14ac:dyDescent="0.25">
      <c r="M29" s="52"/>
      <c r="N29" s="51"/>
      <c r="O29" s="52"/>
      <c r="P29" s="52"/>
      <c r="Q29" s="52"/>
    </row>
    <row r="30" spans="3:17" x14ac:dyDescent="0.25">
      <c r="M30" s="52"/>
      <c r="N30" s="51"/>
      <c r="O30" s="52"/>
      <c r="P30" s="52"/>
      <c r="Q30" s="52"/>
    </row>
    <row r="31" spans="3:17" x14ac:dyDescent="0.25">
      <c r="M31" s="52"/>
      <c r="N31" s="51"/>
      <c r="O31" s="52"/>
      <c r="P31" s="52"/>
      <c r="Q31" s="52"/>
    </row>
    <row r="32" spans="3:17" x14ac:dyDescent="0.25">
      <c r="M32" s="52"/>
      <c r="N32" s="51"/>
      <c r="O32" s="52"/>
      <c r="P32" s="52"/>
      <c r="Q32" s="52"/>
    </row>
    <row r="33" spans="1:17" x14ac:dyDescent="0.25">
      <c r="M33" s="52"/>
      <c r="N33" s="51"/>
      <c r="O33" s="52"/>
      <c r="P33" s="52"/>
      <c r="Q33" s="52"/>
    </row>
    <row r="34" spans="1:17" x14ac:dyDescent="0.25">
      <c r="M34" s="52"/>
      <c r="N34" s="51"/>
      <c r="O34" s="52"/>
      <c r="P34" s="52"/>
      <c r="Q34" s="52"/>
    </row>
    <row r="35" spans="1:17" x14ac:dyDescent="0.25">
      <c r="M35" s="52"/>
      <c r="N35" s="52"/>
      <c r="O35" s="52"/>
      <c r="P35" s="52"/>
      <c r="Q35" s="52"/>
    </row>
    <row r="36" spans="1:17" x14ac:dyDescent="0.25">
      <c r="A36" t="s">
        <v>166</v>
      </c>
      <c r="M36" s="50"/>
      <c r="N36" s="52"/>
      <c r="O36" s="52"/>
      <c r="P36" s="52"/>
      <c r="Q36" s="52"/>
    </row>
    <row r="37" spans="1:17" x14ac:dyDescent="0.25">
      <c r="B37" t="s">
        <v>153</v>
      </c>
      <c r="C37" t="s">
        <v>154</v>
      </c>
      <c r="M37" s="52"/>
      <c r="N37" s="51"/>
      <c r="O37" s="79"/>
      <c r="P37" s="52"/>
      <c r="Q37" s="52"/>
    </row>
    <row r="38" spans="1:17" x14ac:dyDescent="0.25">
      <c r="B38" t="s">
        <v>151</v>
      </c>
      <c r="C38">
        <v>20</v>
      </c>
      <c r="M38" s="52"/>
      <c r="N38" s="51"/>
      <c r="O38" s="52"/>
      <c r="P38" s="52"/>
      <c r="Q38" s="52"/>
    </row>
    <row r="39" spans="1:17" x14ac:dyDescent="0.25">
      <c r="A39" s="33"/>
      <c r="B39" t="s">
        <v>152</v>
      </c>
      <c r="C39">
        <v>100</v>
      </c>
      <c r="M39" s="52"/>
      <c r="N39" s="80"/>
      <c r="O39" s="52"/>
      <c r="P39" s="52"/>
      <c r="Q39" s="52"/>
    </row>
    <row r="40" spans="1:17" x14ac:dyDescent="0.25">
      <c r="B40" t="s">
        <v>32</v>
      </c>
      <c r="C40">
        <v>100</v>
      </c>
      <c r="D40" t="s">
        <v>41</v>
      </c>
      <c r="M40" s="52"/>
      <c r="N40" s="80"/>
      <c r="O40" s="52"/>
      <c r="P40" s="52"/>
      <c r="Q40" s="52"/>
    </row>
    <row r="41" spans="1:17" x14ac:dyDescent="0.25">
      <c r="B41" t="s">
        <v>155</v>
      </c>
      <c r="C41">
        <f>[1]!Enthalpy(C37,C38,C39)</f>
        <v>2.3323759451733332</v>
      </c>
      <c r="D41" t="s">
        <v>19</v>
      </c>
      <c r="M41" s="52"/>
      <c r="N41" s="52"/>
      <c r="O41" s="52"/>
      <c r="P41" s="52"/>
      <c r="Q41" s="52"/>
    </row>
    <row r="42" spans="1:17" x14ac:dyDescent="0.25">
      <c r="B42" t="s">
        <v>54</v>
      </c>
      <c r="C42" s="10">
        <f>C41*C40</f>
        <v>233.23759451733332</v>
      </c>
      <c r="D42" t="s">
        <v>156</v>
      </c>
      <c r="M42" s="52"/>
      <c r="N42" s="80"/>
      <c r="O42" s="52"/>
      <c r="P42" s="52"/>
      <c r="Q42" s="52"/>
    </row>
    <row r="46" spans="1:17" ht="15.75" thickBot="1" x14ac:dyDescent="0.3"/>
    <row r="47" spans="1:17" ht="15.75" thickBot="1" x14ac:dyDescent="0.3">
      <c r="A47" s="6" t="s">
        <v>165</v>
      </c>
      <c r="F47" t="s">
        <v>164</v>
      </c>
    </row>
    <row r="49" spans="1:25" x14ac:dyDescent="0.25">
      <c r="B49" s="7" t="s">
        <v>23</v>
      </c>
      <c r="C49" s="8">
        <v>150</v>
      </c>
      <c r="F49" t="s">
        <v>157</v>
      </c>
      <c r="G49" t="s">
        <v>158</v>
      </c>
    </row>
    <row r="50" spans="1:25" ht="18" x14ac:dyDescent="0.35">
      <c r="B50" s="7" t="s">
        <v>24</v>
      </c>
      <c r="C50" s="9">
        <v>0.6</v>
      </c>
      <c r="F50" t="s">
        <v>160</v>
      </c>
      <c r="G50">
        <f>[1]!tb(G49)</f>
        <v>64.7</v>
      </c>
      <c r="H50" t="s">
        <v>4</v>
      </c>
    </row>
    <row r="51" spans="1:25" ht="18" x14ac:dyDescent="0.35">
      <c r="B51" s="7" t="s">
        <v>25</v>
      </c>
      <c r="C51" s="9">
        <v>0.4</v>
      </c>
      <c r="G51">
        <f>G50+273.15</f>
        <v>337.84999999999997</v>
      </c>
      <c r="H51" t="s">
        <v>20</v>
      </c>
    </row>
    <row r="52" spans="1:25" x14ac:dyDescent="0.25">
      <c r="B52" s="7" t="s">
        <v>26</v>
      </c>
      <c r="C52" s="8">
        <v>0</v>
      </c>
      <c r="F52" t="s">
        <v>159</v>
      </c>
      <c r="G52">
        <f>[1]!Tcrit(G49)</f>
        <v>513.20000000000005</v>
      </c>
      <c r="H52" t="s">
        <v>20</v>
      </c>
    </row>
    <row r="53" spans="1:25" x14ac:dyDescent="0.25">
      <c r="B53" s="7" t="s">
        <v>27</v>
      </c>
      <c r="C53" s="8">
        <v>400</v>
      </c>
    </row>
    <row r="54" spans="1:25" x14ac:dyDescent="0.25">
      <c r="B54" s="2"/>
      <c r="F54" t="s">
        <v>161</v>
      </c>
      <c r="R54" s="1"/>
      <c r="S54" s="1"/>
      <c r="T54" s="1"/>
      <c r="U54" s="1"/>
      <c r="V54" s="1"/>
      <c r="W54" s="1"/>
      <c r="X54" s="1"/>
      <c r="Y54" s="1"/>
    </row>
    <row r="55" spans="1:25" ht="18" x14ac:dyDescent="0.35">
      <c r="B55" s="81" t="s">
        <v>28</v>
      </c>
      <c r="C55" s="87">
        <f>[1]!Enthalpy("ethane",C52,C53,"c","g")</f>
        <v>29.689845333333334</v>
      </c>
      <c r="F55" s="82" t="s">
        <v>162</v>
      </c>
      <c r="G55">
        <f>0.109*G51</f>
        <v>36.825649999999996</v>
      </c>
      <c r="H55" t="s">
        <v>128</v>
      </c>
      <c r="R55" s="1"/>
      <c r="S55" s="1"/>
      <c r="T55" s="1"/>
      <c r="U55" s="1"/>
      <c r="V55" s="1"/>
      <c r="W55" s="1"/>
      <c r="X55" s="1"/>
      <c r="Y55" s="1"/>
    </row>
    <row r="56" spans="1:25" ht="18" x14ac:dyDescent="0.35">
      <c r="B56" s="82" t="s">
        <v>29</v>
      </c>
      <c r="C56" s="87">
        <f>[1]!Enthalpy("propane",C52,C53,"C","g")</f>
        <v>42.690944000000002</v>
      </c>
      <c r="F56" t="s">
        <v>163</v>
      </c>
      <c r="R56" s="1"/>
      <c r="S56" s="1"/>
      <c r="T56" s="1"/>
      <c r="U56" s="1"/>
      <c r="V56" s="1"/>
      <c r="W56" s="1"/>
      <c r="X56" s="1"/>
      <c r="Y56" s="1"/>
    </row>
    <row r="57" spans="1:25" ht="18" x14ac:dyDescent="0.35">
      <c r="B57" s="47"/>
      <c r="C57" s="83"/>
      <c r="F57" s="82" t="s">
        <v>162</v>
      </c>
      <c r="G57" s="52">
        <f>[1]!Hv(G49)</f>
        <v>35.270000000000003</v>
      </c>
      <c r="H57" t="s">
        <v>128</v>
      </c>
      <c r="R57" s="1"/>
      <c r="S57" s="1"/>
      <c r="T57" s="1"/>
      <c r="U57" s="1"/>
      <c r="V57" s="1"/>
      <c r="W57" s="1"/>
      <c r="X57" s="1"/>
      <c r="Y57" s="1"/>
    </row>
    <row r="58" spans="1:25" ht="18" x14ac:dyDescent="0.35">
      <c r="B58" s="81" t="s">
        <v>30</v>
      </c>
      <c r="C58" s="84">
        <f>C50*C55+C51*C56</f>
        <v>34.890284800000003</v>
      </c>
      <c r="D58" s="52"/>
      <c r="E58" s="52"/>
      <c r="F58" s="52"/>
      <c r="G58" s="52"/>
      <c r="R58" s="1"/>
      <c r="S58" s="1"/>
      <c r="T58" s="1"/>
      <c r="U58" s="1"/>
      <c r="V58" s="1"/>
      <c r="W58" s="1"/>
      <c r="X58" s="1"/>
      <c r="Y58" s="1"/>
    </row>
    <row r="59" spans="1:25" ht="15.75" thickBot="1" x14ac:dyDescent="0.3">
      <c r="B59" s="47"/>
      <c r="C59" s="83"/>
      <c r="G59" s="52"/>
      <c r="R59" s="1"/>
      <c r="S59" s="1"/>
      <c r="T59" s="1"/>
      <c r="U59" s="1"/>
      <c r="V59" s="1"/>
      <c r="W59" s="1"/>
      <c r="X59" s="1"/>
      <c r="Y59" s="1"/>
    </row>
    <row r="60" spans="1:25" ht="15.75" thickBot="1" x14ac:dyDescent="0.3">
      <c r="B60" s="85" t="s">
        <v>31</v>
      </c>
      <c r="C60" s="86">
        <f>C58*C49</f>
        <v>5233.5427200000004</v>
      </c>
      <c r="F60" s="52"/>
      <c r="G60" s="52"/>
      <c r="R60" s="1"/>
      <c r="S60" s="1"/>
      <c r="T60" s="1"/>
      <c r="U60" s="1"/>
      <c r="V60" s="1"/>
      <c r="W60" s="1"/>
      <c r="X60" s="1"/>
      <c r="Y60" s="1"/>
    </row>
    <row r="61" spans="1:25" x14ac:dyDescent="0.25">
      <c r="A61" s="52"/>
      <c r="B61" s="27"/>
      <c r="C61" s="27"/>
      <c r="F61" s="52"/>
      <c r="G61" s="52"/>
      <c r="R61" s="1"/>
      <c r="S61" s="1"/>
      <c r="T61" s="1"/>
      <c r="U61" s="1"/>
      <c r="V61" s="1"/>
      <c r="W61" s="1"/>
      <c r="X61" s="1"/>
      <c r="Y61" s="1"/>
    </row>
    <row r="62" spans="1:25" x14ac:dyDescent="0.25">
      <c r="A62" s="52"/>
      <c r="F62" s="52"/>
      <c r="G62" s="52"/>
    </row>
    <row r="63" spans="1:25" x14ac:dyDescent="0.25">
      <c r="A63" s="52"/>
      <c r="F63" s="52"/>
      <c r="G63" s="52"/>
    </row>
    <row r="64" spans="1:25" x14ac:dyDescent="0.25">
      <c r="A64" s="52" t="s">
        <v>167</v>
      </c>
      <c r="F64" s="52"/>
      <c r="G64" s="52"/>
    </row>
    <row r="65" spans="1:25" x14ac:dyDescent="0.25">
      <c r="A65" s="52"/>
      <c r="B65" t="s">
        <v>190</v>
      </c>
      <c r="F65" s="52"/>
      <c r="G65" s="52"/>
    </row>
    <row r="66" spans="1:25" x14ac:dyDescent="0.25">
      <c r="A66" s="52"/>
      <c r="B66" t="s">
        <v>168</v>
      </c>
      <c r="C66">
        <f>[1]!Enthalpy("HCl",25,100)</f>
        <v>2.1815438452148439</v>
      </c>
      <c r="D66" t="s">
        <v>128</v>
      </c>
      <c r="F66" s="52"/>
      <c r="G66" s="52"/>
      <c r="R66" s="1"/>
      <c r="S66" s="1"/>
      <c r="T66" s="1"/>
      <c r="U66" s="1"/>
      <c r="V66" s="1"/>
      <c r="W66" s="1"/>
      <c r="X66" s="1"/>
      <c r="Y66" s="1"/>
    </row>
    <row r="67" spans="1:25" x14ac:dyDescent="0.25">
      <c r="A67" s="52"/>
      <c r="F67" s="52"/>
      <c r="G67" s="52"/>
      <c r="R67" s="1"/>
      <c r="S67" s="1"/>
      <c r="T67" s="1"/>
      <c r="U67" s="1"/>
      <c r="V67" s="1"/>
      <c r="W67" s="1"/>
      <c r="X67" s="1"/>
      <c r="Y67" s="1"/>
    </row>
    <row r="68" spans="1:25" x14ac:dyDescent="0.25">
      <c r="A68" s="52"/>
      <c r="B68" t="s">
        <v>169</v>
      </c>
      <c r="F68" s="52"/>
      <c r="G68" s="52"/>
      <c r="R68" s="1"/>
      <c r="S68" s="1"/>
      <c r="T68" s="1"/>
      <c r="U68" s="1"/>
      <c r="V68" s="1"/>
      <c r="W68" s="1"/>
      <c r="X68" s="1"/>
      <c r="Y68" s="1"/>
    </row>
    <row r="69" spans="1:25" x14ac:dyDescent="0.25">
      <c r="A69" s="52"/>
      <c r="B69" t="s">
        <v>170</v>
      </c>
      <c r="C69">
        <f>44400/5480</f>
        <v>8.102189781021897</v>
      </c>
      <c r="F69" s="52"/>
      <c r="G69" s="52"/>
      <c r="R69" s="1"/>
      <c r="S69" s="1"/>
      <c r="T69" s="1"/>
      <c r="U69" s="1"/>
      <c r="V69" s="1"/>
      <c r="W69" s="1"/>
      <c r="X69" s="1"/>
      <c r="Y69" s="1"/>
    </row>
    <row r="70" spans="1:25" x14ac:dyDescent="0.25">
      <c r="A70" s="52"/>
      <c r="B70" t="s">
        <v>171</v>
      </c>
      <c r="C70">
        <f>[1]!HsHCl(C69)</f>
        <v>-67.425182481751818</v>
      </c>
      <c r="F70" s="52"/>
      <c r="G70" s="52"/>
      <c r="R70" s="1"/>
      <c r="S70" s="1"/>
      <c r="T70" s="1"/>
      <c r="U70" s="1"/>
      <c r="V70" s="1"/>
      <c r="W70" s="1"/>
      <c r="X70" s="1"/>
      <c r="Y70" s="1"/>
    </row>
    <row r="71" spans="1:25" x14ac:dyDescent="0.25">
      <c r="A71" s="52"/>
      <c r="F71" s="52"/>
      <c r="G71" s="52"/>
      <c r="R71" s="1"/>
      <c r="S71" s="1"/>
      <c r="T71" s="1"/>
      <c r="U71" s="1"/>
      <c r="V71" s="1"/>
      <c r="W71" s="1"/>
      <c r="X71" s="1"/>
      <c r="Y71" s="1"/>
    </row>
    <row r="72" spans="1:25" x14ac:dyDescent="0.25">
      <c r="R72" s="1"/>
      <c r="S72" s="1"/>
      <c r="T72" s="1"/>
      <c r="U72" s="1"/>
      <c r="V72" s="1"/>
      <c r="W72" s="1"/>
      <c r="X72" s="1"/>
      <c r="Y72" s="1"/>
    </row>
    <row r="73" spans="1:25" x14ac:dyDescent="0.25">
      <c r="R73" s="1"/>
      <c r="S73" s="1"/>
      <c r="T73" s="1"/>
      <c r="U73" s="1"/>
      <c r="V73" s="1"/>
      <c r="W73" s="1"/>
      <c r="X73" s="1"/>
      <c r="Y73" s="1"/>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3:V92"/>
  <sheetViews>
    <sheetView workbookViewId="0"/>
  </sheetViews>
  <sheetFormatPr defaultRowHeight="15" x14ac:dyDescent="0.25"/>
  <sheetData>
    <row r="3" spans="10:22" x14ac:dyDescent="0.25">
      <c r="J3" s="14"/>
      <c r="K3" s="11"/>
      <c r="L3" s="11"/>
      <c r="M3" s="11"/>
      <c r="N3" s="11"/>
      <c r="O3" s="11"/>
      <c r="P3" s="11"/>
      <c r="Q3" s="11"/>
      <c r="R3" s="11"/>
      <c r="S3" s="11"/>
      <c r="T3" s="11"/>
      <c r="U3" s="11"/>
      <c r="V3" s="11"/>
    </row>
    <row r="4" spans="10:22" x14ac:dyDescent="0.25">
      <c r="J4" s="11"/>
      <c r="K4" s="11"/>
      <c r="L4" s="11"/>
      <c r="M4" s="11"/>
      <c r="N4" s="11"/>
      <c r="O4" s="11"/>
      <c r="P4" s="11"/>
      <c r="Q4" s="11"/>
      <c r="R4" s="11"/>
      <c r="S4" s="11"/>
      <c r="T4" s="11"/>
      <c r="U4" s="11"/>
      <c r="V4" s="11"/>
    </row>
    <row r="5" spans="10:22" x14ac:dyDescent="0.25">
      <c r="J5" s="11"/>
      <c r="K5" s="11"/>
      <c r="L5" s="11"/>
      <c r="M5" s="11"/>
      <c r="N5" s="11"/>
      <c r="O5" s="11"/>
      <c r="P5" s="11"/>
      <c r="Q5" s="11"/>
      <c r="R5" s="11"/>
      <c r="S5" s="11"/>
      <c r="T5" s="11"/>
      <c r="U5" s="11"/>
      <c r="V5" s="11"/>
    </row>
    <row r="6" spans="10:22" x14ac:dyDescent="0.25">
      <c r="J6" s="11"/>
      <c r="K6" s="11"/>
      <c r="L6" s="11"/>
      <c r="M6" s="11"/>
      <c r="N6" s="11"/>
      <c r="O6" s="11"/>
      <c r="P6" s="11"/>
      <c r="Q6" s="11"/>
      <c r="R6" s="11"/>
      <c r="S6" s="11"/>
      <c r="T6" s="11"/>
      <c r="U6" s="11"/>
      <c r="V6" s="11"/>
    </row>
    <row r="7" spans="10:22" x14ac:dyDescent="0.25">
      <c r="J7" s="11"/>
      <c r="K7" s="11"/>
      <c r="L7" s="11"/>
      <c r="M7" s="11"/>
      <c r="N7" s="11"/>
      <c r="O7" s="11"/>
      <c r="P7" s="11"/>
      <c r="Q7" s="11"/>
      <c r="R7" s="11"/>
      <c r="S7" s="11"/>
      <c r="T7" s="11"/>
      <c r="U7" s="11"/>
      <c r="V7" s="11"/>
    </row>
    <row r="8" spans="10:22" x14ac:dyDescent="0.25">
      <c r="J8" s="11"/>
      <c r="K8" s="11"/>
      <c r="L8" s="11"/>
      <c r="M8" s="11"/>
      <c r="N8" s="11"/>
      <c r="O8" s="11"/>
      <c r="P8" s="11"/>
      <c r="Q8" s="11"/>
      <c r="R8" s="11"/>
      <c r="S8" s="11"/>
      <c r="T8" s="11"/>
      <c r="U8" s="11"/>
      <c r="V8" s="11"/>
    </row>
    <row r="9" spans="10:22" x14ac:dyDescent="0.25">
      <c r="J9" s="11"/>
      <c r="K9" s="11"/>
      <c r="L9" s="11"/>
      <c r="M9" s="11"/>
      <c r="N9" s="11"/>
      <c r="O9" s="11"/>
      <c r="P9" s="11"/>
      <c r="Q9" s="11"/>
      <c r="R9" s="11"/>
      <c r="S9" s="11"/>
      <c r="T9" s="11"/>
      <c r="U9" s="11"/>
      <c r="V9" s="11"/>
    </row>
    <row r="10" spans="10:22" x14ac:dyDescent="0.25">
      <c r="J10" s="11"/>
      <c r="K10" s="11"/>
      <c r="L10" s="11"/>
      <c r="M10" s="11"/>
      <c r="N10" s="11"/>
      <c r="O10" s="11"/>
      <c r="P10" s="11"/>
      <c r="Q10" s="11"/>
      <c r="R10" s="11"/>
      <c r="S10" s="11"/>
      <c r="T10" s="11"/>
      <c r="U10" s="11"/>
      <c r="V10" s="11"/>
    </row>
    <row r="11" spans="10:22" x14ac:dyDescent="0.25">
      <c r="J11" s="11"/>
      <c r="K11" s="11"/>
      <c r="L11" s="11"/>
      <c r="M11" s="11"/>
      <c r="N11" s="11"/>
      <c r="O11" s="11"/>
      <c r="P11" s="11"/>
      <c r="Q11" s="11"/>
      <c r="R11" s="11"/>
      <c r="S11" s="11"/>
      <c r="T11" s="11"/>
      <c r="U11" s="11"/>
      <c r="V11" s="11"/>
    </row>
    <row r="12" spans="10:22" x14ac:dyDescent="0.25">
      <c r="J12" s="11"/>
      <c r="K12" s="11"/>
      <c r="L12" s="11"/>
      <c r="M12" s="11"/>
      <c r="N12" s="11"/>
      <c r="O12" s="11"/>
      <c r="P12" s="11"/>
      <c r="Q12" s="11"/>
      <c r="R12" s="11"/>
      <c r="S12" s="11"/>
      <c r="T12" s="11"/>
      <c r="U12" s="11"/>
      <c r="V12" s="11"/>
    </row>
    <row r="13" spans="10:22" x14ac:dyDescent="0.25">
      <c r="J13" s="11"/>
      <c r="K13" s="11"/>
      <c r="L13" s="11"/>
      <c r="M13" s="11"/>
      <c r="N13" s="11"/>
      <c r="O13" s="11"/>
      <c r="P13" s="11"/>
      <c r="Q13" s="11"/>
      <c r="R13" s="11"/>
      <c r="S13" s="11"/>
      <c r="T13" s="11"/>
      <c r="U13" s="11"/>
      <c r="V13" s="11"/>
    </row>
    <row r="14" spans="10:22" x14ac:dyDescent="0.25">
      <c r="J14" s="11"/>
      <c r="K14" s="11"/>
      <c r="L14" s="11"/>
      <c r="M14" s="11"/>
      <c r="N14" s="11"/>
      <c r="O14" s="11"/>
      <c r="P14" s="11"/>
      <c r="Q14" s="11"/>
      <c r="R14" s="11"/>
      <c r="S14" s="11"/>
      <c r="T14" s="11"/>
      <c r="U14" s="11"/>
      <c r="V14" s="11"/>
    </row>
    <row r="15" spans="10:22" x14ac:dyDescent="0.25">
      <c r="J15" s="11"/>
      <c r="K15" s="11"/>
      <c r="L15" s="11"/>
      <c r="M15" s="11"/>
      <c r="N15" s="11"/>
      <c r="O15" s="11"/>
      <c r="P15" s="11"/>
      <c r="Q15" s="11"/>
      <c r="R15" s="11"/>
      <c r="S15" s="11"/>
      <c r="T15" s="11"/>
      <c r="U15" s="11"/>
      <c r="V15" s="11"/>
    </row>
    <row r="16" spans="10:22" x14ac:dyDescent="0.25">
      <c r="J16" s="11"/>
      <c r="K16" s="11"/>
      <c r="L16" s="11"/>
      <c r="M16" s="11"/>
      <c r="N16" s="11"/>
      <c r="O16" s="11"/>
      <c r="P16" s="11"/>
      <c r="Q16" s="11"/>
      <c r="R16" s="11"/>
      <c r="S16" s="11"/>
      <c r="T16" s="11"/>
      <c r="U16" s="11"/>
      <c r="V16" s="11"/>
    </row>
    <row r="17" spans="1:22" x14ac:dyDescent="0.25">
      <c r="J17" s="11"/>
      <c r="K17" s="11"/>
      <c r="L17" s="11"/>
      <c r="M17" s="11"/>
      <c r="N17" s="11"/>
      <c r="O17" s="11"/>
      <c r="P17" s="11"/>
      <c r="Q17" s="11"/>
      <c r="R17" s="11"/>
      <c r="S17" s="11"/>
      <c r="T17" s="11"/>
      <c r="U17" s="11"/>
      <c r="V17" s="11"/>
    </row>
    <row r="18" spans="1:22" x14ac:dyDescent="0.25">
      <c r="J18" s="11"/>
      <c r="K18" s="11"/>
      <c r="L18" s="11"/>
      <c r="M18" s="11"/>
      <c r="N18" s="11"/>
      <c r="O18" s="11"/>
      <c r="P18" s="11"/>
      <c r="Q18" s="11"/>
      <c r="R18" s="11"/>
      <c r="S18" s="11"/>
      <c r="T18" s="11"/>
      <c r="U18" s="11"/>
      <c r="V18" s="11"/>
    </row>
    <row r="19" spans="1:22" x14ac:dyDescent="0.25">
      <c r="J19" s="11"/>
      <c r="K19" s="11"/>
      <c r="L19" s="11"/>
      <c r="M19" s="11"/>
      <c r="N19" s="11"/>
      <c r="O19" s="11"/>
      <c r="P19" s="11"/>
      <c r="Q19" s="11"/>
      <c r="R19" s="11"/>
      <c r="S19" s="11"/>
      <c r="T19" s="11"/>
      <c r="U19" s="11"/>
      <c r="V19" s="11"/>
    </row>
    <row r="20" spans="1:22" x14ac:dyDescent="0.25">
      <c r="J20" s="11"/>
      <c r="K20" s="11"/>
      <c r="L20" s="11"/>
      <c r="M20" s="11"/>
      <c r="N20" s="11"/>
      <c r="O20" s="11"/>
      <c r="P20" s="11"/>
      <c r="Q20" s="11"/>
      <c r="R20" s="11"/>
      <c r="S20" s="11"/>
      <c r="T20" s="11"/>
      <c r="U20" s="11"/>
      <c r="V20" s="11"/>
    </row>
    <row r="21" spans="1:22" x14ac:dyDescent="0.25">
      <c r="J21" s="11"/>
      <c r="K21" s="11"/>
      <c r="L21" s="11"/>
      <c r="M21" s="11"/>
      <c r="N21" s="11"/>
      <c r="O21" s="11"/>
      <c r="P21" s="11"/>
      <c r="Q21" s="11"/>
      <c r="R21" s="11"/>
      <c r="S21" s="11"/>
      <c r="T21" s="11"/>
      <c r="U21" s="11"/>
      <c r="V21" s="11"/>
    </row>
    <row r="22" spans="1:22" x14ac:dyDescent="0.25">
      <c r="J22" s="11"/>
      <c r="K22" s="11"/>
      <c r="L22" s="11"/>
      <c r="M22" s="11"/>
      <c r="N22" s="11"/>
      <c r="O22" s="11"/>
      <c r="P22" s="11"/>
      <c r="Q22" s="11"/>
      <c r="R22" s="11"/>
      <c r="S22" s="11"/>
      <c r="T22" s="11"/>
      <c r="U22" s="11"/>
      <c r="V22" s="11"/>
    </row>
    <row r="23" spans="1:22" x14ac:dyDescent="0.25">
      <c r="J23" s="11"/>
      <c r="K23" s="11"/>
      <c r="L23" s="11"/>
      <c r="M23" s="11"/>
      <c r="N23" s="11"/>
      <c r="O23" s="11"/>
      <c r="P23" s="11"/>
      <c r="Q23" s="11"/>
      <c r="R23" s="11"/>
      <c r="S23" s="11"/>
      <c r="T23" s="11"/>
      <c r="U23" s="11"/>
      <c r="V23" s="11"/>
    </row>
    <row r="24" spans="1:22" x14ac:dyDescent="0.25">
      <c r="A24" t="s">
        <v>184</v>
      </c>
      <c r="J24" s="11"/>
      <c r="K24" s="11"/>
      <c r="L24" s="11"/>
      <c r="M24" s="11"/>
      <c r="N24" s="11"/>
      <c r="O24" s="11"/>
      <c r="P24" s="11"/>
      <c r="Q24" s="11"/>
      <c r="R24" s="11"/>
      <c r="S24" s="11"/>
      <c r="T24" s="11"/>
      <c r="U24" s="11"/>
      <c r="V24" s="11"/>
    </row>
    <row r="25" spans="1:22" x14ac:dyDescent="0.25">
      <c r="A25" t="s">
        <v>173</v>
      </c>
      <c r="J25" s="11"/>
      <c r="K25" s="11"/>
      <c r="L25" s="11"/>
      <c r="M25" s="11"/>
      <c r="N25" s="11"/>
      <c r="O25" s="11"/>
      <c r="P25" s="11"/>
      <c r="Q25" s="11"/>
      <c r="R25" s="11"/>
      <c r="S25" s="11"/>
      <c r="T25" s="11"/>
      <c r="U25" s="11"/>
      <c r="V25" s="11"/>
    </row>
    <row r="26" spans="1:22" x14ac:dyDescent="0.25">
      <c r="B26" s="26" t="s">
        <v>172</v>
      </c>
      <c r="C26">
        <f>[1]!DeltaHcg("n-butane")</f>
        <v>-2878.5</v>
      </c>
      <c r="J26" s="11"/>
      <c r="K26" s="11"/>
      <c r="L26" s="11"/>
      <c r="M26" s="11"/>
      <c r="N26" s="11"/>
      <c r="O26" s="11"/>
      <c r="P26" s="11"/>
      <c r="Q26" s="11"/>
      <c r="R26" s="11"/>
      <c r="S26" s="11"/>
      <c r="T26" s="11"/>
      <c r="U26" s="11"/>
      <c r="V26" s="11"/>
    </row>
    <row r="27" spans="1:22" x14ac:dyDescent="0.25">
      <c r="J27" s="11"/>
      <c r="K27" s="11"/>
      <c r="L27" s="11"/>
      <c r="M27" s="11"/>
      <c r="N27" s="11"/>
      <c r="O27" s="11"/>
      <c r="P27" s="11"/>
      <c r="Q27" s="11"/>
      <c r="R27" s="11"/>
      <c r="S27" s="11"/>
      <c r="T27" s="11"/>
      <c r="U27" s="11"/>
      <c r="V27" s="11"/>
    </row>
    <row r="28" spans="1:22" x14ac:dyDescent="0.25">
      <c r="A28" t="s">
        <v>183</v>
      </c>
      <c r="J28" s="11"/>
      <c r="K28" s="11"/>
      <c r="L28" s="11"/>
      <c r="M28" s="11"/>
      <c r="N28" s="11"/>
      <c r="O28" s="11"/>
      <c r="P28" s="11"/>
      <c r="Q28" s="11"/>
      <c r="R28" s="11"/>
      <c r="S28" s="11"/>
      <c r="T28" s="11"/>
      <c r="U28" s="11"/>
      <c r="V28" s="11"/>
    </row>
    <row r="29" spans="1:22" x14ac:dyDescent="0.25">
      <c r="B29" t="s">
        <v>174</v>
      </c>
      <c r="J29" s="14"/>
      <c r="K29" s="11"/>
      <c r="L29" s="11"/>
      <c r="M29" s="11"/>
      <c r="N29" s="11"/>
      <c r="O29" s="11"/>
      <c r="P29" s="11"/>
      <c r="Q29" s="11"/>
      <c r="R29" s="11"/>
      <c r="S29" s="11"/>
      <c r="T29" s="11"/>
      <c r="U29" s="11"/>
      <c r="V29" s="11"/>
    </row>
    <row r="30" spans="1:22" x14ac:dyDescent="0.25">
      <c r="B30" t="s">
        <v>175</v>
      </c>
      <c r="J30" s="11"/>
      <c r="K30" s="11"/>
      <c r="L30" s="11"/>
      <c r="M30" s="11"/>
      <c r="N30" s="11"/>
      <c r="O30" s="11"/>
      <c r="P30" s="11"/>
      <c r="Q30" s="11"/>
      <c r="R30" s="11"/>
      <c r="S30" s="11"/>
      <c r="T30" s="11"/>
      <c r="U30" s="11"/>
      <c r="V30" s="11"/>
    </row>
    <row r="31" spans="1:22" ht="18.75" x14ac:dyDescent="0.35">
      <c r="E31" s="88" t="s">
        <v>181</v>
      </c>
      <c r="J31" s="11"/>
      <c r="K31" s="11"/>
      <c r="L31" s="16"/>
      <c r="M31" s="11"/>
      <c r="N31" s="11"/>
      <c r="O31" s="11"/>
      <c r="P31" s="11"/>
      <c r="Q31" s="11"/>
      <c r="R31" s="11"/>
      <c r="S31" s="11"/>
      <c r="T31" s="11"/>
      <c r="U31" s="11"/>
      <c r="V31" s="11"/>
    </row>
    <row r="32" spans="1:22" ht="15.75" x14ac:dyDescent="0.3">
      <c r="B32" s="26" t="s">
        <v>176</v>
      </c>
      <c r="C32">
        <f>[1]!DeltaHfl("C5H12")</f>
        <v>-173</v>
      </c>
      <c r="D32" t="s">
        <v>19</v>
      </c>
      <c r="E32">
        <v>-1</v>
      </c>
      <c r="J32" s="11"/>
      <c r="K32" s="11"/>
      <c r="L32" s="11"/>
      <c r="M32" s="11"/>
      <c r="N32" s="11"/>
      <c r="O32" s="11"/>
      <c r="P32" s="11"/>
      <c r="Q32" s="11"/>
      <c r="R32" s="11"/>
      <c r="S32" s="11"/>
      <c r="T32" s="11"/>
      <c r="U32" s="11"/>
      <c r="V32" s="11"/>
    </row>
    <row r="33" spans="1:22" ht="15.75" x14ac:dyDescent="0.3">
      <c r="B33" s="26" t="s">
        <v>177</v>
      </c>
      <c r="C33">
        <f>[1]!DeltaHfg("o2")</f>
        <v>0</v>
      </c>
      <c r="D33" t="s">
        <v>19</v>
      </c>
      <c r="E33">
        <v>-8</v>
      </c>
      <c r="J33" s="11"/>
      <c r="K33" s="11"/>
      <c r="L33" s="11"/>
      <c r="M33" s="11"/>
      <c r="N33" s="11"/>
      <c r="O33" s="11"/>
      <c r="P33" s="11"/>
      <c r="Q33" s="11"/>
      <c r="R33" s="11"/>
      <c r="S33" s="11"/>
      <c r="T33" s="11"/>
      <c r="U33" s="11"/>
      <c r="V33" s="11"/>
    </row>
    <row r="34" spans="1:22" ht="15.75" x14ac:dyDescent="0.3">
      <c r="B34" s="26" t="s">
        <v>178</v>
      </c>
      <c r="C34">
        <f>[1]!DeltaHfg("CO2")</f>
        <v>-393.5</v>
      </c>
      <c r="D34" t="s">
        <v>19</v>
      </c>
      <c r="E34">
        <v>5</v>
      </c>
      <c r="J34" s="11"/>
      <c r="K34" s="11"/>
      <c r="L34" s="11"/>
      <c r="M34" s="11"/>
      <c r="N34" s="11"/>
      <c r="O34" s="11"/>
      <c r="P34" s="11"/>
      <c r="Q34" s="11"/>
      <c r="R34" s="11"/>
      <c r="S34" s="11"/>
      <c r="T34" s="11"/>
      <c r="U34" s="11"/>
      <c r="V34" s="11"/>
    </row>
    <row r="35" spans="1:22" ht="15.75" x14ac:dyDescent="0.3">
      <c r="A35" s="49"/>
      <c r="B35" s="26" t="s">
        <v>179</v>
      </c>
      <c r="C35">
        <f>[1]!DeltaHfl("H2O")</f>
        <v>-285.83999999999997</v>
      </c>
      <c r="D35" t="s">
        <v>19</v>
      </c>
      <c r="E35" s="89">
        <v>6</v>
      </c>
      <c r="F35" s="52"/>
      <c r="J35" s="11"/>
      <c r="K35" s="11"/>
      <c r="L35" s="11"/>
      <c r="M35" s="11"/>
      <c r="N35" s="11"/>
      <c r="O35" s="11"/>
      <c r="P35" s="11"/>
      <c r="Q35" s="11"/>
      <c r="R35" s="11"/>
      <c r="S35" s="11"/>
      <c r="T35" s="11"/>
      <c r="U35" s="11"/>
      <c r="V35" s="11"/>
    </row>
    <row r="36" spans="1:22" x14ac:dyDescent="0.25">
      <c r="A36" s="49"/>
      <c r="B36" s="51"/>
      <c r="C36" s="48"/>
      <c r="D36" s="51"/>
      <c r="E36" s="48"/>
      <c r="F36" s="52"/>
      <c r="J36" s="11"/>
      <c r="K36" s="11"/>
      <c r="L36" s="11"/>
      <c r="M36" s="11"/>
      <c r="N36" s="11"/>
      <c r="O36" s="11"/>
      <c r="P36" s="11"/>
      <c r="Q36" s="11"/>
      <c r="R36" s="11"/>
      <c r="S36" s="11"/>
      <c r="T36" s="11"/>
      <c r="U36" s="11"/>
      <c r="V36" s="11"/>
    </row>
    <row r="37" spans="1:22" ht="15.75" x14ac:dyDescent="0.3">
      <c r="A37" s="49"/>
      <c r="B37" s="26" t="s">
        <v>180</v>
      </c>
      <c r="C37" s="89">
        <f>SUMPRODUCT(C32:C35,E32:E35)</f>
        <v>-3509.54</v>
      </c>
      <c r="D37" t="s">
        <v>19</v>
      </c>
      <c r="E37" s="48"/>
      <c r="F37" s="52"/>
      <c r="J37" s="11"/>
      <c r="K37" s="11"/>
      <c r="L37" s="11"/>
      <c r="M37" s="11"/>
      <c r="N37" s="11"/>
      <c r="O37" s="11"/>
      <c r="P37" s="11"/>
      <c r="Q37" s="11"/>
      <c r="R37" s="11"/>
      <c r="S37" s="11"/>
      <c r="T37" s="11"/>
      <c r="U37" s="11"/>
      <c r="V37" s="11"/>
    </row>
    <row r="38" spans="1:22" x14ac:dyDescent="0.25">
      <c r="A38" s="49"/>
      <c r="B38" s="51"/>
      <c r="C38" s="48"/>
      <c r="D38" s="51"/>
      <c r="E38" s="48"/>
      <c r="F38" s="52"/>
      <c r="J38" s="11"/>
      <c r="K38" s="11"/>
      <c r="L38" s="11"/>
      <c r="M38" s="11"/>
      <c r="N38" s="11"/>
      <c r="O38" s="11"/>
      <c r="P38" s="11"/>
      <c r="Q38" s="11"/>
      <c r="R38" s="11"/>
      <c r="S38" s="11"/>
      <c r="T38" s="11"/>
      <c r="U38" s="11"/>
      <c r="V38" s="11"/>
    </row>
    <row r="39" spans="1:22" x14ac:dyDescent="0.25">
      <c r="A39" s="49"/>
      <c r="B39" s="51"/>
      <c r="C39" s="48"/>
      <c r="D39" s="53"/>
      <c r="E39" s="48"/>
      <c r="F39" s="52"/>
      <c r="J39" s="11"/>
      <c r="K39" s="11"/>
      <c r="L39" s="11"/>
      <c r="M39" s="11"/>
      <c r="N39" s="11"/>
      <c r="O39" s="11"/>
      <c r="P39" s="11"/>
      <c r="Q39" s="11"/>
      <c r="R39" s="11"/>
      <c r="S39" s="11"/>
      <c r="T39" s="11"/>
      <c r="U39" s="11"/>
      <c r="V39" s="11"/>
    </row>
    <row r="40" spans="1:22" x14ac:dyDescent="0.25">
      <c r="A40" s="49"/>
      <c r="B40" s="51"/>
      <c r="C40" s="48"/>
      <c r="D40" s="53"/>
      <c r="E40" s="48"/>
      <c r="F40" s="52"/>
      <c r="J40" s="11"/>
      <c r="K40" s="11"/>
      <c r="L40" s="11"/>
      <c r="M40" s="11"/>
      <c r="N40" s="11"/>
      <c r="O40" s="11"/>
      <c r="P40" s="11"/>
      <c r="Q40" s="11"/>
      <c r="R40" s="11"/>
      <c r="S40" s="11"/>
      <c r="T40" s="11"/>
      <c r="U40" s="11"/>
      <c r="V40" s="11"/>
    </row>
    <row r="41" spans="1:22" x14ac:dyDescent="0.25">
      <c r="A41" s="49"/>
      <c r="B41" s="51"/>
      <c r="C41" s="48"/>
      <c r="D41" s="53"/>
      <c r="E41" s="48"/>
      <c r="F41" s="52"/>
      <c r="J41" s="11"/>
      <c r="K41" s="11"/>
      <c r="L41" s="11"/>
      <c r="M41" s="11"/>
      <c r="N41" s="11"/>
      <c r="O41" s="11"/>
      <c r="P41" s="11"/>
      <c r="Q41" s="11"/>
      <c r="R41" s="11"/>
      <c r="S41" s="11"/>
      <c r="T41" s="11"/>
      <c r="U41" s="11"/>
      <c r="V41" s="11"/>
    </row>
    <row r="42" spans="1:22" x14ac:dyDescent="0.25">
      <c r="A42" s="49"/>
      <c r="B42" s="51"/>
      <c r="C42" s="48"/>
      <c r="D42" s="53"/>
      <c r="E42" s="48"/>
      <c r="F42" s="52"/>
      <c r="J42" s="11"/>
      <c r="K42" s="11"/>
      <c r="L42" s="11"/>
      <c r="M42" s="11"/>
      <c r="N42" s="11"/>
      <c r="O42" s="11"/>
      <c r="P42" s="11"/>
      <c r="Q42" s="11"/>
      <c r="R42" s="11"/>
      <c r="S42" s="11"/>
      <c r="T42" s="11"/>
      <c r="U42" s="11"/>
      <c r="V42" s="11"/>
    </row>
    <row r="43" spans="1:22" x14ac:dyDescent="0.25">
      <c r="J43" s="11"/>
      <c r="K43" s="11"/>
      <c r="L43" s="11"/>
      <c r="M43" s="11"/>
      <c r="N43" s="11"/>
      <c r="O43" s="11"/>
      <c r="P43" s="11"/>
      <c r="Q43" s="11"/>
      <c r="R43" s="11"/>
      <c r="S43" s="11"/>
      <c r="T43" s="11"/>
      <c r="U43" s="11"/>
      <c r="V43" s="11"/>
    </row>
    <row r="44" spans="1:22" x14ac:dyDescent="0.25">
      <c r="A44" s="24" t="s">
        <v>182</v>
      </c>
      <c r="B44" s="25"/>
      <c r="C44" s="25"/>
      <c r="D44" s="25"/>
      <c r="E44" s="25"/>
      <c r="J44" s="11"/>
      <c r="K44" s="11"/>
      <c r="L44" s="11"/>
      <c r="M44" s="11"/>
      <c r="N44" s="11"/>
      <c r="O44" s="11"/>
      <c r="P44" s="11"/>
      <c r="Q44" s="11"/>
      <c r="R44" s="11"/>
      <c r="S44" s="11"/>
      <c r="T44" s="11"/>
      <c r="U44" s="11"/>
      <c r="V44" s="11"/>
    </row>
    <row r="45" spans="1:22" x14ac:dyDescent="0.25">
      <c r="A45" s="25" t="s">
        <v>189</v>
      </c>
      <c r="B45" s="25"/>
      <c r="C45" s="25"/>
      <c r="D45" s="25"/>
      <c r="E45" s="25"/>
      <c r="J45" s="11"/>
      <c r="K45" s="11"/>
      <c r="L45" s="11"/>
      <c r="M45" s="11"/>
      <c r="N45" s="11"/>
      <c r="O45" s="11"/>
      <c r="P45" s="11"/>
      <c r="Q45" s="11"/>
      <c r="R45" s="11"/>
      <c r="S45" s="11"/>
      <c r="T45" s="11"/>
      <c r="U45" s="11"/>
      <c r="V45" s="11"/>
    </row>
    <row r="46" spans="1:22" ht="15.75" x14ac:dyDescent="0.3">
      <c r="A46" s="25"/>
      <c r="B46" s="25" t="s">
        <v>44</v>
      </c>
      <c r="C46" s="25"/>
      <c r="D46" s="25"/>
      <c r="E46" s="25"/>
      <c r="J46" s="11"/>
      <c r="K46" s="11"/>
      <c r="L46" s="11"/>
      <c r="M46" s="11"/>
      <c r="N46" s="11"/>
      <c r="O46" s="11"/>
      <c r="P46" s="11"/>
      <c r="Q46" s="11"/>
      <c r="R46" s="11"/>
      <c r="S46" s="11"/>
      <c r="T46" s="11"/>
      <c r="U46" s="11"/>
      <c r="V46" s="11"/>
    </row>
    <row r="47" spans="1:22" x14ac:dyDescent="0.25">
      <c r="A47" s="25"/>
      <c r="B47" s="25"/>
      <c r="C47" s="25"/>
      <c r="D47" s="25"/>
      <c r="E47" s="25"/>
      <c r="J47" s="11"/>
      <c r="K47" s="11"/>
      <c r="L47" s="11"/>
      <c r="M47" s="11"/>
      <c r="N47" s="11"/>
      <c r="O47" s="11"/>
      <c r="P47" s="11"/>
      <c r="Q47" s="11"/>
      <c r="R47" s="11"/>
      <c r="S47" s="11"/>
      <c r="T47" s="11"/>
      <c r="U47" s="11"/>
      <c r="V47" s="11"/>
    </row>
    <row r="48" spans="1:22" ht="18.75" x14ac:dyDescent="0.35">
      <c r="A48" s="24" t="s">
        <v>35</v>
      </c>
      <c r="B48" s="25"/>
      <c r="C48" s="25"/>
      <c r="D48" s="25"/>
      <c r="E48" s="88" t="s">
        <v>181</v>
      </c>
      <c r="J48" s="11"/>
      <c r="K48" s="11"/>
      <c r="L48" s="11"/>
      <c r="M48" s="11"/>
      <c r="N48" s="11"/>
      <c r="O48" s="11"/>
      <c r="P48" s="11"/>
      <c r="Q48" s="11"/>
      <c r="R48" s="11"/>
      <c r="S48" s="11"/>
      <c r="T48" s="11"/>
      <c r="U48" s="11"/>
      <c r="V48" s="11"/>
    </row>
    <row r="49" spans="1:22" ht="15.75" x14ac:dyDescent="0.3">
      <c r="A49" s="26"/>
      <c r="B49" s="26" t="s">
        <v>45</v>
      </c>
      <c r="C49" s="90">
        <f>[1]!DeltaHcg("ethane")</f>
        <v>-1559.9</v>
      </c>
      <c r="D49" s="25" t="s">
        <v>19</v>
      </c>
      <c r="E49">
        <v>-1</v>
      </c>
      <c r="J49" s="11"/>
      <c r="K49" s="11"/>
      <c r="L49" s="11"/>
      <c r="M49" s="11"/>
      <c r="N49" s="11"/>
      <c r="O49" s="11"/>
      <c r="P49" s="11"/>
      <c r="Q49" s="11"/>
      <c r="R49" s="11"/>
      <c r="S49" s="11"/>
      <c r="T49" s="11"/>
      <c r="U49" s="11"/>
      <c r="V49" s="11"/>
    </row>
    <row r="50" spans="1:22" ht="15.75" x14ac:dyDescent="0.3">
      <c r="A50" s="25"/>
      <c r="B50" s="26" t="s">
        <v>46</v>
      </c>
      <c r="C50" s="90">
        <f>[1]!DeltaHcg("ethylene")</f>
        <v>-1410.99</v>
      </c>
      <c r="D50" s="25" t="s">
        <v>19</v>
      </c>
      <c r="E50">
        <v>1</v>
      </c>
      <c r="J50" s="19"/>
      <c r="K50" s="19"/>
      <c r="L50" s="91"/>
      <c r="M50" s="19"/>
      <c r="N50" s="91"/>
      <c r="O50" s="12"/>
      <c r="P50" s="12"/>
      <c r="Q50" s="11"/>
      <c r="R50" s="11"/>
      <c r="S50" s="11"/>
      <c r="T50" s="11"/>
      <c r="U50" s="11"/>
      <c r="V50" s="11"/>
    </row>
    <row r="51" spans="1:22" ht="15.75" x14ac:dyDescent="0.3">
      <c r="A51" s="25"/>
      <c r="B51" s="26" t="s">
        <v>47</v>
      </c>
      <c r="C51" s="90">
        <f>[1]!DeltaHcg("hydrogen")</f>
        <v>-285.83999999999997</v>
      </c>
      <c r="D51" s="25" t="s">
        <v>19</v>
      </c>
      <c r="E51">
        <v>1</v>
      </c>
      <c r="J51" s="19"/>
      <c r="K51" s="19"/>
      <c r="L51" s="91"/>
      <c r="M51" s="19"/>
      <c r="N51" s="19"/>
      <c r="O51" s="12"/>
      <c r="P51" s="12"/>
      <c r="Q51" s="11"/>
      <c r="R51" s="11"/>
      <c r="S51" s="11"/>
      <c r="T51" s="11"/>
      <c r="U51" s="11"/>
      <c r="V51" s="11"/>
    </row>
    <row r="52" spans="1:22" x14ac:dyDescent="0.25">
      <c r="A52" s="25"/>
      <c r="B52" s="25"/>
      <c r="C52" s="25"/>
      <c r="D52" s="25"/>
      <c r="E52" s="25"/>
      <c r="J52" s="19"/>
      <c r="K52" s="19"/>
      <c r="L52" s="19"/>
      <c r="M52" s="19"/>
      <c r="N52" s="19"/>
      <c r="O52" s="12"/>
      <c r="P52" s="12"/>
      <c r="Q52" s="11"/>
      <c r="R52" s="11"/>
      <c r="S52" s="11"/>
      <c r="T52" s="11"/>
      <c r="U52" s="11"/>
      <c r="V52" s="11"/>
    </row>
    <row r="53" spans="1:22" x14ac:dyDescent="0.25">
      <c r="A53" s="26"/>
      <c r="B53" s="26" t="s">
        <v>48</v>
      </c>
      <c r="C53" s="25">
        <f>SUMPRODUCT(C49:C51,E49:E51)</f>
        <v>-136.92999999999989</v>
      </c>
      <c r="D53" s="25" t="s">
        <v>19</v>
      </c>
      <c r="E53" s="25"/>
      <c r="J53" s="19"/>
      <c r="K53" s="19"/>
      <c r="L53" s="19"/>
      <c r="M53" s="19"/>
      <c r="N53" s="19"/>
      <c r="O53" s="12"/>
      <c r="P53" s="12"/>
      <c r="Q53" s="11"/>
      <c r="R53" s="11"/>
      <c r="S53" s="11"/>
      <c r="T53" s="11"/>
      <c r="U53" s="11"/>
      <c r="V53" s="11"/>
    </row>
    <row r="54" spans="1:22" x14ac:dyDescent="0.25">
      <c r="A54" s="25"/>
      <c r="B54" s="25"/>
      <c r="C54" s="25"/>
      <c r="D54" s="25"/>
      <c r="E54" s="25"/>
      <c r="J54" s="19"/>
      <c r="K54" s="19"/>
      <c r="L54" s="95"/>
      <c r="M54" s="95"/>
      <c r="N54" s="95"/>
      <c r="O54" s="12"/>
      <c r="P54" s="12"/>
      <c r="Q54" s="11"/>
      <c r="R54" s="11"/>
      <c r="S54" s="11"/>
      <c r="T54" s="11"/>
      <c r="U54" s="11"/>
      <c r="V54" s="11"/>
    </row>
    <row r="55" spans="1:22" x14ac:dyDescent="0.25">
      <c r="A55" s="25"/>
      <c r="E55" s="25"/>
      <c r="J55" s="19"/>
      <c r="K55" s="19"/>
      <c r="L55" s="95"/>
      <c r="M55" s="95"/>
      <c r="N55" s="95"/>
      <c r="O55" s="12"/>
      <c r="P55" s="12"/>
      <c r="Q55" s="11"/>
      <c r="R55" s="11"/>
      <c r="S55" s="11"/>
      <c r="T55" s="11"/>
      <c r="U55" s="11"/>
      <c r="V55" s="11"/>
    </row>
    <row r="56" spans="1:22" x14ac:dyDescent="0.25">
      <c r="A56" s="25"/>
      <c r="B56" s="25"/>
      <c r="C56" s="25"/>
      <c r="D56" s="25"/>
      <c r="E56" s="25"/>
      <c r="J56" s="19"/>
      <c r="K56" s="19"/>
      <c r="L56" s="95"/>
      <c r="M56" s="95"/>
      <c r="N56" s="95"/>
      <c r="O56" s="12"/>
      <c r="P56" s="12"/>
      <c r="Q56" s="11"/>
      <c r="R56" s="11"/>
      <c r="S56" s="11"/>
      <c r="T56" s="11"/>
      <c r="U56" s="11"/>
      <c r="V56" s="11"/>
    </row>
    <row r="57" spans="1:22" x14ac:dyDescent="0.25">
      <c r="J57" s="12"/>
      <c r="K57" s="12"/>
      <c r="L57" s="96"/>
      <c r="M57" s="96"/>
      <c r="N57" s="96"/>
      <c r="O57" s="12"/>
      <c r="P57" s="12"/>
      <c r="Q57" s="11"/>
      <c r="R57" s="11"/>
      <c r="S57" s="11"/>
      <c r="T57" s="11"/>
      <c r="U57" s="11"/>
      <c r="V57" s="11"/>
    </row>
    <row r="58" spans="1:22" x14ac:dyDescent="0.25">
      <c r="J58" s="12"/>
      <c r="K58" s="12"/>
      <c r="L58" s="96"/>
      <c r="M58" s="96"/>
      <c r="N58" s="96"/>
      <c r="O58" s="12"/>
      <c r="P58" s="12"/>
      <c r="Q58" s="11"/>
      <c r="R58" s="11"/>
      <c r="S58" s="11"/>
      <c r="T58" s="11"/>
      <c r="U58" s="11"/>
      <c r="V58" s="11"/>
    </row>
    <row r="59" spans="1:22" x14ac:dyDescent="0.25">
      <c r="J59" s="12"/>
      <c r="K59" s="20"/>
      <c r="L59" s="96"/>
      <c r="M59" s="96"/>
      <c r="N59" s="96"/>
      <c r="O59" s="12"/>
      <c r="P59" s="12"/>
      <c r="Q59" s="11"/>
      <c r="R59" s="11"/>
      <c r="S59" s="11"/>
      <c r="T59" s="11"/>
      <c r="U59" s="11"/>
      <c r="V59" s="11"/>
    </row>
    <row r="60" spans="1:22" x14ac:dyDescent="0.25">
      <c r="B60" s="26"/>
      <c r="J60" s="12"/>
      <c r="K60" s="12"/>
      <c r="L60" s="97"/>
      <c r="M60" s="65"/>
      <c r="N60" s="96"/>
      <c r="O60" s="12"/>
      <c r="P60" s="12"/>
      <c r="Q60" s="11"/>
      <c r="R60" s="11"/>
      <c r="S60" s="11"/>
      <c r="T60" s="11"/>
      <c r="U60" s="11"/>
      <c r="V60" s="11"/>
    </row>
    <row r="61" spans="1:22" x14ac:dyDescent="0.25">
      <c r="J61" s="12"/>
      <c r="K61" s="12"/>
      <c r="L61" s="21"/>
      <c r="M61" s="65"/>
      <c r="N61" s="96"/>
      <c r="O61" s="12"/>
      <c r="P61" s="12"/>
      <c r="Q61" s="11"/>
      <c r="R61" s="11"/>
      <c r="S61" s="11"/>
      <c r="T61" s="11"/>
      <c r="U61" s="11"/>
      <c r="V61" s="11"/>
    </row>
    <row r="62" spans="1:22" x14ac:dyDescent="0.25">
      <c r="J62" s="12"/>
      <c r="K62" s="12"/>
      <c r="L62" s="21"/>
      <c r="M62" s="65"/>
      <c r="N62" s="96"/>
      <c r="O62" s="12"/>
      <c r="P62" s="12"/>
      <c r="Q62" s="11"/>
      <c r="R62" s="11"/>
      <c r="S62" s="11"/>
      <c r="T62" s="11"/>
      <c r="U62" s="11"/>
      <c r="V62" s="11"/>
    </row>
    <row r="63" spans="1:22" x14ac:dyDescent="0.25">
      <c r="J63" s="12"/>
      <c r="K63" s="12"/>
      <c r="L63" s="21"/>
      <c r="M63" s="65"/>
      <c r="N63" s="96"/>
      <c r="O63" s="12"/>
      <c r="P63" s="12"/>
      <c r="Q63" s="11"/>
      <c r="R63" s="11"/>
      <c r="S63" s="11"/>
      <c r="T63" s="11"/>
      <c r="U63" s="11"/>
      <c r="V63" s="11"/>
    </row>
    <row r="64" spans="1:22" x14ac:dyDescent="0.25">
      <c r="J64" s="12"/>
      <c r="K64" s="12"/>
      <c r="L64" s="21"/>
      <c r="M64" s="65"/>
      <c r="N64" s="96"/>
      <c r="O64" s="12"/>
      <c r="P64" s="12"/>
      <c r="Q64" s="11"/>
      <c r="R64" s="11"/>
      <c r="S64" s="11"/>
      <c r="T64" s="11"/>
      <c r="U64" s="11"/>
      <c r="V64" s="11"/>
    </row>
    <row r="65" spans="10:22" x14ac:dyDescent="0.25">
      <c r="J65" s="12"/>
      <c r="K65" s="12"/>
      <c r="L65" s="21"/>
      <c r="M65" s="65"/>
      <c r="N65" s="96"/>
      <c r="O65" s="12"/>
      <c r="P65" s="12"/>
      <c r="Q65" s="11"/>
      <c r="R65" s="11"/>
      <c r="S65" s="11"/>
      <c r="T65" s="11"/>
      <c r="U65" s="11"/>
      <c r="V65" s="11"/>
    </row>
    <row r="66" spans="10:22" x14ac:dyDescent="0.25">
      <c r="J66" s="12"/>
      <c r="K66" s="12"/>
      <c r="L66" s="21"/>
      <c r="M66" s="65"/>
      <c r="N66" s="96"/>
      <c r="O66" s="12"/>
      <c r="P66" s="12"/>
      <c r="Q66" s="11"/>
      <c r="R66" s="11"/>
      <c r="S66" s="11"/>
      <c r="T66" s="11"/>
      <c r="U66" s="11"/>
      <c r="V66" s="11"/>
    </row>
    <row r="67" spans="10:22" x14ac:dyDescent="0.25">
      <c r="J67" s="12"/>
      <c r="K67" s="12"/>
      <c r="L67" s="21"/>
      <c r="M67" s="65"/>
      <c r="N67" s="96"/>
      <c r="O67" s="12"/>
      <c r="P67" s="12"/>
      <c r="Q67" s="11"/>
      <c r="R67" s="11"/>
      <c r="S67" s="11"/>
      <c r="T67" s="11"/>
      <c r="U67" s="11"/>
      <c r="V67" s="11"/>
    </row>
    <row r="68" spans="10:22" x14ac:dyDescent="0.25">
      <c r="J68" s="12"/>
      <c r="K68" s="12"/>
      <c r="L68" s="21"/>
      <c r="M68" s="65"/>
      <c r="N68" s="96"/>
      <c r="O68" s="12"/>
      <c r="P68" s="12"/>
      <c r="Q68" s="11"/>
      <c r="R68" s="11"/>
      <c r="S68" s="11"/>
      <c r="T68" s="11"/>
      <c r="U68" s="11"/>
      <c r="V68" s="11"/>
    </row>
    <row r="69" spans="10:22" x14ac:dyDescent="0.25">
      <c r="J69" s="12"/>
      <c r="K69" s="12"/>
      <c r="L69" s="96"/>
      <c r="M69" s="96"/>
      <c r="N69" s="96"/>
      <c r="O69" s="12"/>
      <c r="P69" s="12"/>
      <c r="Q69" s="11"/>
      <c r="R69" s="11"/>
      <c r="S69" s="11"/>
      <c r="T69" s="11"/>
      <c r="U69" s="11"/>
      <c r="V69" s="11"/>
    </row>
    <row r="70" spans="10:22" x14ac:dyDescent="0.25">
      <c r="J70" s="12"/>
      <c r="K70" s="12"/>
      <c r="L70" s="96"/>
      <c r="M70" s="96"/>
      <c r="N70" s="96"/>
      <c r="O70" s="12"/>
      <c r="P70" s="12"/>
      <c r="Q70" s="11"/>
      <c r="R70" s="11"/>
      <c r="S70" s="11"/>
      <c r="T70" s="11"/>
      <c r="U70" s="11"/>
      <c r="V70" s="11"/>
    </row>
    <row r="71" spans="10:22" x14ac:dyDescent="0.25">
      <c r="J71" s="12"/>
      <c r="K71" s="12"/>
      <c r="L71" s="21"/>
      <c r="M71" s="96"/>
      <c r="N71" s="96"/>
      <c r="O71" s="12"/>
      <c r="P71" s="12"/>
      <c r="Q71" s="11"/>
      <c r="R71" s="11"/>
      <c r="S71" s="11"/>
      <c r="T71" s="11"/>
      <c r="U71" s="11"/>
      <c r="V71" s="11"/>
    </row>
    <row r="72" spans="10:22" x14ac:dyDescent="0.25">
      <c r="J72" s="12"/>
      <c r="K72" s="12"/>
      <c r="L72" s="21"/>
      <c r="M72" s="96"/>
      <c r="N72" s="96"/>
      <c r="O72" s="12"/>
      <c r="P72" s="12"/>
      <c r="Q72" s="11"/>
      <c r="R72" s="11"/>
      <c r="S72" s="11"/>
      <c r="T72" s="11"/>
      <c r="U72" s="11"/>
      <c r="V72" s="11"/>
    </row>
    <row r="73" spans="10:22" x14ac:dyDescent="0.25">
      <c r="J73" s="12"/>
      <c r="K73" s="12"/>
      <c r="L73" s="12"/>
      <c r="M73" s="12"/>
      <c r="N73" s="12"/>
      <c r="O73" s="12"/>
      <c r="P73" s="12"/>
      <c r="Q73" s="11"/>
      <c r="R73" s="11"/>
      <c r="S73" s="11"/>
      <c r="T73" s="11"/>
      <c r="U73" s="11"/>
      <c r="V73" s="11"/>
    </row>
    <row r="74" spans="10:22" x14ac:dyDescent="0.25">
      <c r="J74" s="12"/>
      <c r="K74" s="12"/>
      <c r="L74" s="12"/>
      <c r="M74" s="12"/>
      <c r="N74" s="12"/>
      <c r="O74" s="12"/>
      <c r="P74" s="12"/>
      <c r="Q74" s="11"/>
      <c r="R74" s="11"/>
      <c r="S74" s="11"/>
      <c r="T74" s="11"/>
      <c r="U74" s="11"/>
      <c r="V74" s="11"/>
    </row>
    <row r="75" spans="10:22" x14ac:dyDescent="0.25">
      <c r="J75" s="12"/>
      <c r="K75" s="12"/>
      <c r="L75" s="12"/>
      <c r="M75" s="12"/>
      <c r="N75" s="12"/>
      <c r="O75" s="12"/>
      <c r="P75" s="12"/>
      <c r="Q75" s="11"/>
      <c r="R75" s="11"/>
      <c r="S75" s="11"/>
      <c r="T75" s="11"/>
      <c r="U75" s="11"/>
      <c r="V75" s="11"/>
    </row>
    <row r="76" spans="10:22" x14ac:dyDescent="0.25">
      <c r="J76" s="23"/>
      <c r="K76" s="12"/>
      <c r="L76" s="12"/>
      <c r="M76" s="12"/>
      <c r="N76" s="12"/>
      <c r="O76" s="12"/>
      <c r="P76" s="12"/>
      <c r="Q76" s="11"/>
      <c r="R76" s="11"/>
      <c r="S76" s="11"/>
      <c r="T76" s="11"/>
      <c r="U76" s="11"/>
      <c r="V76" s="11"/>
    </row>
    <row r="77" spans="10:22" x14ac:dyDescent="0.25">
      <c r="J77" s="12"/>
      <c r="K77" s="12"/>
      <c r="L77" s="12"/>
      <c r="M77" s="12"/>
      <c r="N77" s="12"/>
      <c r="O77" s="12"/>
      <c r="P77" s="12"/>
      <c r="Q77" s="11"/>
      <c r="R77" s="11"/>
      <c r="S77" s="11"/>
      <c r="T77" s="11"/>
      <c r="U77" s="11"/>
      <c r="V77" s="11"/>
    </row>
    <row r="78" spans="10:22" x14ac:dyDescent="0.25">
      <c r="J78" s="12"/>
      <c r="K78" s="12"/>
      <c r="L78" s="12"/>
      <c r="M78" s="12"/>
      <c r="N78" s="12"/>
      <c r="O78" s="12"/>
      <c r="P78" s="12"/>
      <c r="Q78" s="11"/>
      <c r="R78" s="11"/>
      <c r="S78" s="11"/>
      <c r="T78" s="11"/>
      <c r="U78" s="11"/>
      <c r="V78" s="11"/>
    </row>
    <row r="79" spans="10:22" x14ac:dyDescent="0.25">
      <c r="J79" s="12"/>
      <c r="K79" s="12"/>
      <c r="L79" s="12"/>
      <c r="M79" s="12"/>
      <c r="N79" s="12"/>
      <c r="O79" s="12"/>
      <c r="P79" s="12"/>
      <c r="Q79" s="11"/>
      <c r="R79" s="11"/>
      <c r="S79" s="11"/>
      <c r="T79" s="11"/>
      <c r="U79" s="11"/>
      <c r="V79" s="11"/>
    </row>
    <row r="80" spans="10:22" x14ac:dyDescent="0.25">
      <c r="J80" s="12"/>
      <c r="K80" s="12"/>
      <c r="L80" s="12"/>
      <c r="M80" s="12"/>
      <c r="N80" s="12"/>
      <c r="O80" s="12"/>
      <c r="P80" s="12"/>
      <c r="Q80" s="22"/>
      <c r="R80" s="11"/>
      <c r="S80" s="11"/>
      <c r="T80" s="11"/>
      <c r="U80" s="11"/>
      <c r="V80" s="11"/>
    </row>
    <row r="81" spans="10:22" x14ac:dyDescent="0.25">
      <c r="J81" s="12"/>
      <c r="K81" s="12"/>
      <c r="L81" s="12"/>
      <c r="M81" s="12"/>
      <c r="N81" s="12"/>
      <c r="O81" s="12"/>
      <c r="P81" s="12"/>
      <c r="Q81" s="22"/>
      <c r="R81" s="11"/>
      <c r="S81" s="11"/>
      <c r="T81" s="11"/>
      <c r="U81" s="11"/>
      <c r="V81" s="11"/>
    </row>
    <row r="82" spans="10:22" x14ac:dyDescent="0.25">
      <c r="J82" s="12"/>
      <c r="K82" s="12"/>
      <c r="L82" s="12"/>
      <c r="M82" s="12"/>
      <c r="N82" s="12"/>
      <c r="O82" s="12"/>
      <c r="P82" s="12"/>
      <c r="Q82" s="22"/>
      <c r="R82" s="11"/>
      <c r="S82" s="11"/>
      <c r="T82" s="11"/>
      <c r="U82" s="11"/>
      <c r="V82" s="11"/>
    </row>
    <row r="83" spans="10:22" x14ac:dyDescent="0.25">
      <c r="J83" s="12"/>
      <c r="K83" s="12"/>
      <c r="L83" s="12"/>
      <c r="M83" s="12"/>
      <c r="N83" s="12"/>
      <c r="O83" s="12"/>
      <c r="P83" s="12"/>
      <c r="Q83" s="11"/>
      <c r="R83" s="11"/>
      <c r="S83" s="11"/>
      <c r="T83" s="11"/>
      <c r="U83" s="11"/>
      <c r="V83" s="11"/>
    </row>
    <row r="84" spans="10:22" x14ac:dyDescent="0.25">
      <c r="J84" s="12"/>
      <c r="K84" s="12"/>
      <c r="L84" s="12"/>
      <c r="M84" s="17"/>
      <c r="N84" s="18"/>
      <c r="O84" s="12"/>
      <c r="P84" s="12"/>
      <c r="Q84" s="11"/>
      <c r="R84" s="11"/>
      <c r="S84" s="11"/>
      <c r="T84" s="11"/>
      <c r="U84" s="11"/>
      <c r="V84" s="11"/>
    </row>
    <row r="85" spans="10:22" x14ac:dyDescent="0.25">
      <c r="J85" s="12"/>
      <c r="K85" s="12"/>
      <c r="L85" s="12"/>
      <c r="M85" s="17"/>
      <c r="N85" s="18"/>
      <c r="O85" s="12"/>
      <c r="P85" s="12"/>
      <c r="Q85" s="11"/>
      <c r="R85" s="11"/>
      <c r="S85" s="11"/>
      <c r="T85" s="11"/>
      <c r="U85" s="11"/>
      <c r="V85" s="11"/>
    </row>
    <row r="86" spans="10:22" x14ac:dyDescent="0.25">
      <c r="J86" s="12"/>
      <c r="K86" s="12"/>
      <c r="L86" s="12"/>
      <c r="M86" s="17"/>
      <c r="N86" s="92"/>
      <c r="O86" s="12"/>
      <c r="P86" s="12"/>
      <c r="Q86" s="11"/>
      <c r="R86" s="11"/>
      <c r="S86" s="11"/>
      <c r="T86" s="11"/>
      <c r="U86" s="11"/>
      <c r="V86" s="11"/>
    </row>
    <row r="87" spans="10:22" x14ac:dyDescent="0.25">
      <c r="J87" s="12"/>
      <c r="K87" s="12"/>
      <c r="L87" s="12"/>
      <c r="M87" s="17"/>
      <c r="N87" s="92"/>
      <c r="O87" s="12"/>
      <c r="P87" s="12"/>
      <c r="Q87" s="11"/>
      <c r="R87" s="11"/>
      <c r="S87" s="11"/>
      <c r="T87" s="11"/>
      <c r="U87" s="11"/>
      <c r="V87" s="11"/>
    </row>
    <row r="88" spans="10:22" x14ac:dyDescent="0.25">
      <c r="J88" s="12"/>
      <c r="K88" s="12"/>
      <c r="L88" s="12"/>
      <c r="M88" s="17"/>
      <c r="N88" s="18"/>
      <c r="O88" s="12"/>
      <c r="P88" s="12"/>
      <c r="Q88" s="11"/>
      <c r="R88" s="11"/>
      <c r="S88" s="11"/>
      <c r="T88" s="11"/>
      <c r="U88" s="11"/>
      <c r="V88" s="11"/>
    </row>
    <row r="89" spans="10:22" x14ac:dyDescent="0.25">
      <c r="J89" s="13"/>
      <c r="K89" s="12"/>
      <c r="L89" s="12"/>
      <c r="M89" s="12"/>
      <c r="N89" s="12"/>
      <c r="O89" s="12"/>
      <c r="P89" s="12"/>
      <c r="Q89" s="11"/>
      <c r="R89" s="11"/>
      <c r="S89" s="11"/>
      <c r="T89" s="11"/>
      <c r="U89" s="11"/>
      <c r="V89" s="11"/>
    </row>
    <row r="90" spans="10:22" x14ac:dyDescent="0.25">
      <c r="J90" s="12"/>
      <c r="K90" s="17"/>
      <c r="L90" s="12"/>
      <c r="M90" s="12"/>
      <c r="N90" s="12"/>
      <c r="O90" s="12"/>
      <c r="P90" s="12"/>
      <c r="Q90" s="11"/>
      <c r="R90" s="11"/>
      <c r="S90" s="11"/>
      <c r="T90" s="11"/>
      <c r="U90" s="11"/>
      <c r="V90" s="11"/>
    </row>
    <row r="91" spans="10:22" x14ac:dyDescent="0.25">
      <c r="J91" s="12"/>
      <c r="K91" s="93"/>
      <c r="L91" s="94"/>
      <c r="M91" s="13"/>
      <c r="N91" s="12"/>
      <c r="O91" s="12"/>
      <c r="P91" s="12"/>
      <c r="Q91" s="11"/>
      <c r="R91" s="11"/>
      <c r="S91" s="11"/>
      <c r="T91" s="11"/>
      <c r="U91" s="11"/>
      <c r="V91" s="11"/>
    </row>
    <row r="92" spans="10:22" x14ac:dyDescent="0.25">
      <c r="J92" s="30"/>
      <c r="K92" s="30"/>
      <c r="L92" s="30"/>
      <c r="M92" s="30"/>
      <c r="N92" s="30"/>
      <c r="O92" s="30"/>
      <c r="P92" s="30"/>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Chapter2</vt:lpstr>
      <vt:lpstr>Chapter 3</vt:lpstr>
      <vt:lpstr>Chapter 4</vt:lpstr>
      <vt:lpstr>Chapter 5</vt:lpstr>
      <vt:lpstr>Chapter 6</vt:lpstr>
      <vt:lpstr>Chapter 7</vt:lpstr>
      <vt:lpstr>Chapter 8</vt:lpstr>
      <vt:lpstr>Chapter 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 Silverstein</dc:creator>
  <cp:lastModifiedBy>David L. Silverstein</cp:lastModifiedBy>
  <dcterms:created xsi:type="dcterms:W3CDTF">2009-07-27T16:58:49Z</dcterms:created>
  <dcterms:modified xsi:type="dcterms:W3CDTF">2015-09-24T21:18:03Z</dcterms:modified>
</cp:coreProperties>
</file>