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8530ed5e3c44a15/Documents/GitHub/Scottish-Energy-Statistics-Hub/Structure/1 - Whole System/"/>
    </mc:Choice>
  </mc:AlternateContent>
  <xr:revisionPtr revIDLastSave="2" documentId="13_ncr:1_{0D8D4337-32E8-4162-B0C8-E1B4AB140BAA}" xr6:coauthVersionLast="45" xr6:coauthVersionMax="45" xr10:uidLastSave="{56346D7D-4D14-40A3-80F1-1B6E00663037}"/>
  <bookViews>
    <workbookView xWindow="-110" yWindow="-110" windowWidth="38620" windowHeight="21220" xr2:uid="{77BAC818-DF8C-46E9-B076-3CA836B62C5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8" i="1" l="1"/>
  <c r="H28" i="1"/>
  <c r="F28" i="1"/>
  <c r="E28" i="1"/>
  <c r="D28" i="1"/>
  <c r="B28" i="1"/>
  <c r="J27" i="1"/>
  <c r="H27" i="1"/>
  <c r="F27" i="1"/>
  <c r="D27" i="1"/>
  <c r="B27" i="1"/>
  <c r="J26" i="1"/>
  <c r="I26" i="1"/>
  <c r="H26" i="1"/>
  <c r="F26" i="1"/>
  <c r="E26" i="1"/>
  <c r="D26" i="1"/>
  <c r="B26" i="1"/>
  <c r="J25" i="1"/>
  <c r="I25" i="1"/>
  <c r="H25" i="1"/>
  <c r="F25" i="1"/>
  <c r="E25" i="1"/>
  <c r="D25" i="1"/>
  <c r="B25" i="1"/>
  <c r="J24" i="1"/>
  <c r="I24" i="1"/>
  <c r="E24" i="1"/>
  <c r="D24" i="1"/>
  <c r="J23" i="1"/>
  <c r="I23" i="1"/>
  <c r="H23" i="1"/>
  <c r="F23" i="1"/>
  <c r="E23" i="1"/>
  <c r="D23" i="1"/>
  <c r="B23" i="1"/>
  <c r="J22" i="1"/>
  <c r="I22" i="1"/>
  <c r="H22" i="1"/>
  <c r="E22" i="1"/>
  <c r="D22" i="1"/>
  <c r="J21" i="1"/>
  <c r="I21" i="1"/>
  <c r="F21" i="1"/>
  <c r="E21" i="1"/>
  <c r="D21" i="1"/>
  <c r="B21" i="1"/>
  <c r="J20" i="1"/>
  <c r="D20" i="1"/>
  <c r="C20" i="1"/>
  <c r="J19" i="1"/>
  <c r="H19" i="1"/>
  <c r="G19" i="1"/>
  <c r="F19" i="1"/>
  <c r="E19" i="1"/>
  <c r="D19" i="1"/>
  <c r="B19" i="1"/>
  <c r="J18" i="1"/>
  <c r="I18" i="1"/>
  <c r="H18" i="1"/>
  <c r="G18" i="1"/>
  <c r="F18" i="1"/>
  <c r="E18" i="1"/>
  <c r="D18" i="1"/>
  <c r="C18" i="1"/>
  <c r="B18" i="1"/>
  <c r="J17" i="1"/>
  <c r="H17" i="1"/>
  <c r="G17" i="1"/>
  <c r="D17" i="1"/>
  <c r="C17" i="1"/>
  <c r="J16" i="1"/>
  <c r="H16" i="1"/>
  <c r="G16" i="1"/>
  <c r="F16" i="1"/>
  <c r="E16" i="1"/>
  <c r="D16" i="1"/>
  <c r="C16" i="1"/>
  <c r="B16" i="1"/>
  <c r="J15" i="1"/>
  <c r="H15" i="1"/>
  <c r="E15" i="1"/>
  <c r="D15" i="1"/>
  <c r="C15" i="1"/>
  <c r="B15" i="1"/>
  <c r="J14" i="1"/>
  <c r="H14" i="1"/>
  <c r="G14" i="1"/>
  <c r="F14" i="1"/>
  <c r="E14" i="1"/>
  <c r="D14" i="1"/>
  <c r="C14" i="1"/>
  <c r="B14" i="1"/>
  <c r="J13" i="1"/>
  <c r="D13" i="1"/>
  <c r="C13" i="1"/>
  <c r="B13" i="1"/>
  <c r="J12" i="1"/>
  <c r="D12" i="1"/>
  <c r="H11" i="1"/>
  <c r="E11" i="1"/>
  <c r="D11" i="1"/>
  <c r="C11" i="1"/>
  <c r="E10" i="1"/>
  <c r="D10" i="1"/>
  <c r="C10" i="1"/>
  <c r="J9" i="1"/>
  <c r="H9" i="1"/>
  <c r="F9" i="1"/>
  <c r="E9" i="1"/>
  <c r="D9" i="1"/>
  <c r="C9" i="1"/>
  <c r="B9" i="1"/>
  <c r="H8" i="1"/>
  <c r="E8" i="1"/>
  <c r="D8" i="1"/>
  <c r="C8" i="1"/>
  <c r="E7" i="1"/>
  <c r="D7" i="1"/>
  <c r="C7" i="1"/>
  <c r="J6" i="1"/>
  <c r="H6" i="1"/>
  <c r="F6" i="1"/>
  <c r="E6" i="1"/>
  <c r="D6" i="1"/>
  <c r="C6" i="1"/>
  <c r="B6" i="1"/>
  <c r="J5" i="1"/>
  <c r="G5" i="1"/>
  <c r="F5" i="1"/>
  <c r="E5" i="1"/>
  <c r="C5" i="1"/>
  <c r="B5" i="1"/>
</calcChain>
</file>

<file path=xl/sharedStrings.xml><?xml version="1.0" encoding="utf-8"?>
<sst xmlns="http://schemas.openxmlformats.org/spreadsheetml/2006/main" count="120" uniqueCount="36">
  <si>
    <t>Gross calorific values</t>
  </si>
  <si>
    <t>Coal</t>
  </si>
  <si>
    <t>Primary oils</t>
  </si>
  <si>
    <t>Petroleum products</t>
  </si>
  <si>
    <t>Natural gas</t>
  </si>
  <si>
    <t>Bioenergy &amp; wastes</t>
  </si>
  <si>
    <t>Primary electricity</t>
  </si>
  <si>
    <t>Electricity</t>
  </si>
  <si>
    <t>Manufactured fuels &amp; Other (1)</t>
  </si>
  <si>
    <t>Total</t>
  </si>
  <si>
    <t>Supply</t>
  </si>
  <si>
    <t>Indigenous production</t>
  </si>
  <si>
    <t>-</t>
  </si>
  <si>
    <t>Imports (2)</t>
  </si>
  <si>
    <t>Rest of World</t>
  </si>
  <si>
    <t>Rest of UK</t>
  </si>
  <si>
    <t>Exports (2)</t>
  </si>
  <si>
    <t>Marine bunkers</t>
  </si>
  <si>
    <t>Stock change (3)</t>
  </si>
  <si>
    <t>Primary supply</t>
  </si>
  <si>
    <t>Statistical difference (4)</t>
  </si>
  <si>
    <t>Primary demand</t>
  </si>
  <si>
    <t>Transfers (5)</t>
  </si>
  <si>
    <t>Transformation</t>
  </si>
  <si>
    <t xml:space="preserve">  Electricity generation</t>
  </si>
  <si>
    <t xml:space="preserve">  Petroleum refineries</t>
  </si>
  <si>
    <t xml:space="preserve">  Manufactured fuel &amp; other</t>
  </si>
  <si>
    <t>Energy industry use and distribution losses</t>
  </si>
  <si>
    <t>Final Consumption</t>
  </si>
  <si>
    <t>Non-Energy Use</t>
  </si>
  <si>
    <t>Industry</t>
  </si>
  <si>
    <t>Domestic</t>
  </si>
  <si>
    <t>Transport</t>
  </si>
  <si>
    <t>Other</t>
  </si>
  <si>
    <t>Aggregate energy balance (PetaJoules), Scotland, 2018</t>
  </si>
  <si>
    <t>PJ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</si>
</sst>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i/>
      <sz val="10"/>
      <name val="Helvetica"/>
    </font>
    <font>
      <sz val="11"/>
      <name val="Helvetica"/>
    </font>
    <font>
      <b/>
      <sz val="10"/>
      <name val="Helvetica"/>
    </font>
    <font>
      <sz val="10"/>
      <name val="Helvetica"/>
    </font>
    <font>
      <b/>
      <u/>
      <sz val="10"/>
      <name val="Helvetica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1" fillId="0" borderId="0"/>
  </cellStyleXfs>
  <cellXfs count="17">
    <xf numFmtId="0" fontId="0" fillId="0" borderId="0" xfId="0"/>
    <xf numFmtId="0" fontId="3" fillId="0" borderId="0" xfId="0" applyFont="1"/>
    <xf numFmtId="0" fontId="4" fillId="0" borderId="0" xfId="3" applyFont="1"/>
    <xf numFmtId="0" fontId="5" fillId="0" borderId="0" xfId="3" applyFont="1"/>
    <xf numFmtId="1" fontId="6" fillId="0" borderId="0" xfId="3" applyNumberFormat="1" applyFont="1"/>
    <xf numFmtId="1" fontId="6" fillId="0" borderId="0" xfId="2" applyNumberFormat="1" applyFont="1" applyFill="1"/>
    <xf numFmtId="0" fontId="6" fillId="0" borderId="0" xfId="2" applyFont="1" applyFill="1"/>
    <xf numFmtId="0" fontId="6" fillId="0" borderId="0" xfId="3" applyFont="1"/>
    <xf numFmtId="0" fontId="5" fillId="0" borderId="1" xfId="3" applyFont="1" applyBorder="1" applyAlignment="1">
      <alignment horizontal="right"/>
    </xf>
    <xf numFmtId="0" fontId="5" fillId="0" borderId="1" xfId="2" applyFont="1" applyFill="1" applyBorder="1" applyAlignment="1">
      <alignment horizontal="right"/>
    </xf>
    <xf numFmtId="0" fontId="7" fillId="0" borderId="2" xfId="3" applyFont="1" applyBorder="1"/>
    <xf numFmtId="1" fontId="6" fillId="0" borderId="2" xfId="3" applyNumberFormat="1" applyFont="1" applyBorder="1" applyAlignment="1">
      <alignment horizontal="right"/>
    </xf>
    <xf numFmtId="1" fontId="6" fillId="0" borderId="2" xfId="2" applyNumberFormat="1" applyFont="1" applyFill="1" applyBorder="1" applyAlignment="1">
      <alignment horizontal="right"/>
    </xf>
    <xf numFmtId="1" fontId="6" fillId="0" borderId="0" xfId="3" applyNumberFormat="1" applyFont="1" applyAlignment="1">
      <alignment horizontal="right"/>
    </xf>
    <xf numFmtId="164" fontId="6" fillId="0" borderId="0" xfId="1" applyNumberFormat="1" applyFont="1" applyAlignment="1">
      <alignment horizontal="right"/>
    </xf>
    <xf numFmtId="0" fontId="5" fillId="0" borderId="1" xfId="3" applyFont="1" applyBorder="1"/>
    <xf numFmtId="1" fontId="0" fillId="0" borderId="0" xfId="0" applyNumberFormat="1"/>
  </cellXfs>
  <cellStyles count="4">
    <cellStyle name="Good" xfId="2" builtinId="26"/>
    <cellStyle name="Normal" xfId="0" builtinId="0"/>
    <cellStyle name="Normal 13" xfId="3" xr:uid="{F0B2B61E-02F8-46EC-AD9D-61946185FA67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34935-EB74-4926-BE8C-7B40FCC27029}">
  <dimension ref="A1:J28"/>
  <sheetViews>
    <sheetView tabSelected="1" workbookViewId="0">
      <selection activeCell="I3" sqref="I3"/>
    </sheetView>
  </sheetViews>
  <sheetFormatPr defaultRowHeight="14.5" x14ac:dyDescent="0.35"/>
  <cols>
    <col min="1" max="1" width="72.1796875" bestFit="1" customWidth="1"/>
    <col min="2" max="2" width="7.81640625" customWidth="1"/>
    <col min="3" max="3" width="14.26953125" customWidth="1"/>
    <col min="4" max="4" width="21.26953125" customWidth="1"/>
    <col min="5" max="5" width="14.26953125" customWidth="1"/>
    <col min="6" max="6" width="24.81640625" customWidth="1"/>
    <col min="7" max="7" width="20.54296875" customWidth="1"/>
    <col min="8" max="8" width="12.54296875" customWidth="1"/>
    <col min="9" max="9" width="30.54296875" customWidth="1"/>
    <col min="10" max="10" width="8.453125" customWidth="1"/>
  </cols>
  <sheetData>
    <row r="1" spans="1:10" x14ac:dyDescent="0.35">
      <c r="A1" s="1" t="s">
        <v>34</v>
      </c>
      <c r="B1" s="2"/>
      <c r="C1" s="2"/>
      <c r="D1" s="2"/>
      <c r="E1" s="2"/>
      <c r="F1" s="2"/>
      <c r="G1" s="2"/>
      <c r="H1" s="2"/>
      <c r="I1" s="2"/>
      <c r="J1" s="2"/>
    </row>
    <row r="2" spans="1:10" x14ac:dyDescent="0.35">
      <c r="A2" s="3" t="s">
        <v>0</v>
      </c>
      <c r="B2" s="4"/>
      <c r="C2" s="4"/>
      <c r="D2" s="4"/>
      <c r="E2" s="5"/>
      <c r="F2" s="6"/>
      <c r="G2" s="7"/>
      <c r="H2" s="7"/>
      <c r="I2" s="7" t="s">
        <v>35</v>
      </c>
      <c r="J2" s="7"/>
    </row>
    <row r="3" spans="1:10" x14ac:dyDescent="0.35">
      <c r="A3" s="8"/>
      <c r="B3" s="8" t="s">
        <v>1</v>
      </c>
      <c r="C3" s="8" t="s">
        <v>2</v>
      </c>
      <c r="D3" s="8" t="s">
        <v>3</v>
      </c>
      <c r="E3" s="9" t="s">
        <v>4</v>
      </c>
      <c r="F3" s="9" t="s">
        <v>5</v>
      </c>
      <c r="G3" s="8" t="s">
        <v>6</v>
      </c>
      <c r="H3" s="8" t="s">
        <v>7</v>
      </c>
      <c r="I3" s="8" t="s">
        <v>8</v>
      </c>
      <c r="J3" s="8" t="s">
        <v>9</v>
      </c>
    </row>
    <row r="4" spans="1:10" x14ac:dyDescent="0.35">
      <c r="A4" s="10" t="s">
        <v>10</v>
      </c>
      <c r="B4" s="11"/>
      <c r="C4" s="11"/>
      <c r="D4" s="11"/>
      <c r="E4" s="12"/>
      <c r="F4" s="12"/>
      <c r="G4" s="11"/>
      <c r="H4" s="11"/>
      <c r="I4" s="13"/>
      <c r="J4" s="14"/>
    </row>
    <row r="5" spans="1:10" x14ac:dyDescent="0.35">
      <c r="A5" s="3" t="s">
        <v>11</v>
      </c>
      <c r="B5" s="16">
        <f>401.939954141588*(0.000041868*1000)</f>
        <v>16.828422000000003</v>
      </c>
      <c r="C5" s="16">
        <f>52926.1466861825*(0.000041868*1000)</f>
        <v>2215.9119094570892</v>
      </c>
      <c r="D5" s="16" t="s">
        <v>12</v>
      </c>
      <c r="E5" s="16">
        <f>24122.9582781601*(0.000041868*1000)</f>
        <v>1009.9800171900056</v>
      </c>
      <c r="F5" s="16">
        <f>757.203756496353*(0.000041868*1000)</f>
        <v>31.702606876989304</v>
      </c>
      <c r="G5" s="16">
        <f>5034.01366334556*(0.000041868*1000)</f>
        <v>210.76408405695187</v>
      </c>
      <c r="H5" s="16" t="s">
        <v>12</v>
      </c>
      <c r="I5" s="16" t="s">
        <v>12</v>
      </c>
      <c r="J5" s="16">
        <f>83242.2623383261*(0.000041868*1000)</f>
        <v>3485.1870395810361</v>
      </c>
    </row>
    <row r="6" spans="1:10" x14ac:dyDescent="0.35">
      <c r="A6" s="3" t="s">
        <v>13</v>
      </c>
      <c r="B6" s="16">
        <f>0.0000339168099742046*(0.000041868*1000)</f>
        <v>1.4200290000000001E-6</v>
      </c>
      <c r="C6" s="16">
        <f>6090.25251777464*(0.000041868*1000)</f>
        <v>254.9866924141887</v>
      </c>
      <c r="D6" s="16">
        <f>3176.60553662531*(0.000041868*1000)</f>
        <v>132.99812060742838</v>
      </c>
      <c r="E6" s="16">
        <f>14063.1854529021*(0.000041868*1000)</f>
        <v>588.79744854210321</v>
      </c>
      <c r="F6" s="16">
        <f>241.116321414427*(0.000041868*1000)</f>
        <v>10.095058144979248</v>
      </c>
      <c r="G6" s="16" t="s">
        <v>12</v>
      </c>
      <c r="H6" s="16">
        <f>99.63516766982*(0.000041868*1000)</f>
        <v>4.1715252000000227</v>
      </c>
      <c r="I6" s="16" t="s">
        <v>12</v>
      </c>
      <c r="J6" s="16">
        <f>23670.795030303*(0.000041868*1000)</f>
        <v>991.04884632872881</v>
      </c>
    </row>
    <row r="7" spans="1:10" x14ac:dyDescent="0.35">
      <c r="A7" s="7" t="s">
        <v>14</v>
      </c>
      <c r="B7" s="16" t="s">
        <v>12</v>
      </c>
      <c r="C7" s="16">
        <f>6090.25251777464*(0.000041868*1000)</f>
        <v>254.9866924141887</v>
      </c>
      <c r="D7" s="16">
        <f>2446.56854625456*(0.000041868*1000)</f>
        <v>102.4329318945861</v>
      </c>
      <c r="E7" s="16">
        <f>14051.7626827172*(0.000041868*1000)</f>
        <v>588.31920000000321</v>
      </c>
      <c r="F7" s="16" t="s">
        <v>12</v>
      </c>
      <c r="G7" s="16" t="s">
        <v>12</v>
      </c>
      <c r="H7" s="16" t="s">
        <v>12</v>
      </c>
      <c r="I7" s="16" t="s">
        <v>12</v>
      </c>
      <c r="J7" s="16" t="s">
        <v>12</v>
      </c>
    </row>
    <row r="8" spans="1:10" x14ac:dyDescent="0.35">
      <c r="A8" s="7" t="s">
        <v>15</v>
      </c>
      <c r="B8" s="16" t="s">
        <v>12</v>
      </c>
      <c r="C8" s="16">
        <f>0*(0.000041868*1000)</f>
        <v>0</v>
      </c>
      <c r="D8" s="16">
        <f>730.036990370744*(0.000041868*1000)</f>
        <v>30.565188712842293</v>
      </c>
      <c r="E8" s="16">
        <f>11.4227701848668*(0.000041868*1000)</f>
        <v>0.47824854210000267</v>
      </c>
      <c r="F8" s="16" t="s">
        <v>12</v>
      </c>
      <c r="G8" s="16" t="s">
        <v>12</v>
      </c>
      <c r="H8" s="16">
        <f>99.63516766982*(0.000041868*1000)</f>
        <v>4.1715252000000227</v>
      </c>
      <c r="I8" s="16" t="s">
        <v>12</v>
      </c>
      <c r="J8" s="16" t="s">
        <v>12</v>
      </c>
    </row>
    <row r="9" spans="1:10" x14ac:dyDescent="0.35">
      <c r="A9" s="3" t="s">
        <v>16</v>
      </c>
      <c r="B9" s="16">
        <f>-275.654519442748*(0.000041868*1000)</f>
        <v>-11.541103420028973</v>
      </c>
      <c r="C9" s="16">
        <f>-47955.7041368578*(0.000041868*1000)</f>
        <v>-2007.8094208019616</v>
      </c>
      <c r="D9" s="16">
        <f>-5979.49839246601*(0.000041868*1000)</f>
        <v>-250.34963869576674</v>
      </c>
      <c r="E9" s="16">
        <f>-28722.2823773079*(0.000041868*1000)</f>
        <v>-1202.5445185731269</v>
      </c>
      <c r="F9" s="16">
        <f>-16.0215822869883*(0.000041868*1000)</f>
        <v>-0.67079160719162423</v>
      </c>
      <c r="G9" s="16" t="s">
        <v>12</v>
      </c>
      <c r="H9" s="16">
        <f>-1261.88435081686*(0.000041868*1000)</f>
        <v>-52.832574000000285</v>
      </c>
      <c r="I9" s="16" t="s">
        <v>12</v>
      </c>
      <c r="J9" s="16">
        <f>-84211.0453591783*(0.000041868*1000)</f>
        <v>-3525.7480470980768</v>
      </c>
    </row>
    <row r="10" spans="1:10" x14ac:dyDescent="0.35">
      <c r="A10" s="7" t="s">
        <v>14</v>
      </c>
      <c r="B10" s="16" t="s">
        <v>12</v>
      </c>
      <c r="C10" s="16">
        <f>-22787.4040147149*(0.000041868*1000)</f>
        <v>-954.06303128808281</v>
      </c>
      <c r="D10" s="16">
        <f>-5596.71224063025*(0.000041868*1000)</f>
        <v>-234.32314809070712</v>
      </c>
      <c r="E10" s="16">
        <f>-1679.11126526495*(0.000041868*1000)</f>
        <v>-70.301030454113075</v>
      </c>
      <c r="F10" s="16" t="s">
        <v>12</v>
      </c>
      <c r="G10" s="16" t="s">
        <v>12</v>
      </c>
      <c r="H10" s="16" t="s">
        <v>12</v>
      </c>
      <c r="I10" s="16" t="s">
        <v>12</v>
      </c>
      <c r="J10" s="16" t="s">
        <v>12</v>
      </c>
    </row>
    <row r="11" spans="1:10" x14ac:dyDescent="0.35">
      <c r="A11" s="7" t="s">
        <v>15</v>
      </c>
      <c r="B11" s="16" t="s">
        <v>12</v>
      </c>
      <c r="C11" s="16">
        <f>-25168.3001221429*(0.000041868*1000)</f>
        <v>-1053.746389513879</v>
      </c>
      <c r="D11" s="16">
        <f>-382.78615183576*(0.000041868*1000)</f>
        <v>-16.026490605059614</v>
      </c>
      <c r="E11" s="16">
        <f>-27043.1711120429*(0.000041868*1000)</f>
        <v>-1132.2434881190138</v>
      </c>
      <c r="F11" s="16" t="s">
        <v>12</v>
      </c>
      <c r="G11" s="16" t="s">
        <v>12</v>
      </c>
      <c r="H11" s="16">
        <f>-1261.88435081686*(0.000041868*1000)</f>
        <v>-52.832574000000285</v>
      </c>
      <c r="I11" s="16" t="s">
        <v>12</v>
      </c>
      <c r="J11" s="16" t="s">
        <v>12</v>
      </c>
    </row>
    <row r="12" spans="1:10" x14ac:dyDescent="0.35">
      <c r="A12" s="3" t="s">
        <v>17</v>
      </c>
      <c r="B12" s="16" t="s">
        <v>12</v>
      </c>
      <c r="C12" s="16" t="s">
        <v>12</v>
      </c>
      <c r="D12" s="16">
        <f>-1002.59014926765*(0.000041868*1000)</f>
        <v>-41.976444369538058</v>
      </c>
      <c r="E12" s="16" t="s">
        <v>12</v>
      </c>
      <c r="F12" s="16" t="s">
        <v>12</v>
      </c>
      <c r="G12" s="16" t="s">
        <v>12</v>
      </c>
      <c r="H12" s="16" t="s">
        <v>12</v>
      </c>
      <c r="I12" s="16" t="s">
        <v>12</v>
      </c>
      <c r="J12" s="16">
        <f>-1002.59014926765*(0.000041868*1000)</f>
        <v>-41.976444369538058</v>
      </c>
    </row>
    <row r="13" spans="1:10" x14ac:dyDescent="0.35">
      <c r="A13" s="3" t="s">
        <v>18</v>
      </c>
      <c r="B13" s="16">
        <f>0*(0.000041868*1000)</f>
        <v>0</v>
      </c>
      <c r="C13" s="16">
        <f>44.8498820551719*(0.000041868*1000)</f>
        <v>1.8777748618859389</v>
      </c>
      <c r="D13" s="16">
        <f>44.7198792801668*(0.000041868*1000)</f>
        <v>1.872331905702022</v>
      </c>
      <c r="E13" s="16" t="s">
        <v>12</v>
      </c>
      <c r="F13" s="16" t="s">
        <v>12</v>
      </c>
      <c r="G13" s="16" t="s">
        <v>12</v>
      </c>
      <c r="H13" s="16" t="s">
        <v>12</v>
      </c>
      <c r="I13" s="16" t="s">
        <v>12</v>
      </c>
      <c r="J13" s="16">
        <f>89.5697613353387*(0.000041868*1000)</f>
        <v>3.7501067675879609</v>
      </c>
    </row>
    <row r="14" spans="1:10" x14ac:dyDescent="0.35">
      <c r="A14" s="15" t="s">
        <v>19</v>
      </c>
      <c r="B14" s="16">
        <f>126.28546861565*(0.000041868*1000)</f>
        <v>5.2873200000000296</v>
      </c>
      <c r="C14" s="16">
        <f>11105.5449491545*(0.000041868*1000)</f>
        <v>464.96695593120234</v>
      </c>
      <c r="D14" s="16">
        <f>-3760.76312582818*(0.000041868*1000)</f>
        <v>-157.45563055217437</v>
      </c>
      <c r="E14" s="16">
        <f>9463.86135375423*(0.000041868*1000)</f>
        <v>396.23294715898197</v>
      </c>
      <c r="F14" s="16">
        <f>981.732361974075*(0.000041868*1000)</f>
        <v>41.10317053113058</v>
      </c>
      <c r="G14" s="16">
        <f>5034.01366334556*(0.000041868*1000)</f>
        <v>210.76408405695187</v>
      </c>
      <c r="H14" s="16">
        <f>-1162.24918314704*(0.000041868*1000)</f>
        <v>-48.661048800000259</v>
      </c>
      <c r="I14" s="16" t="s">
        <v>12</v>
      </c>
      <c r="J14" s="16">
        <f>21788.4254878688*(0.000041868*1000)</f>
        <v>912.23779832609205</v>
      </c>
    </row>
    <row r="15" spans="1:10" x14ac:dyDescent="0.35">
      <c r="A15" s="3" t="s">
        <v>20</v>
      </c>
      <c r="B15" s="16">
        <f>0*(0.000041868*1000)</f>
        <v>0</v>
      </c>
      <c r="C15" s="16">
        <f>0*(0.000041868*1000)</f>
        <v>0</v>
      </c>
      <c r="D15" s="16">
        <f>-1.12404501495121*(0.000041868*1000)</f>
        <v>-4.7061516685977141E-2</v>
      </c>
      <c r="E15" s="16">
        <f>0*(0.000041868*1000)</f>
        <v>0</v>
      </c>
      <c r="F15" s="16" t="s">
        <v>12</v>
      </c>
      <c r="G15" s="16" t="s">
        <v>12</v>
      </c>
      <c r="H15" s="16">
        <f>0*(0.000041868*1000)</f>
        <v>0</v>
      </c>
      <c r="I15" s="16" t="s">
        <v>12</v>
      </c>
      <c r="J15" s="16">
        <f>-1.12404501495121*(0.000041868*1000)</f>
        <v>-4.7061516685977141E-2</v>
      </c>
    </row>
    <row r="16" spans="1:10" x14ac:dyDescent="0.35">
      <c r="A16" s="15" t="s">
        <v>21</v>
      </c>
      <c r="B16" s="16">
        <f>126.28546861565*(0.000041868*1000)</f>
        <v>5.2873200000000296</v>
      </c>
      <c r="C16" s="16">
        <f>11105.5449491545*(0.000041868*1000)</f>
        <v>464.96695593120216</v>
      </c>
      <c r="D16" s="16">
        <f>-3761.88717084313*(0.000041868*1000)</f>
        <v>-157.50269206886037</v>
      </c>
      <c r="E16" s="16">
        <f>9463.86135375423*(0.000041868*1000)</f>
        <v>396.23294715898209</v>
      </c>
      <c r="F16" s="16">
        <f>981.732361974075*(0.000041868*1000)</f>
        <v>41.10317053113058</v>
      </c>
      <c r="G16" s="16">
        <f>5034.01366334556*(0.000041868*1000)</f>
        <v>210.76408405695187</v>
      </c>
      <c r="H16" s="16">
        <f>-1162.24918314704*(0.000041868*1000)</f>
        <v>-48.661048800000259</v>
      </c>
      <c r="I16" s="16" t="s">
        <v>12</v>
      </c>
      <c r="J16" s="16">
        <f>21787.3014428538*(0.000041868*1000)</f>
        <v>912.19073680940608</v>
      </c>
    </row>
    <row r="17" spans="1:10" x14ac:dyDescent="0.35">
      <c r="A17" s="3" t="s">
        <v>22</v>
      </c>
      <c r="B17" s="16" t="s">
        <v>12</v>
      </c>
      <c r="C17" s="16">
        <f>-1930.48102653312*(0.000041868*1000)</f>
        <v>-80.825379618888533</v>
      </c>
      <c r="D17" s="16">
        <f>1930.48102653312*(0.000041868*1000)</f>
        <v>80.825379618888533</v>
      </c>
      <c r="E17" s="16" t="s">
        <v>12</v>
      </c>
      <c r="F17" s="16" t="s">
        <v>12</v>
      </c>
      <c r="G17" s="16">
        <f>-2092.77240801894*(0.000041868*1000)</f>
        <v>-87.620195178936839</v>
      </c>
      <c r="H17" s="16">
        <f>2092.77240801894*(0.000041868*1000)</f>
        <v>87.620195178936839</v>
      </c>
      <c r="I17" s="16" t="s">
        <v>12</v>
      </c>
      <c r="J17" s="16">
        <f>0*(0.000041868*1000)</f>
        <v>0</v>
      </c>
    </row>
    <row r="18" spans="1:10" x14ac:dyDescent="0.35">
      <c r="A18" s="3" t="s">
        <v>23</v>
      </c>
      <c r="B18" s="16">
        <f>0*(0.000041868*1000)</f>
        <v>0</v>
      </c>
      <c r="C18" s="16">
        <f>-9175.06392262142*(0.000041868*1000)</f>
        <v>-384.14157631231365</v>
      </c>
      <c r="D18" s="16">
        <f>8940.79487014485*(0.000041868*1000)</f>
        <v>374.33319962322463</v>
      </c>
      <c r="E18" s="16">
        <f>-1478.38587724966*(0.000041868*1000)</f>
        <v>-61.897059908688746</v>
      </c>
      <c r="F18" s="16">
        <f>-544.664434201072*(0.000041868*1000)</f>
        <v>-22.80401053113048</v>
      </c>
      <c r="G18" s="16">
        <f>-2941.24125532662*(0.000041868*1000)</f>
        <v>-123.14388887801501</v>
      </c>
      <c r="H18" s="16">
        <f>2054.81102218943*(0.000041868*1000)</f>
        <v>86.030827877027164</v>
      </c>
      <c r="I18" s="16">
        <f>118.851952387792*(0.000041868*1000)</f>
        <v>4.9760935425720652</v>
      </c>
      <c r="J18" s="16">
        <f>-3024.8976446767*(0.000041868*1000)</f>
        <v>-126.64641458732402</v>
      </c>
    </row>
    <row r="19" spans="1:10" x14ac:dyDescent="0.35">
      <c r="A19" s="7" t="s">
        <v>24</v>
      </c>
      <c r="B19" s="16">
        <f>0*(0.000041868*1000)</f>
        <v>0</v>
      </c>
      <c r="C19" s="16" t="s">
        <v>12</v>
      </c>
      <c r="D19" s="16">
        <f>-122.202030541515*(0.000041868*1000)</f>
        <v>-5.1163546147121357</v>
      </c>
      <c r="E19" s="16">
        <f>-1296.42806233053*(0.000041868*1000)</f>
        <v>-54.278850113654592</v>
      </c>
      <c r="F19" s="16">
        <f>-533.195107588528*(0.000041868*1000)</f>
        <v>-22.323812764516493</v>
      </c>
      <c r="G19" s="16">
        <f>-2941.24125532662*(0.000041868*1000)</f>
        <v>-123.14388887801501</v>
      </c>
      <c r="H19" s="16">
        <f>2054.81102218943*(0.000041868*1000)</f>
        <v>86.030827877027164</v>
      </c>
      <c r="I19" s="16" t="s">
        <v>12</v>
      </c>
      <c r="J19" s="16">
        <f>-2838.25543359776*(0.000041868*1000)</f>
        <v>-118.83207849387105</v>
      </c>
    </row>
    <row r="20" spans="1:10" x14ac:dyDescent="0.35">
      <c r="A20" s="7" t="s">
        <v>25</v>
      </c>
      <c r="B20" s="16" t="s">
        <v>12</v>
      </c>
      <c r="C20" s="16">
        <f>-9175.06392262142*(0.000041868*1000)</f>
        <v>-384.14157631231365</v>
      </c>
      <c r="D20" s="16">
        <f>9125.32155299657*(0.000041868*1000)</f>
        <v>382.05896278086038</v>
      </c>
      <c r="E20" s="16" t="s">
        <v>12</v>
      </c>
      <c r="F20" s="16" t="s">
        <v>12</v>
      </c>
      <c r="G20" s="16" t="s">
        <v>12</v>
      </c>
      <c r="H20" s="16" t="s">
        <v>12</v>
      </c>
      <c r="I20" s="16" t="s">
        <v>12</v>
      </c>
      <c r="J20" s="16">
        <f>-49.7423696248516*(0.000041868*1000)</f>
        <v>-2.0826135314532852</v>
      </c>
    </row>
    <row r="21" spans="1:10" x14ac:dyDescent="0.35">
      <c r="A21" s="7" t="s">
        <v>26</v>
      </c>
      <c r="B21" s="16">
        <f>0*(0.000041868*1000)</f>
        <v>0</v>
      </c>
      <c r="C21" s="16" t="s">
        <v>12</v>
      </c>
      <c r="D21" s="16">
        <f>-62.3246523102034*(0.000041868*1000)</f>
        <v>-2.6094085429235947</v>
      </c>
      <c r="E21" s="16">
        <f>-181.957814919131*(0.000041868*1000)</f>
        <v>-7.618209795034157</v>
      </c>
      <c r="F21" s="16">
        <f>-11.4693266125439*(0.000041868*1000)</f>
        <v>-0.48019776661398844</v>
      </c>
      <c r="G21" s="16" t="s">
        <v>12</v>
      </c>
      <c r="H21" s="16" t="s">
        <v>12</v>
      </c>
      <c r="I21" s="16">
        <f>118.851952387792*(0.000041868*1000)</f>
        <v>4.9760935425720652</v>
      </c>
      <c r="J21" s="16">
        <f>-136.899841454086*(0.000041868*1000)</f>
        <v>-5.7317225619996748</v>
      </c>
    </row>
    <row r="22" spans="1:10" x14ac:dyDescent="0.35">
      <c r="A22" s="3" t="s">
        <v>27</v>
      </c>
      <c r="B22" s="16" t="s">
        <v>12</v>
      </c>
      <c r="C22" s="16" t="s">
        <v>12</v>
      </c>
      <c r="D22" s="16">
        <f>581.863154443223*(0.000041868*1000)</f>
        <v>24.361446550228873</v>
      </c>
      <c r="E22" s="16">
        <f>3761.58872711629*(0.000041868*1000)</f>
        <v>157.49019682690465</v>
      </c>
      <c r="F22" s="16" t="s">
        <v>12</v>
      </c>
      <c r="G22" s="16" t="s">
        <v>12</v>
      </c>
      <c r="H22" s="16">
        <f>430.615169703186*(0.000041868*1000)</f>
        <v>18.028995925132978</v>
      </c>
      <c r="I22" s="16">
        <f>30.5544459389521*(0.000041868*1000)</f>
        <v>1.2792535425720448</v>
      </c>
      <c r="J22" s="16">
        <f>4804.62149720165*(0.000041868*1000)</f>
        <v>201.15989284483857</v>
      </c>
    </row>
    <row r="23" spans="1:10" x14ac:dyDescent="0.35">
      <c r="A23" s="15" t="s">
        <v>28</v>
      </c>
      <c r="B23" s="16">
        <f>126.28546861565*(0.000041868*1000)</f>
        <v>5.2873200000000296</v>
      </c>
      <c r="C23" s="16" t="s">
        <v>12</v>
      </c>
      <c r="D23" s="16">
        <f>6527.52557139161*(0.000041868*1000)</f>
        <v>273.29444062302395</v>
      </c>
      <c r="E23" s="16">
        <f>4223.88674938828*(0.000041868*1000)</f>
        <v>176.84569042338867</v>
      </c>
      <c r="F23" s="16">
        <f>437.067927773003*(0.000041868*1000)</f>
        <v>18.2991600000001</v>
      </c>
      <c r="G23" s="16" t="s">
        <v>12</v>
      </c>
      <c r="H23" s="16">
        <f>2554.71907735814*(0.000041868*1000)</f>
        <v>106.96097833083077</v>
      </c>
      <c r="I23" s="16">
        <f>88.2975064488397*(0.000041868*1000)</f>
        <v>3.6968400000000208</v>
      </c>
      <c r="J23" s="16">
        <f>13957.7823009755*(0.000041868*1000)</f>
        <v>584.38442937724358</v>
      </c>
    </row>
    <row r="24" spans="1:10" x14ac:dyDescent="0.35">
      <c r="A24" s="7" t="s">
        <v>29</v>
      </c>
      <c r="B24" s="16" t="s">
        <v>12</v>
      </c>
      <c r="C24" s="16" t="s">
        <v>12</v>
      </c>
      <c r="D24" s="16">
        <f>1125.26475138225*(0.000041868*1000)</f>
        <v>47.112584610872204</v>
      </c>
      <c r="E24" s="16">
        <f>59.2638839714737*(0.000041868*1000)</f>
        <v>2.4812602941176607</v>
      </c>
      <c r="F24" s="16" t="s">
        <v>12</v>
      </c>
      <c r="G24" s="16" t="s">
        <v>12</v>
      </c>
      <c r="H24" s="16" t="s">
        <v>12</v>
      </c>
      <c r="I24" s="16">
        <f>52.6198991187958*(0.000041868*1000)</f>
        <v>2.2030899363057443</v>
      </c>
      <c r="J24" s="16">
        <f>1237.14853447252*(0.000041868*1000)</f>
        <v>51.796934841295609</v>
      </c>
    </row>
    <row r="25" spans="1:10" x14ac:dyDescent="0.35">
      <c r="A25" s="7" t="s">
        <v>30</v>
      </c>
      <c r="B25" s="16">
        <f>80.3719605613309*(0.000041868*1000)</f>
        <v>3.3650132447818013</v>
      </c>
      <c r="C25" s="16" t="s">
        <v>12</v>
      </c>
      <c r="D25" s="16">
        <f>177.568375126032*(0.000041868*1000)</f>
        <v>7.4344327297767014</v>
      </c>
      <c r="E25" s="16">
        <f>935.553928821011*(0.000041868*1000)</f>
        <v>39.169771891878092</v>
      </c>
      <c r="F25" s="16">
        <f>98.1324619029536*(0.000041868*1000)</f>
        <v>4.1086099149528605</v>
      </c>
      <c r="G25" s="16" t="s">
        <v>12</v>
      </c>
      <c r="H25" s="16">
        <f>714.940068088404*(0.000041868*1000)</f>
        <v>29.933110770725282</v>
      </c>
      <c r="I25" s="16">
        <f>9.4953201417376*(0.000041868*1000)</f>
        <v>0.39755006369426965</v>
      </c>
      <c r="J25" s="16">
        <f>2016.06211464147*(0.000041868*1000)</f>
        <v>84.408488615809006</v>
      </c>
    </row>
    <row r="26" spans="1:10" x14ac:dyDescent="0.35">
      <c r="A26" s="7" t="s">
        <v>31</v>
      </c>
      <c r="B26" s="16">
        <f>43.4307824591576*(0.000041868*1000)</f>
        <v>1.8183600000000102</v>
      </c>
      <c r="C26" s="16" t="s">
        <v>12</v>
      </c>
      <c r="D26" s="16">
        <f>263.144470839015*(0.000041868*1000)</f>
        <v>11.017332705087897</v>
      </c>
      <c r="E26" s="16">
        <f>2355.44966903881*(0.000041868*1000)</f>
        <v>98.617966743316899</v>
      </c>
      <c r="F26" s="16">
        <f>160.107301823758*(0.000041868*1000)</f>
        <v>6.7033725127571113</v>
      </c>
      <c r="G26" s="16" t="s">
        <v>12</v>
      </c>
      <c r="H26" s="16">
        <f>1059.13739703968*(0.000041868*1000)</f>
        <v>44.343964539257293</v>
      </c>
      <c r="I26" s="16">
        <f>26.1822871883062*(0.000041868*1000)</f>
        <v>1.0962000000000061</v>
      </c>
      <c r="J26" s="16">
        <f>3907.45190838873*(0.000041868*1000)</f>
        <v>163.59719650041922</v>
      </c>
    </row>
    <row r="27" spans="1:10" x14ac:dyDescent="0.35">
      <c r="A27" s="7" t="s">
        <v>32</v>
      </c>
      <c r="B27" s="16">
        <f>0.361134995700776*(0.000041868*1000)</f>
        <v>1.5120000000000083E-2</v>
      </c>
      <c r="C27" s="16" t="s">
        <v>12</v>
      </c>
      <c r="D27" s="16">
        <f>4449.0157472838*(0.000041868*1000)</f>
        <v>186.27139130727826</v>
      </c>
      <c r="E27" s="16" t="s">
        <v>12</v>
      </c>
      <c r="F27" s="16">
        <f>92.1850399694412*(0.000041868*1000)</f>
        <v>3.8596032534405658</v>
      </c>
      <c r="G27" s="16" t="s">
        <v>12</v>
      </c>
      <c r="H27" s="16">
        <f>38.348248213294*(0.000041868*1000)</f>
        <v>1.6055644561941917</v>
      </c>
      <c r="I27" s="16" t="s">
        <v>12</v>
      </c>
      <c r="J27" s="16">
        <f>4579.91017046224*(0.000041868*1000)</f>
        <v>191.75167901691304</v>
      </c>
    </row>
    <row r="28" spans="1:10" x14ac:dyDescent="0.35">
      <c r="A28" s="7" t="s">
        <v>33</v>
      </c>
      <c r="B28" s="16">
        <f>2.11299214718203*(0.000041868*1000)</f>
        <v>8.8466755218217105E-2</v>
      </c>
      <c r="C28" s="16" t="s">
        <v>12</v>
      </c>
      <c r="D28" s="16">
        <f>512.532226760507*(0.000041868*1000)</f>
        <v>21.458699270008921</v>
      </c>
      <c r="E28" s="16">
        <f>873.619267556988*(0.000041868*1000)</f>
        <v>36.576691494075973</v>
      </c>
      <c r="F28" s="16">
        <f>86.6431240768502*(0.000041868*1000)</f>
        <v>3.6275743188495637</v>
      </c>
      <c r="G28" s="16" t="s">
        <v>12</v>
      </c>
      <c r="H28" s="16">
        <f>742.293364016767*(0.000041868*1000)</f>
        <v>31.078338564654</v>
      </c>
      <c r="I28" s="16" t="s">
        <v>12</v>
      </c>
      <c r="J28" s="16">
        <f>2217.20097455829*(0.000041868*1000)</f>
        <v>92.829770402806687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Iain Scherr</dc:creator>
  <cp:lastModifiedBy>Iain Scherr</cp:lastModifiedBy>
  <dcterms:created xsi:type="dcterms:W3CDTF">2019-10-17T12:06:35Z</dcterms:created>
  <dcterms:modified xsi:type="dcterms:W3CDTF">2020-06-16T13:56:25Z</dcterms:modified>
</cp:coreProperties>
</file>