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che\GitHub\Scottish-Energy-Statistics-Hub\Structure\1 - Whole System\"/>
    </mc:Choice>
  </mc:AlternateContent>
  <xr:revisionPtr revIDLastSave="0" documentId="13_ncr:1_{8B056823-4545-49ED-A9AA-28B2C80A9B52}" xr6:coauthVersionLast="46" xr6:coauthVersionMax="46" xr10:uidLastSave="{00000000-0000-0000-0000-000000000000}"/>
  <bookViews>
    <workbookView xWindow="57480" yWindow="15855" windowWidth="29040" windowHeight="15840" xr2:uid="{77BAC818-DF8C-46E9-B076-3CA836B6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" i="1" l="1"/>
  <c r="H28" i="1"/>
  <c r="F28" i="1"/>
  <c r="E28" i="1"/>
  <c r="D28" i="1"/>
  <c r="B28" i="1"/>
  <c r="J27" i="1"/>
  <c r="H27" i="1"/>
  <c r="F27" i="1"/>
  <c r="D27" i="1"/>
  <c r="B27" i="1"/>
  <c r="J26" i="1"/>
  <c r="I26" i="1"/>
  <c r="H26" i="1"/>
  <c r="F26" i="1"/>
  <c r="E26" i="1"/>
  <c r="D26" i="1"/>
  <c r="B26" i="1"/>
  <c r="J25" i="1"/>
  <c r="I25" i="1"/>
  <c r="H25" i="1"/>
  <c r="F25" i="1"/>
  <c r="E25" i="1"/>
  <c r="D25" i="1"/>
  <c r="B25" i="1"/>
  <c r="J24" i="1"/>
  <c r="I24" i="1"/>
  <c r="E24" i="1"/>
  <c r="D24" i="1"/>
  <c r="J23" i="1"/>
  <c r="I23" i="1"/>
  <c r="H23" i="1"/>
  <c r="F23" i="1"/>
  <c r="E23" i="1"/>
  <c r="D23" i="1"/>
  <c r="B23" i="1"/>
  <c r="J22" i="1"/>
  <c r="I22" i="1"/>
  <c r="H22" i="1"/>
  <c r="E22" i="1"/>
  <c r="D22" i="1"/>
  <c r="J21" i="1"/>
  <c r="I21" i="1"/>
  <c r="F21" i="1"/>
  <c r="E21" i="1"/>
  <c r="D21" i="1"/>
  <c r="B21" i="1"/>
  <c r="J20" i="1"/>
  <c r="D20" i="1"/>
  <c r="C20" i="1"/>
  <c r="J19" i="1"/>
  <c r="H19" i="1"/>
  <c r="G19" i="1"/>
  <c r="F19" i="1"/>
  <c r="E19" i="1"/>
  <c r="D19" i="1"/>
  <c r="B19" i="1"/>
  <c r="J18" i="1"/>
  <c r="I18" i="1"/>
  <c r="H18" i="1"/>
  <c r="G18" i="1"/>
  <c r="F18" i="1"/>
  <c r="E18" i="1"/>
  <c r="D18" i="1"/>
  <c r="C18" i="1"/>
  <c r="B18" i="1"/>
  <c r="J17" i="1"/>
  <c r="H17" i="1"/>
  <c r="G17" i="1"/>
  <c r="D17" i="1"/>
  <c r="C17" i="1"/>
  <c r="J16" i="1"/>
  <c r="H16" i="1"/>
  <c r="G16" i="1"/>
  <c r="F16" i="1"/>
  <c r="E16" i="1"/>
  <c r="D16" i="1"/>
  <c r="C16" i="1"/>
  <c r="B16" i="1"/>
  <c r="J15" i="1"/>
  <c r="H15" i="1"/>
  <c r="E15" i="1"/>
  <c r="D15" i="1"/>
  <c r="C15" i="1"/>
  <c r="B15" i="1"/>
  <c r="J14" i="1"/>
  <c r="H14" i="1"/>
  <c r="G14" i="1"/>
  <c r="F14" i="1"/>
  <c r="E14" i="1"/>
  <c r="D14" i="1"/>
  <c r="C14" i="1"/>
  <c r="B14" i="1"/>
  <c r="J13" i="1"/>
  <c r="D13" i="1"/>
  <c r="C13" i="1"/>
  <c r="B13" i="1"/>
  <c r="J12" i="1"/>
  <c r="D12" i="1"/>
  <c r="H11" i="1"/>
  <c r="E11" i="1"/>
  <c r="D11" i="1"/>
  <c r="C11" i="1"/>
  <c r="E10" i="1"/>
  <c r="D10" i="1"/>
  <c r="C10" i="1"/>
  <c r="J9" i="1"/>
  <c r="H9" i="1"/>
  <c r="F9" i="1"/>
  <c r="E9" i="1"/>
  <c r="D9" i="1"/>
  <c r="C9" i="1"/>
  <c r="B9" i="1"/>
  <c r="H8" i="1"/>
  <c r="E8" i="1"/>
  <c r="D8" i="1"/>
  <c r="C8" i="1"/>
  <c r="E7" i="1"/>
  <c r="D7" i="1"/>
  <c r="C7" i="1"/>
  <c r="J6" i="1"/>
  <c r="H6" i="1"/>
  <c r="F6" i="1"/>
  <c r="E6" i="1"/>
  <c r="D6" i="1"/>
  <c r="C6" i="1"/>
  <c r="B6" i="1"/>
  <c r="J5" i="1"/>
  <c r="G5" i="1"/>
  <c r="F5" i="1"/>
  <c r="E5" i="1"/>
  <c r="C5" i="1"/>
  <c r="B5" i="1"/>
</calcChain>
</file>

<file path=xl/sharedStrings.xml><?xml version="1.0" encoding="utf-8"?>
<sst xmlns="http://schemas.openxmlformats.org/spreadsheetml/2006/main" count="120" uniqueCount="36">
  <si>
    <t>Gross calorific values</t>
  </si>
  <si>
    <t>Coal</t>
  </si>
  <si>
    <t>Primary oils</t>
  </si>
  <si>
    <t>Petroleum products</t>
  </si>
  <si>
    <t>Natural gas</t>
  </si>
  <si>
    <t>Bioenergy &amp; wastes</t>
  </si>
  <si>
    <t>Primary electricity</t>
  </si>
  <si>
    <t>Electricity</t>
  </si>
  <si>
    <t>Manufactured fuels &amp; Other (1)</t>
  </si>
  <si>
    <t>Total</t>
  </si>
  <si>
    <t>Supply</t>
  </si>
  <si>
    <t>Indigenous production</t>
  </si>
  <si>
    <t>-</t>
  </si>
  <si>
    <t>Imports (2)</t>
  </si>
  <si>
    <t>Rest of World</t>
  </si>
  <si>
    <t>Rest of UK</t>
  </si>
  <si>
    <t>Exports (2)</t>
  </si>
  <si>
    <t>Marine bunkers</t>
  </si>
  <si>
    <t>Stock change (3)</t>
  </si>
  <si>
    <t>Primary supply</t>
  </si>
  <si>
    <t>Statistical difference (4)</t>
  </si>
  <si>
    <t>Primary demand</t>
  </si>
  <si>
    <t>Transfers (5)</t>
  </si>
  <si>
    <t>Transformation</t>
  </si>
  <si>
    <t xml:space="preserve">  Electricity generation</t>
  </si>
  <si>
    <t xml:space="preserve">  Petroleum refineries</t>
  </si>
  <si>
    <t xml:space="preserve">  Manufactured fuel &amp; other</t>
  </si>
  <si>
    <t>Energy industry use and distribution losses</t>
  </si>
  <si>
    <t>Final Consumption</t>
  </si>
  <si>
    <t>Non-Energy Use</t>
  </si>
  <si>
    <t>Industry</t>
  </si>
  <si>
    <t>Domestic</t>
  </si>
  <si>
    <t>Transport</t>
  </si>
  <si>
    <t>Other</t>
  </si>
  <si>
    <t>Aggregate energy balance (PetaJoules), Scotland, 2018</t>
  </si>
  <si>
    <t>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</si>
</sst>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0"/>
      <name val="Helvetica"/>
    </font>
    <font>
      <sz val="11"/>
      <name val="Helvetica"/>
    </font>
    <font>
      <b/>
      <sz val="10"/>
      <name val="Helvetica"/>
    </font>
    <font>
      <sz val="10"/>
      <name val="Helvetica"/>
    </font>
    <font>
      <b/>
      <u/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17">
    <xf numFmtId="0" fontId="0" fillId="0" borderId="0" xfId="0"/>
    <xf numFmtId="0" fontId="3" fillId="0" borderId="0" xfId="0" applyFont="1"/>
    <xf numFmtId="0" fontId="4" fillId="0" borderId="0" xfId="3" applyFont="1"/>
    <xf numFmtId="0" fontId="5" fillId="0" borderId="0" xfId="3" applyFont="1"/>
    <xf numFmtId="1" fontId="6" fillId="0" borderId="0" xfId="3" applyNumberFormat="1" applyFont="1"/>
    <xf numFmtId="1" fontId="6" fillId="0" borderId="0" xfId="2" applyNumberFormat="1" applyFont="1" applyFill="1"/>
    <xf numFmtId="0" fontId="6" fillId="0" borderId="0" xfId="2" applyFont="1" applyFill="1"/>
    <xf numFmtId="0" fontId="6" fillId="0" borderId="0" xfId="3" applyFont="1"/>
    <xf numFmtId="0" fontId="5" fillId="0" borderId="1" xfId="3" applyFont="1" applyBorder="1" applyAlignment="1">
      <alignment horizontal="right"/>
    </xf>
    <xf numFmtId="0" fontId="5" fillId="0" borderId="1" xfId="2" applyFont="1" applyFill="1" applyBorder="1" applyAlignment="1">
      <alignment horizontal="right"/>
    </xf>
    <xf numFmtId="0" fontId="7" fillId="0" borderId="2" xfId="3" applyFont="1" applyBorder="1"/>
    <xf numFmtId="1" fontId="6" fillId="0" borderId="2" xfId="3" applyNumberFormat="1" applyFont="1" applyBorder="1" applyAlignment="1">
      <alignment horizontal="right"/>
    </xf>
    <xf numFmtId="1" fontId="6" fillId="0" borderId="2" xfId="2" applyNumberFormat="1" applyFont="1" applyFill="1" applyBorder="1" applyAlignment="1">
      <alignment horizontal="right"/>
    </xf>
    <xf numFmtId="1" fontId="6" fillId="0" borderId="0" xfId="3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0" fontId="5" fillId="0" borderId="1" xfId="3" applyFont="1" applyBorder="1"/>
    <xf numFmtId="1" fontId="0" fillId="0" borderId="0" xfId="0" applyNumberFormat="1"/>
  </cellXfs>
  <cellStyles count="4">
    <cellStyle name="Good" xfId="2" builtinId="26"/>
    <cellStyle name="Normal" xfId="0" builtinId="0"/>
    <cellStyle name="Normal 13" xfId="3" xr:uid="{F0B2B61E-02F8-46EC-AD9D-61946185FA6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4935-EB74-4926-BE8C-7B40FCC27029}">
  <dimension ref="A1:J28"/>
  <sheetViews>
    <sheetView tabSelected="1" workbookViewId="0">
      <selection activeCell="J5" sqref="B5:J28"/>
    </sheetView>
  </sheetViews>
  <sheetFormatPr defaultRowHeight="14.5" x14ac:dyDescent="0.35"/>
  <cols>
    <col min="1" max="1" width="72.1796875" bestFit="1" customWidth="1"/>
    <col min="2" max="2" width="17.26953125" customWidth="1"/>
    <col min="3" max="3" width="14.26953125" customWidth="1"/>
    <col min="4" max="4" width="21.26953125" customWidth="1"/>
    <col min="5" max="5" width="14.26953125" customWidth="1"/>
    <col min="6" max="6" width="24.81640625" customWidth="1"/>
    <col min="7" max="7" width="20.54296875" customWidth="1"/>
    <col min="8" max="8" width="12.54296875" customWidth="1"/>
    <col min="9" max="9" width="30.54296875" customWidth="1"/>
    <col min="10" max="10" width="12.81640625" customWidth="1"/>
  </cols>
  <sheetData>
    <row r="1" spans="1:10" x14ac:dyDescent="0.35">
      <c r="A1" s="1" t="s">
        <v>34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3" t="s">
        <v>0</v>
      </c>
      <c r="B2" s="4"/>
      <c r="C2" s="4"/>
      <c r="D2" s="4"/>
      <c r="E2" s="5"/>
      <c r="F2" s="6"/>
      <c r="G2" s="7"/>
      <c r="H2" s="7"/>
      <c r="I2" s="7" t="s">
        <v>35</v>
      </c>
      <c r="J2" s="7"/>
    </row>
    <row r="3" spans="1:10" x14ac:dyDescent="0.35">
      <c r="A3" s="8"/>
      <c r="B3" s="8" t="s">
        <v>1</v>
      </c>
      <c r="C3" s="8" t="s">
        <v>2</v>
      </c>
      <c r="D3" s="8" t="s">
        <v>3</v>
      </c>
      <c r="E3" s="9" t="s">
        <v>4</v>
      </c>
      <c r="F3" s="9" t="s">
        <v>5</v>
      </c>
      <c r="G3" s="8" t="s">
        <v>6</v>
      </c>
      <c r="H3" s="8" t="s">
        <v>7</v>
      </c>
      <c r="I3" s="8" t="s">
        <v>8</v>
      </c>
      <c r="J3" s="8" t="s">
        <v>9</v>
      </c>
    </row>
    <row r="4" spans="1:10" x14ac:dyDescent="0.35">
      <c r="A4" s="10" t="s">
        <v>10</v>
      </c>
      <c r="B4" s="11"/>
      <c r="C4" s="11"/>
      <c r="D4" s="11"/>
      <c r="E4" s="12"/>
      <c r="F4" s="12"/>
      <c r="G4" s="11"/>
      <c r="H4" s="11"/>
      <c r="I4" s="13"/>
      <c r="J4" s="14"/>
    </row>
    <row r="5" spans="1:10" x14ac:dyDescent="0.35">
      <c r="A5" s="3" t="s">
        <v>11</v>
      </c>
      <c r="B5" s="16">
        <f>268.317044043183*(0.000041868*1000)</f>
        <v>11.233898</v>
      </c>
      <c r="C5" s="16">
        <f>53880.7714668655*(0.000041868*1000)</f>
        <v>2255.8801397747234</v>
      </c>
      <c r="D5" s="16" t="s">
        <v>12</v>
      </c>
      <c r="E5" s="16">
        <f>19933.8685218677*(0.000041868*1000)</f>
        <v>834.59120727355867</v>
      </c>
      <c r="F5" s="16">
        <f>761.88279159088*(0.000041868*1000)</f>
        <v>31.898508718326969</v>
      </c>
      <c r="G5" s="16">
        <f>5295.87838266739*(0.000041868*1000)</f>
        <v>221.72783612551822</v>
      </c>
      <c r="H5" s="16" t="s">
        <v>12</v>
      </c>
      <c r="I5" s="16" t="s">
        <v>12</v>
      </c>
      <c r="J5" s="16">
        <f>80140.7182070346*(0.000041868*1000)</f>
        <v>3355.3315898921269</v>
      </c>
    </row>
    <row r="6" spans="1:10" x14ac:dyDescent="0.35">
      <c r="A6" s="3" t="s">
        <v>13</v>
      </c>
      <c r="B6" s="16">
        <f>0.001652228288908*(0.000041868*1000)</f>
        <v>6.9175494000000006E-5</v>
      </c>
      <c r="C6" s="16">
        <f>7102.85287169978*(0.000041868*1000)</f>
        <v>297.38224403232658</v>
      </c>
      <c r="D6" s="16">
        <f>2518.98227025408*(0.000041868*1000)</f>
        <v>105.46474969099773</v>
      </c>
      <c r="E6" s="16">
        <f>9496.98027800329*(0.000041868*1000)</f>
        <v>397.6195702794418</v>
      </c>
      <c r="F6" s="16">
        <f>318.290520825423*(0.000041868*1000)</f>
        <v>13.32618752591879</v>
      </c>
      <c r="G6" s="16" t="s">
        <v>12</v>
      </c>
      <c r="H6" s="16">
        <f>106.933190025796*(0.000041868*1000)</f>
        <v>4.477078800000025</v>
      </c>
      <c r="I6" s="16" t="s">
        <v>12</v>
      </c>
      <c r="J6" s="16">
        <f>19544.0407830367*(0.000041868*1000)</f>
        <v>818.26989950417897</v>
      </c>
    </row>
    <row r="7" spans="1:10" x14ac:dyDescent="0.35">
      <c r="A7" s="7" t="s">
        <v>14</v>
      </c>
      <c r="B7" s="16" t="s">
        <v>12</v>
      </c>
      <c r="C7" s="16">
        <f>7102.85287169978*(0.000041868*1000)</f>
        <v>297.38224403232658</v>
      </c>
      <c r="D7" s="16">
        <f>1800.08230715409*(0.000041868*1000)</f>
        <v>75.365846035927234</v>
      </c>
      <c r="E7" s="16">
        <f>9459.2330180568*(0.000041868*1000)</f>
        <v>396.03916800000223</v>
      </c>
      <c r="F7" s="16" t="s">
        <v>12</v>
      </c>
      <c r="G7" s="16" t="s">
        <v>12</v>
      </c>
      <c r="H7" s="16" t="s">
        <v>12</v>
      </c>
      <c r="I7" s="16" t="s">
        <v>12</v>
      </c>
      <c r="J7" s="16" t="s">
        <v>12</v>
      </c>
    </row>
    <row r="8" spans="1:10" x14ac:dyDescent="0.35">
      <c r="A8" s="7" t="s">
        <v>15</v>
      </c>
      <c r="B8" s="16" t="s">
        <v>12</v>
      </c>
      <c r="C8" s="16">
        <f>0*(0.000041868*1000)</f>
        <v>0</v>
      </c>
      <c r="D8" s="16">
        <f>718.899963099993*(0.000041868*1000)</f>
        <v>30.098903655070497</v>
      </c>
      <c r="E8" s="16">
        <f>37.7472599464895*(0.000041868*1000)</f>
        <v>1.5804022794396206</v>
      </c>
      <c r="F8" s="16" t="s">
        <v>12</v>
      </c>
      <c r="G8" s="16" t="s">
        <v>12</v>
      </c>
      <c r="H8" s="16">
        <f>106.933190025796*(0.000041868*1000)</f>
        <v>4.477078800000025</v>
      </c>
      <c r="I8" s="16" t="s">
        <v>12</v>
      </c>
      <c r="J8" s="16" t="s">
        <v>12</v>
      </c>
    </row>
    <row r="9" spans="1:10" x14ac:dyDescent="0.35">
      <c r="A9" s="3" t="s">
        <v>16</v>
      </c>
      <c r="B9" s="16">
        <f>-146.756652546287*(0.000041868*1000)</f>
        <v>-6.1444075288079327</v>
      </c>
      <c r="C9" s="16">
        <f>-50098.1352068041*(0.000041868*1000)</f>
        <v>-2097.5087248384762</v>
      </c>
      <c r="D9" s="16">
        <f>-5063.17365149441*(0.000041868*1000)</f>
        <v>-211.98495444076815</v>
      </c>
      <c r="E9" s="16">
        <f>-20211.2349506173*(0.000041868*1000)</f>
        <v>-846.20398491244703</v>
      </c>
      <c r="F9" s="16">
        <f>-23.5247610724466*(0.000041868*1000)</f>
        <v>-0.9849346965811957</v>
      </c>
      <c r="G9" s="16" t="s">
        <v>12</v>
      </c>
      <c r="H9" s="16">
        <f>-1470.09595872744*(0.000041868*1000)</f>
        <v>-61.549977600000339</v>
      </c>
      <c r="I9" s="16" t="s">
        <v>12</v>
      </c>
      <c r="J9" s="16">
        <f>-77012.9211812621*(0.000041868*1000)</f>
        <v>-3224.3769840170808</v>
      </c>
    </row>
    <row r="10" spans="1:10" x14ac:dyDescent="0.35">
      <c r="A10" s="7" t="s">
        <v>14</v>
      </c>
      <c r="B10" s="16" t="s">
        <v>12</v>
      </c>
      <c r="C10" s="16">
        <f>-37699.5751654623*(0.000041868*1000)</f>
        <v>-1578.4058130275755</v>
      </c>
      <c r="D10" s="16">
        <f>-3237.47667390101*(0.000041868*1000)</f>
        <v>-135.54667338288738</v>
      </c>
      <c r="E10" s="16">
        <f>-2676.35339638866*(0.000041868*1000)</f>
        <v>-112.05356400000062</v>
      </c>
      <c r="F10" s="16" t="s">
        <v>12</v>
      </c>
      <c r="G10" s="16" t="s">
        <v>12</v>
      </c>
      <c r="H10" s="16" t="s">
        <v>12</v>
      </c>
      <c r="I10" s="16" t="s">
        <v>12</v>
      </c>
      <c r="J10" s="16" t="s">
        <v>12</v>
      </c>
    </row>
    <row r="11" spans="1:10" x14ac:dyDescent="0.35">
      <c r="A11" s="7" t="s">
        <v>15</v>
      </c>
      <c r="B11" s="16" t="s">
        <v>12</v>
      </c>
      <c r="C11" s="16">
        <f>-12398.5600413418*(0.000041868*1000)</f>
        <v>-519.10291181090042</v>
      </c>
      <c r="D11" s="16">
        <f>-1825.69697759341*(0.000041868*1000)</f>
        <v>-76.438281057880758</v>
      </c>
      <c r="E11" s="16">
        <f>-17534.8815542287*(0.000041868*1000)</f>
        <v>-734.15042091244641</v>
      </c>
      <c r="F11" s="16" t="s">
        <v>12</v>
      </c>
      <c r="G11" s="16" t="s">
        <v>12</v>
      </c>
      <c r="H11" s="16">
        <f>-1470.09595872744*(0.000041868*1000)</f>
        <v>-61.549977600000339</v>
      </c>
      <c r="I11" s="16" t="s">
        <v>12</v>
      </c>
      <c r="J11" s="16" t="s">
        <v>12</v>
      </c>
    </row>
    <row r="12" spans="1:10" x14ac:dyDescent="0.35">
      <c r="A12" s="3" t="s">
        <v>17</v>
      </c>
      <c r="B12" s="16" t="s">
        <v>12</v>
      </c>
      <c r="C12" s="16" t="s">
        <v>12</v>
      </c>
      <c r="D12" s="16">
        <f>-958.026686408587*(0.000041868*1000)</f>
        <v>-40.110661306554725</v>
      </c>
      <c r="E12" s="16" t="s">
        <v>12</v>
      </c>
      <c r="F12" s="16" t="s">
        <v>12</v>
      </c>
      <c r="G12" s="16" t="s">
        <v>12</v>
      </c>
      <c r="H12" s="16" t="s">
        <v>12</v>
      </c>
      <c r="I12" s="16" t="s">
        <v>12</v>
      </c>
      <c r="J12" s="16">
        <f>-958.026686408587*(0.000041868*1000)</f>
        <v>-40.110661306554725</v>
      </c>
    </row>
    <row r="13" spans="1:10" x14ac:dyDescent="0.35">
      <c r="A13" s="3" t="s">
        <v>18</v>
      </c>
      <c r="B13" s="16">
        <f>0*(0.000041868*1000)</f>
        <v>0</v>
      </c>
      <c r="C13" s="16">
        <f>-14.2067019350796*(0.000041868*1000)</f>
        <v>-0.59480619661791112</v>
      </c>
      <c r="D13" s="16">
        <f>-97.1088195122426*(0.000041868*1000)</f>
        <v>-4.0657520553385726</v>
      </c>
      <c r="E13" s="16" t="s">
        <v>12</v>
      </c>
      <c r="F13" s="16" t="s">
        <v>12</v>
      </c>
      <c r="G13" s="16" t="s">
        <v>12</v>
      </c>
      <c r="H13" s="16" t="s">
        <v>12</v>
      </c>
      <c r="I13" s="16" t="s">
        <v>12</v>
      </c>
      <c r="J13" s="16">
        <f>-111.315521447322*(0.000041868*1000)</f>
        <v>-4.6605582519564841</v>
      </c>
    </row>
    <row r="14" spans="1:10" x14ac:dyDescent="0.35">
      <c r="A14" s="15" t="s">
        <v>19</v>
      </c>
      <c r="B14" s="16">
        <f>121.562043725186*(0.000041868*1000)</f>
        <v>5.0895596466860678</v>
      </c>
      <c r="C14" s="16">
        <f>10871.282429826*(0.000041868*1000)</f>
        <v>455.15885277195571</v>
      </c>
      <c r="D14" s="16">
        <f>-3599.32688716117*(0.000041868*1000)</f>
        <v>-150.6966181116637</v>
      </c>
      <c r="E14" s="16">
        <f>9219.61384925369*(0.000041868*1000)</f>
        <v>386.00679264055344</v>
      </c>
      <c r="F14" s="16">
        <f>1056.66643938455*(0.000041868*1000)</f>
        <v>44.240510484152331</v>
      </c>
      <c r="G14" s="16">
        <f>5295.87838266739*(0.000041868*1000)</f>
        <v>221.72783612551822</v>
      </c>
      <c r="H14" s="16">
        <f>-1363.16276870164*(0.000041868*1000)</f>
        <v>-57.072898800000317</v>
      </c>
      <c r="I14" s="16" t="s">
        <v>12</v>
      </c>
      <c r="J14" s="16">
        <f>21602.513488994*(0.000041868*1000)</f>
        <v>904.45403475720173</v>
      </c>
    </row>
    <row r="15" spans="1:10" x14ac:dyDescent="0.35">
      <c r="A15" s="3" t="s">
        <v>20</v>
      </c>
      <c r="B15" s="16">
        <f>0*(0.000041868*1000)</f>
        <v>0</v>
      </c>
      <c r="C15" s="16">
        <f>0*(0.000041868*1000)</f>
        <v>0</v>
      </c>
      <c r="D15" s="16">
        <f>-2.50498755436502*(0.000041868*1000)</f>
        <v>-0.1048788189261545</v>
      </c>
      <c r="E15" s="16">
        <f>0*(0.000041868*1000)</f>
        <v>0</v>
      </c>
      <c r="F15" s="16" t="s">
        <v>12</v>
      </c>
      <c r="G15" s="16" t="s">
        <v>12</v>
      </c>
      <c r="H15" s="16">
        <f>0*(0.000041868*1000)</f>
        <v>0</v>
      </c>
      <c r="I15" s="16" t="s">
        <v>12</v>
      </c>
      <c r="J15" s="16">
        <f>-2.50498755436502*(0.000041868*1000)</f>
        <v>-0.1048788189261545</v>
      </c>
    </row>
    <row r="16" spans="1:10" x14ac:dyDescent="0.35">
      <c r="A16" s="15" t="s">
        <v>21</v>
      </c>
      <c r="B16" s="16">
        <f>121.562043725186*(0.000041868*1000)</f>
        <v>5.0895596466860678</v>
      </c>
      <c r="C16" s="16">
        <f>10871.282429826*(0.000041868*1000)</f>
        <v>455.15885277195571</v>
      </c>
      <c r="D16" s="16">
        <f>-3601.83187471553*(0.000041868*1000)</f>
        <v>-150.80149693058985</v>
      </c>
      <c r="E16" s="16">
        <f>9219.61384925369*(0.000041868*1000)</f>
        <v>386.00679264055344</v>
      </c>
      <c r="F16" s="16">
        <f>1056.66643938455*(0.000041868*1000)</f>
        <v>44.240510484152331</v>
      </c>
      <c r="G16" s="16">
        <f>5295.87838266739*(0.000041868*1000)</f>
        <v>221.72783612551822</v>
      </c>
      <c r="H16" s="16">
        <f>-1363.16276870164*(0.000041868*1000)</f>
        <v>-57.072898800000296</v>
      </c>
      <c r="I16" s="16" t="s">
        <v>12</v>
      </c>
      <c r="J16" s="16">
        <f>21600.0085014397*(0.000041868*1000)</f>
        <v>904.34915593827566</v>
      </c>
    </row>
    <row r="17" spans="1:10" x14ac:dyDescent="0.35">
      <c r="A17" s="3" t="s">
        <v>22</v>
      </c>
      <c r="B17" s="16" t="s">
        <v>12</v>
      </c>
      <c r="C17" s="16">
        <f>-1074.95404307907*(0.000041868*1000)</f>
        <v>-45.006175875634433</v>
      </c>
      <c r="D17" s="16">
        <f>1074.95404307907*(0.000041868*1000)</f>
        <v>45.006175875634433</v>
      </c>
      <c r="E17" s="16" t="s">
        <v>12</v>
      </c>
      <c r="F17" s="16" t="s">
        <v>12</v>
      </c>
      <c r="G17" s="16">
        <f>-2411.77908700585*(0.000041868*1000)</f>
        <v>-100.97636681476088</v>
      </c>
      <c r="H17" s="16">
        <f>2411.77908700585*(0.000041868*1000)</f>
        <v>100.97636681476088</v>
      </c>
      <c r="I17" s="16" t="s">
        <v>12</v>
      </c>
      <c r="J17" s="16">
        <f>0*(0.000041868*1000)</f>
        <v>0</v>
      </c>
    </row>
    <row r="18" spans="1:10" x14ac:dyDescent="0.35">
      <c r="A18" s="3" t="s">
        <v>23</v>
      </c>
      <c r="B18" s="16">
        <f>0*(0.000041868*1000)</f>
        <v>0</v>
      </c>
      <c r="C18" s="16">
        <f>-9796.32838674695*(0.000041868*1000)</f>
        <v>-410.15267689632128</v>
      </c>
      <c r="D18" s="16">
        <f>9591.39837070903*(0.000041868*1000)</f>
        <v>401.5726669848458</v>
      </c>
      <c r="E18" s="16">
        <f>-1232.62948669258*(0.000041868*1000)</f>
        <v>-51.607731348844887</v>
      </c>
      <c r="F18" s="16">
        <f>-620.371710682914*(0.000041868*1000)</f>
        <v>-25.973722782872226</v>
      </c>
      <c r="G18" s="16">
        <f>-2884.09929566154*(0.000041868*1000)</f>
        <v>-120.75146931075733</v>
      </c>
      <c r="H18" s="16">
        <f>1884.81864151407*(0.000041868*1000)</f>
        <v>78.913586882910963</v>
      </c>
      <c r="I18" s="16">
        <f>120.373501974195*(0.000041868*1000)</f>
        <v>5.0397977806555962</v>
      </c>
      <c r="J18" s="16">
        <f>-2936.83836558669*(0.000041868*1000)</f>
        <v>-122.95954869038337</v>
      </c>
    </row>
    <row r="19" spans="1:10" x14ac:dyDescent="0.35">
      <c r="A19" s="7" t="s">
        <v>24</v>
      </c>
      <c r="B19" s="16">
        <f>0*(0.000041868*1000)</f>
        <v>0</v>
      </c>
      <c r="C19" s="16" t="s">
        <v>12</v>
      </c>
      <c r="D19" s="16">
        <f>-58.2590093102158*(0.000041868*1000)</f>
        <v>-2.4391882018001159</v>
      </c>
      <c r="E19" s="16">
        <f>-1065.24836469818*(0.000041868*1000)</f>
        <v>-44.599818533183452</v>
      </c>
      <c r="F19" s="16">
        <f>-607.379894386499*(0.000041868*1000)</f>
        <v>-25.429781418173931</v>
      </c>
      <c r="G19" s="16">
        <f>-2884.09929566154*(0.000041868*1000)</f>
        <v>-120.75146931075733</v>
      </c>
      <c r="H19" s="16">
        <f>1884.81864151407*(0.000041868*1000)</f>
        <v>78.913586882910963</v>
      </c>
      <c r="I19" s="16" t="s">
        <v>12</v>
      </c>
      <c r="J19" s="16">
        <f>-2730.16792254237*(0.000041868*1000)</f>
        <v>-114.30667058100386</v>
      </c>
    </row>
    <row r="20" spans="1:10" x14ac:dyDescent="0.35">
      <c r="A20" s="7" t="s">
        <v>25</v>
      </c>
      <c r="B20" s="16" t="s">
        <v>12</v>
      </c>
      <c r="C20" s="16">
        <f>-9796.32838674695*(0.000041868*1000)</f>
        <v>-410.15267689632128</v>
      </c>
      <c r="D20" s="16">
        <f>9710.40430875117*(0.000041868*1000)</f>
        <v>406.55520759879397</v>
      </c>
      <c r="E20" s="16" t="s">
        <v>12</v>
      </c>
      <c r="F20" s="16" t="s">
        <v>12</v>
      </c>
      <c r="G20" s="16" t="s">
        <v>12</v>
      </c>
      <c r="H20" s="16" t="s">
        <v>12</v>
      </c>
      <c r="I20" s="16" t="s">
        <v>12</v>
      </c>
      <c r="J20" s="16">
        <f>-85.92407799578*(0.000041868*1000)</f>
        <v>-3.5974692975273155</v>
      </c>
    </row>
    <row r="21" spans="1:10" x14ac:dyDescent="0.35">
      <c r="A21" s="7" t="s">
        <v>26</v>
      </c>
      <c r="B21" s="16">
        <f>0*(0.000041868*1000)</f>
        <v>0</v>
      </c>
      <c r="C21" s="16" t="s">
        <v>12</v>
      </c>
      <c r="D21" s="16">
        <f>-60.7469287319217*(0.000041868*1000)</f>
        <v>-2.5433524121480979</v>
      </c>
      <c r="E21" s="16">
        <f>-167.381121994397*(0.000041868*1000)</f>
        <v>-7.007912815661431</v>
      </c>
      <c r="F21" s="16">
        <f>-12.9918162964148*(0.000041868*1000)</f>
        <v>-0.54394136469829291</v>
      </c>
      <c r="G21" s="16" t="s">
        <v>12</v>
      </c>
      <c r="H21" s="16" t="s">
        <v>12</v>
      </c>
      <c r="I21" s="16">
        <f>120.373501974195*(0.000041868*1000)</f>
        <v>5.0397977806555962</v>
      </c>
      <c r="J21" s="16">
        <f>-120.746365048539*(0.000041868*1000)</f>
        <v>-5.0554088118522262</v>
      </c>
    </row>
    <row r="22" spans="1:10" x14ac:dyDescent="0.35">
      <c r="A22" s="3" t="s">
        <v>27</v>
      </c>
      <c r="B22" s="16" t="s">
        <v>12</v>
      </c>
      <c r="C22" s="16" t="s">
        <v>12</v>
      </c>
      <c r="D22" s="16">
        <f>568.974945953073*(0.000041868*1000)</f>
        <v>23.821843037163244</v>
      </c>
      <c r="E22" s="16">
        <f>3833.73551740504*(0.000041868*1000)</f>
        <v>160.51083864271425</v>
      </c>
      <c r="F22" s="16" t="s">
        <v>12</v>
      </c>
      <c r="G22" s="16" t="s">
        <v>12</v>
      </c>
      <c r="H22" s="16">
        <f>407.108852539177*(0.000041868*1000)</f>
        <v>17.04483343811027</v>
      </c>
      <c r="I22" s="16">
        <f>22.7625980704971*(0.000041868*1000)</f>
        <v>0.95302445601557351</v>
      </c>
      <c r="J22" s="16">
        <f>4832.58191396779*(0.000041868*1000)</f>
        <v>202.33053957400332</v>
      </c>
    </row>
    <row r="23" spans="1:10" x14ac:dyDescent="0.35">
      <c r="A23" s="15" t="s">
        <v>28</v>
      </c>
      <c r="B23" s="16">
        <f>121.562043725186*(0.000041868*1000)</f>
        <v>5.0895596466860678</v>
      </c>
      <c r="C23" s="16" t="s">
        <v>12</v>
      </c>
      <c r="D23" s="16">
        <f>6495.5455931195*(0.000041868*1000)</f>
        <v>271.95550289272711</v>
      </c>
      <c r="E23" s="16">
        <f>4153.24884515607*(0.000041868*1000)</f>
        <v>173.88822264899429</v>
      </c>
      <c r="F23" s="16">
        <f>436.294728701636*(0.000041868*1000)</f>
        <v>18.266787701280101</v>
      </c>
      <c r="G23" s="16" t="s">
        <v>12</v>
      </c>
      <c r="H23" s="16">
        <f>2526.3261072791*(0.000041868*1000)</f>
        <v>105.77222145956128</v>
      </c>
      <c r="I23" s="16">
        <f>97.6109039036979*(0.000041868*1000)</f>
        <v>4.0867733246400224</v>
      </c>
      <c r="J23" s="16">
        <f>13830.5882218852*(0.000041868*1000)</f>
        <v>579.05906767388888</v>
      </c>
    </row>
    <row r="24" spans="1:10" x14ac:dyDescent="0.35">
      <c r="A24" s="7" t="s">
        <v>29</v>
      </c>
      <c r="B24" s="16" t="s">
        <v>12</v>
      </c>
      <c r="C24" s="16" t="s">
        <v>12</v>
      </c>
      <c r="D24" s="16">
        <f>1013.62204108264*(0.000041868*1000)</f>
        <v>42.438327616047964</v>
      </c>
      <c r="E24" s="16">
        <f>57.4853612139045*(0.000041868*1000)</f>
        <v>2.4067971033037558</v>
      </c>
      <c r="F24" s="16" t="s">
        <v>12</v>
      </c>
      <c r="G24" s="16" t="s">
        <v>12</v>
      </c>
      <c r="H24" s="16" t="s">
        <v>12</v>
      </c>
      <c r="I24" s="16">
        <f>61.4373843877839*(0.000041868*1000)</f>
        <v>2.5722604095477344</v>
      </c>
      <c r="J24" s="16">
        <f>1132.54478668433*(0.000041868*1000)</f>
        <v>47.417385128899447</v>
      </c>
    </row>
    <row r="25" spans="1:10" x14ac:dyDescent="0.35">
      <c r="A25" s="7" t="s">
        <v>30</v>
      </c>
      <c r="B25" s="16">
        <f>75.9946093406569*(0.000041868*1000)</f>
        <v>3.1817423038746222</v>
      </c>
      <c r="C25" s="16" t="s">
        <v>12</v>
      </c>
      <c r="D25" s="16">
        <f>183.193386029603*(0.000041868*1000)</f>
        <v>7.6699406862874353</v>
      </c>
      <c r="E25" s="16">
        <f>872.786526244717*(0.000041868*1000)</f>
        <v>36.541826280813815</v>
      </c>
      <c r="F25" s="16">
        <f>87.1497722986362*(0.000041868*1000)</f>
        <v>3.6487866665993023</v>
      </c>
      <c r="G25" s="16" t="s">
        <v>12</v>
      </c>
      <c r="H25" s="16">
        <f>718.469198196105*(0.000041868*1000)</f>
        <v>30.080868390074521</v>
      </c>
      <c r="I25" s="16">
        <f>9.68054749183821*(0.000041868*1000)</f>
        <v>0.40530516238828235</v>
      </c>
      <c r="J25" s="16">
        <f>1947.27403960156*(0.000041868*1000)</f>
        <v>81.528469490037978</v>
      </c>
    </row>
    <row r="26" spans="1:10" x14ac:dyDescent="0.35">
      <c r="A26" s="7" t="s">
        <v>31</v>
      </c>
      <c r="B26" s="16">
        <f>43.434813440241*(0.000041868*1000)</f>
        <v>1.8185287691160101</v>
      </c>
      <c r="C26" s="16" t="s">
        <v>12</v>
      </c>
      <c r="D26" s="16">
        <f>267.627792634267*(0.000041868*1000)</f>
        <v>11.205040422011511</v>
      </c>
      <c r="E26" s="16">
        <f>2368.09096194734*(0.000041868*1000)</f>
        <v>99.147232394811255</v>
      </c>
      <c r="F26" s="16">
        <f>146.081652325973*(0.000041868*1000)</f>
        <v>6.1161466195838203</v>
      </c>
      <c r="G26" s="16" t="s">
        <v>12</v>
      </c>
      <c r="H26" s="16">
        <f>1025.07929743162*(0.000041868*1000)</f>
        <v>42.918020024866905</v>
      </c>
      <c r="I26" s="16">
        <f>26.4929720197766*(0.000041868*1000)</f>
        <v>1.1092077525240058</v>
      </c>
      <c r="J26" s="16">
        <f>3876.80748979921*(0.000041868*1000)</f>
        <v>162.3141759829135</v>
      </c>
    </row>
    <row r="27" spans="1:10" x14ac:dyDescent="0.35">
      <c r="A27" s="7" t="s">
        <v>32</v>
      </c>
      <c r="B27" s="16">
        <f>0.365163956999142*(0.000041868*1000)</f>
        <v>1.5288684551640083E-2</v>
      </c>
      <c r="C27" s="16" t="s">
        <v>12</v>
      </c>
      <c r="D27" s="16">
        <f>4496.77270215507*(0.000041868*1000)</f>
        <v>188.27087949382837</v>
      </c>
      <c r="E27" s="16" t="s">
        <v>12</v>
      </c>
      <c r="F27" s="16">
        <f>115.683101348052*(0.000041868*1000)</f>
        <v>4.8434200872402542</v>
      </c>
      <c r="G27" s="16" t="s">
        <v>12</v>
      </c>
      <c r="H27" s="16">
        <f>42.7853284170371*(0.000041868*1000)</f>
        <v>1.791336130164511</v>
      </c>
      <c r="I27" s="16" t="s">
        <v>12</v>
      </c>
      <c r="J27" s="16">
        <f>4655.60629587716*(0.000041868*1000)</f>
        <v>194.92092439578477</v>
      </c>
    </row>
    <row r="28" spans="1:10" x14ac:dyDescent="0.35">
      <c r="A28" s="7" t="s">
        <v>33</v>
      </c>
      <c r="B28" s="16">
        <f>1.76745698728853*(0.000041868*1000)</f>
        <v>7.3999889143796002E-2</v>
      </c>
      <c r="C28" s="16" t="s">
        <v>12</v>
      </c>
      <c r="D28" s="16">
        <f>534.329671217919*(0.000041868*1000)</f>
        <v>22.371314674551829</v>
      </c>
      <c r="E28" s="16">
        <f>854.885995750106*(0.000041868*1000)</f>
        <v>35.792366870065436</v>
      </c>
      <c r="F28" s="16">
        <f>87.380202728975*(0.000041868*1000)</f>
        <v>3.6584343278567246</v>
      </c>
      <c r="G28" s="16" t="s">
        <v>12</v>
      </c>
      <c r="H28" s="16">
        <f>739.99228323434*(0.000041868*1000)</f>
        <v>30.98199691445533</v>
      </c>
      <c r="I28" s="16" t="s">
        <v>12</v>
      </c>
      <c r="J28" s="16">
        <f>2218.35560991863*(0.000041868*1000)</f>
        <v>92.87811267607313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2019-10-17T12:06:35Z</dcterms:created>
  <dcterms:modified xsi:type="dcterms:W3CDTF">2021-04-09T14:13:48Z</dcterms:modified>
</cp:coreProperties>
</file>