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smondmanuel/Desktop/Chaos :: Order/A Tradddeeerrrrrrrr/Portfolio Models/"/>
    </mc:Choice>
  </mc:AlternateContent>
  <xr:revisionPtr revIDLastSave="0" documentId="13_ncr:1_{ADD13377-CF0C-484C-B20A-E6BE8B659283}" xr6:coauthVersionLast="47" xr6:coauthVersionMax="47" xr10:uidLastSave="{00000000-0000-0000-0000-000000000000}"/>
  <bookViews>
    <workbookView xWindow="1080" yWindow="1240" windowWidth="27640" windowHeight="16760" activeTab="1" xr2:uid="{0685B3E0-C638-D54A-9FEB-761915CAA54A}"/>
  </bookViews>
  <sheets>
    <sheet name="Notes" sheetId="2" r:id="rId1"/>
    <sheet name="Workout" sheetId="1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9" i="1" l="1"/>
  <c r="I179" i="1"/>
  <c r="H179" i="1"/>
  <c r="G179" i="1"/>
  <c r="F179" i="1"/>
  <c r="E179" i="1"/>
  <c r="D179" i="1"/>
  <c r="K178" i="1"/>
  <c r="I178" i="1"/>
  <c r="H178" i="1"/>
  <c r="G178" i="1"/>
  <c r="F178" i="1"/>
  <c r="E178" i="1"/>
  <c r="D178" i="1"/>
  <c r="K177" i="1"/>
  <c r="J177" i="1"/>
  <c r="H177" i="1"/>
  <c r="G177" i="1"/>
  <c r="F177" i="1"/>
  <c r="E177" i="1"/>
  <c r="D177" i="1"/>
  <c r="K176" i="1"/>
  <c r="J176" i="1"/>
  <c r="I176" i="1"/>
  <c r="K174" i="1"/>
  <c r="K173" i="1"/>
  <c r="J173" i="1"/>
  <c r="K172" i="1"/>
  <c r="J172" i="1"/>
  <c r="I172" i="1"/>
  <c r="K171" i="1"/>
  <c r="K175" i="1" s="1"/>
  <c r="K180" i="1" s="1"/>
  <c r="J171" i="1"/>
  <c r="I171" i="1"/>
  <c r="H171" i="1"/>
  <c r="G171" i="1"/>
  <c r="F171" i="1"/>
  <c r="E171" i="1"/>
  <c r="D171" i="1"/>
  <c r="C161" i="1"/>
  <c r="C154" i="1"/>
  <c r="C147" i="1"/>
  <c r="C148" i="1" s="1"/>
  <c r="J144" i="1"/>
  <c r="K142" i="1"/>
  <c r="K179" i="1" s="1"/>
  <c r="C141" i="1"/>
  <c r="K138" i="1"/>
  <c r="C142" i="1" s="1"/>
  <c r="C185" i="1" s="1"/>
  <c r="H123" i="1"/>
  <c r="G123" i="1"/>
  <c r="F123" i="1"/>
  <c r="E123" i="1"/>
  <c r="D123" i="1"/>
  <c r="I122" i="1"/>
  <c r="I119" i="1"/>
  <c r="I118" i="1"/>
  <c r="H118" i="1"/>
  <c r="G118" i="1"/>
  <c r="F118" i="1"/>
  <c r="E118" i="1"/>
  <c r="D118" i="1"/>
  <c r="C108" i="1"/>
  <c r="C100" i="1"/>
  <c r="I101" i="1" s="1"/>
  <c r="I96" i="1"/>
  <c r="B94" i="1"/>
  <c r="B136" i="1" s="1"/>
  <c r="C76" i="1"/>
  <c r="B70" i="1"/>
  <c r="K63" i="1"/>
  <c r="J63" i="1"/>
  <c r="I63" i="1"/>
  <c r="H63" i="1"/>
  <c r="G63" i="1"/>
  <c r="F63" i="1"/>
  <c r="E63" i="1"/>
  <c r="D63" i="1"/>
  <c r="C63" i="1"/>
  <c r="B63" i="1"/>
  <c r="I62" i="1"/>
  <c r="H62" i="1"/>
  <c r="G62" i="1"/>
  <c r="F62" i="1"/>
  <c r="E62" i="1"/>
  <c r="D62" i="1"/>
  <c r="C62" i="1"/>
  <c r="B62" i="1"/>
  <c r="K61" i="1"/>
  <c r="J61" i="1"/>
  <c r="I61" i="1"/>
  <c r="H61" i="1"/>
  <c r="G61" i="1"/>
  <c r="F61" i="1"/>
  <c r="E61" i="1"/>
  <c r="D61" i="1"/>
  <c r="C61" i="1"/>
  <c r="B61" i="1"/>
  <c r="G58" i="1"/>
  <c r="G60" i="1" s="1"/>
  <c r="G64" i="1" s="1"/>
  <c r="F58" i="1"/>
  <c r="F60" i="1" s="1"/>
  <c r="F64" i="1" s="1"/>
  <c r="E58" i="1"/>
  <c r="E60" i="1" s="1"/>
  <c r="E64" i="1" s="1"/>
  <c r="C58" i="1"/>
  <c r="C60" i="1" s="1"/>
  <c r="C64" i="1" s="1"/>
  <c r="C70" i="1" s="1"/>
  <c r="B58" i="1"/>
  <c r="K53" i="1"/>
  <c r="J53" i="1"/>
  <c r="I53" i="1"/>
  <c r="H53" i="1"/>
  <c r="G53" i="1"/>
  <c r="F53" i="1"/>
  <c r="F55" i="1" s="1"/>
  <c r="E53" i="1"/>
  <c r="D53" i="1"/>
  <c r="C53" i="1"/>
  <c r="K50" i="1"/>
  <c r="J50" i="1"/>
  <c r="I50" i="1"/>
  <c r="H50" i="1"/>
  <c r="G50" i="1"/>
  <c r="F50" i="1"/>
  <c r="E50" i="1"/>
  <c r="D50" i="1"/>
  <c r="C50" i="1"/>
  <c r="I46" i="1"/>
  <c r="D44" i="1"/>
  <c r="D47" i="1" s="1"/>
  <c r="G41" i="1"/>
  <c r="G44" i="1" s="1"/>
  <c r="G47" i="1" s="1"/>
  <c r="G55" i="1" s="1"/>
  <c r="E41" i="1"/>
  <c r="E44" i="1" s="1"/>
  <c r="E47" i="1" s="1"/>
  <c r="E55" i="1" s="1"/>
  <c r="D41" i="1"/>
  <c r="H38" i="1"/>
  <c r="H58" i="1" s="1"/>
  <c r="H60" i="1" s="1"/>
  <c r="H64" i="1" s="1"/>
  <c r="G38" i="1"/>
  <c r="F38" i="1"/>
  <c r="F41" i="1" s="1"/>
  <c r="F44" i="1" s="1"/>
  <c r="F47" i="1" s="1"/>
  <c r="E38" i="1"/>
  <c r="D38" i="1"/>
  <c r="D58" i="1" s="1"/>
  <c r="D60" i="1" s="1"/>
  <c r="D64" i="1" s="1"/>
  <c r="C38" i="1"/>
  <c r="C41" i="1" s="1"/>
  <c r="C44" i="1" s="1"/>
  <c r="C47" i="1" s="1"/>
  <c r="J37" i="1"/>
  <c r="I37" i="1"/>
  <c r="I38" i="1" s="1"/>
  <c r="J36" i="1"/>
  <c r="J46" i="1" s="1"/>
  <c r="J62" i="1" s="1"/>
  <c r="I36" i="1"/>
  <c r="D27" i="1"/>
  <c r="D28" i="1" s="1"/>
  <c r="D29" i="1" s="1"/>
  <c r="C21" i="1"/>
  <c r="C22" i="1" s="1"/>
  <c r="H11" i="1"/>
  <c r="G11" i="1"/>
  <c r="F11" i="1"/>
  <c r="E11" i="1"/>
  <c r="D11" i="1"/>
  <c r="C11" i="1"/>
  <c r="A1" i="1"/>
  <c r="I41" i="1" l="1"/>
  <c r="I44" i="1" s="1"/>
  <c r="I47" i="1" s="1"/>
  <c r="I58" i="1"/>
  <c r="I60" i="1" s="1"/>
  <c r="I64" i="1" s="1"/>
  <c r="I70" i="1" s="1"/>
  <c r="F72" i="1"/>
  <c r="F82" i="1" s="1"/>
  <c r="F70" i="1"/>
  <c r="D72" i="1"/>
  <c r="D82" i="1" s="1"/>
  <c r="D70" i="1"/>
  <c r="I55" i="1"/>
  <c r="E72" i="1"/>
  <c r="E82" i="1" s="1"/>
  <c r="E70" i="1"/>
  <c r="G72" i="1"/>
  <c r="G82" i="1" s="1"/>
  <c r="G70" i="1"/>
  <c r="C55" i="1"/>
  <c r="C101" i="1"/>
  <c r="I123" i="1"/>
  <c r="D55" i="1"/>
  <c r="H72" i="1"/>
  <c r="H82" i="1" s="1"/>
  <c r="H70" i="1"/>
  <c r="H149" i="1"/>
  <c r="G149" i="1"/>
  <c r="F149" i="1"/>
  <c r="I149" i="1"/>
  <c r="C184" i="1"/>
  <c r="E149" i="1"/>
  <c r="J148" i="1"/>
  <c r="J178" i="1" s="1"/>
  <c r="J149" i="1"/>
  <c r="J174" i="1" s="1"/>
  <c r="J175" i="1" s="1"/>
  <c r="J180" i="1" s="1"/>
  <c r="D149" i="1"/>
  <c r="H41" i="1"/>
  <c r="H44" i="1" s="1"/>
  <c r="H47" i="1" s="1"/>
  <c r="H55" i="1" s="1"/>
  <c r="J38" i="1"/>
  <c r="K36" i="1"/>
  <c r="E174" i="1" l="1"/>
  <c r="E144" i="1"/>
  <c r="G174" i="1"/>
  <c r="G144" i="1"/>
  <c r="J58" i="1"/>
  <c r="J60" i="1" s="1"/>
  <c r="J64" i="1" s="1"/>
  <c r="J70" i="1" s="1"/>
  <c r="J41" i="1"/>
  <c r="J44" i="1" s="1"/>
  <c r="J47" i="1" s="1"/>
  <c r="J55" i="1" s="1"/>
  <c r="I174" i="1"/>
  <c r="I144" i="1"/>
  <c r="I151" i="1" s="1"/>
  <c r="C155" i="1" s="1"/>
  <c r="F174" i="1"/>
  <c r="F144" i="1"/>
  <c r="K46" i="1"/>
  <c r="K62" i="1" s="1"/>
  <c r="K37" i="1"/>
  <c r="K38" i="1"/>
  <c r="E102" i="1"/>
  <c r="I102" i="1"/>
  <c r="I120" i="1" s="1"/>
  <c r="I121" i="1" s="1"/>
  <c r="I124" i="1" s="1"/>
  <c r="D102" i="1"/>
  <c r="H102" i="1"/>
  <c r="G102" i="1"/>
  <c r="F102" i="1"/>
  <c r="D144" i="1"/>
  <c r="D174" i="1"/>
  <c r="H174" i="1"/>
  <c r="H144" i="1"/>
  <c r="C77" i="1"/>
  <c r="C83" i="1" l="1"/>
  <c r="D80" i="1" s="1"/>
  <c r="C85" i="1"/>
  <c r="D96" i="1"/>
  <c r="D104" i="1"/>
  <c r="D120" i="1"/>
  <c r="K58" i="1"/>
  <c r="K60" i="1" s="1"/>
  <c r="K64" i="1" s="1"/>
  <c r="K70" i="1" s="1"/>
  <c r="K41" i="1"/>
  <c r="K44" i="1" s="1"/>
  <c r="K47" i="1" s="1"/>
  <c r="K55" i="1" s="1"/>
  <c r="G120" i="1"/>
  <c r="G96" i="1"/>
  <c r="G104" i="1"/>
  <c r="G113" i="1" s="1"/>
  <c r="H156" i="1"/>
  <c r="G156" i="1"/>
  <c r="F156" i="1"/>
  <c r="I156" i="1"/>
  <c r="I173" i="1" s="1"/>
  <c r="I175" i="1" s="1"/>
  <c r="I180" i="1" s="1"/>
  <c r="E156" i="1"/>
  <c r="C183" i="1"/>
  <c r="D156" i="1"/>
  <c r="I155" i="1"/>
  <c r="I177" i="1" s="1"/>
  <c r="E104" i="1"/>
  <c r="E113" i="1" s="1"/>
  <c r="E120" i="1"/>
  <c r="E96" i="1"/>
  <c r="F120" i="1"/>
  <c r="F96" i="1"/>
  <c r="F104" i="1"/>
  <c r="F113" i="1" s="1"/>
  <c r="H120" i="1"/>
  <c r="H104" i="1"/>
  <c r="H113" i="1" s="1"/>
  <c r="H96" i="1"/>
  <c r="E173" i="1" l="1"/>
  <c r="E151" i="1"/>
  <c r="E158" i="1" s="1"/>
  <c r="E166" i="1" s="1"/>
  <c r="G173" i="1"/>
  <c r="G151" i="1"/>
  <c r="G158" i="1" s="1"/>
  <c r="G166" i="1" s="1"/>
  <c r="F173" i="1"/>
  <c r="F151" i="1"/>
  <c r="F158" i="1" s="1"/>
  <c r="F166" i="1" s="1"/>
  <c r="D113" i="1"/>
  <c r="C109" i="1"/>
  <c r="H173" i="1"/>
  <c r="H151" i="1"/>
  <c r="H158" i="1" s="1"/>
  <c r="H166" i="1" s="1"/>
  <c r="D151" i="1"/>
  <c r="D158" i="1" s="1"/>
  <c r="D173" i="1"/>
  <c r="D81" i="1"/>
  <c r="D83" i="1" s="1"/>
  <c r="E80" i="1" s="1"/>
  <c r="E81" i="1" l="1"/>
  <c r="E83" i="1"/>
  <c r="F80" i="1" s="1"/>
  <c r="C126" i="1"/>
  <c r="C127" i="1" s="1"/>
  <c r="C128" i="1" s="1"/>
  <c r="C114" i="1"/>
  <c r="D111" i="1" s="1"/>
  <c r="D166" i="1"/>
  <c r="C162" i="1"/>
  <c r="C167" i="1" l="1"/>
  <c r="C182" i="1"/>
  <c r="C186" i="1" s="1"/>
  <c r="C187" i="1" s="1"/>
  <c r="D112" i="1"/>
  <c r="D119" i="1" s="1"/>
  <c r="D121" i="1" s="1"/>
  <c r="F81" i="1"/>
  <c r="F83" i="1"/>
  <c r="G80" i="1" s="1"/>
  <c r="G81" i="1" l="1"/>
  <c r="G83" i="1" s="1"/>
  <c r="H80" i="1" s="1"/>
  <c r="D114" i="1"/>
  <c r="D164" i="1"/>
  <c r="H81" i="1" l="1"/>
  <c r="H83" i="1"/>
  <c r="D165" i="1"/>
  <c r="D172" i="1" s="1"/>
  <c r="D175" i="1" s="1"/>
  <c r="E111" i="1"/>
  <c r="D116" i="1"/>
  <c r="D122" i="1" s="1"/>
  <c r="D124" i="1" s="1"/>
  <c r="E112" i="1" l="1"/>
  <c r="E119" i="1" s="1"/>
  <c r="E121" i="1" s="1"/>
  <c r="D167" i="1"/>
  <c r="E164" i="1" l="1"/>
  <c r="D169" i="1"/>
  <c r="D176" i="1" s="1"/>
  <c r="D180" i="1" s="1"/>
  <c r="E114" i="1"/>
  <c r="F111" i="1" l="1"/>
  <c r="E116" i="1"/>
  <c r="E122" i="1" s="1"/>
  <c r="E124" i="1" s="1"/>
  <c r="E165" i="1"/>
  <c r="E172" i="1" s="1"/>
  <c r="E175" i="1" s="1"/>
  <c r="E167" i="1" l="1"/>
  <c r="F112" i="1"/>
  <c r="F119" i="1" s="1"/>
  <c r="F121" i="1" s="1"/>
  <c r="F114" i="1" l="1"/>
  <c r="F164" i="1"/>
  <c r="E169" i="1"/>
  <c r="E176" i="1" s="1"/>
  <c r="E180" i="1" s="1"/>
  <c r="F165" i="1" l="1"/>
  <c r="F172" i="1" s="1"/>
  <c r="F175" i="1" s="1"/>
  <c r="G111" i="1"/>
  <c r="F116" i="1"/>
  <c r="F122" i="1" s="1"/>
  <c r="F124" i="1" s="1"/>
  <c r="G112" i="1" l="1"/>
  <c r="G119" i="1" s="1"/>
  <c r="G121" i="1" s="1"/>
  <c r="F167" i="1"/>
  <c r="G164" i="1" l="1"/>
  <c r="F169" i="1"/>
  <c r="F176" i="1" s="1"/>
  <c r="F180" i="1" s="1"/>
  <c r="G114" i="1"/>
  <c r="H111" i="1" l="1"/>
  <c r="G116" i="1"/>
  <c r="G122" i="1" s="1"/>
  <c r="G124" i="1" s="1"/>
  <c r="G165" i="1"/>
  <c r="G172" i="1" s="1"/>
  <c r="G175" i="1" s="1"/>
  <c r="G167" i="1"/>
  <c r="H164" i="1" l="1"/>
  <c r="G169" i="1"/>
  <c r="G176" i="1" s="1"/>
  <c r="G180" i="1"/>
  <c r="H112" i="1"/>
  <c r="H119" i="1" s="1"/>
  <c r="H121" i="1" s="1"/>
  <c r="H114" i="1"/>
  <c r="H116" i="1" s="1"/>
  <c r="H122" i="1" s="1"/>
  <c r="H124" i="1" l="1"/>
  <c r="H165" i="1"/>
  <c r="H172" i="1" s="1"/>
  <c r="H175" i="1" s="1"/>
  <c r="H167" i="1" l="1"/>
  <c r="H169" i="1" s="1"/>
  <c r="H176" i="1" s="1"/>
  <c r="H180" i="1" s="1"/>
</calcChain>
</file>

<file path=xl/sharedStrings.xml><?xml version="1.0" encoding="utf-8"?>
<sst xmlns="http://schemas.openxmlformats.org/spreadsheetml/2006/main" count="201" uniqueCount="110">
  <si>
    <t>Workout Information</t>
  </si>
  <si>
    <t>Workout 1</t>
  </si>
  <si>
    <t>Income statement excerpt</t>
  </si>
  <si>
    <t>Year 0</t>
  </si>
  <si>
    <t>Year 1</t>
  </si>
  <si>
    <t>Year 2</t>
  </si>
  <si>
    <t>Year 3</t>
  </si>
  <si>
    <t>Year 4</t>
  </si>
  <si>
    <t>Year 5</t>
  </si>
  <si>
    <t>Sales</t>
  </si>
  <si>
    <t>Operating expenses</t>
  </si>
  <si>
    <t>Operating profit</t>
  </si>
  <si>
    <t>Cash flow statement excerpt</t>
  </si>
  <si>
    <t>Net income</t>
  </si>
  <si>
    <t>Depreciation and amortization</t>
  </si>
  <si>
    <t>Decrease/(increase) in operating working capital</t>
  </si>
  <si>
    <t>Capex</t>
  </si>
  <si>
    <t>Debt capacity using a Debt/EBITDA multiple</t>
  </si>
  <si>
    <t>Maximum LTM Debt/EBITDA multiple</t>
  </si>
  <si>
    <t>EBITDA</t>
  </si>
  <si>
    <t>Debt capacity</t>
  </si>
  <si>
    <t>Debt capacity using an interest cover multiple</t>
  </si>
  <si>
    <t>EBITDA/interest expense</t>
  </si>
  <si>
    <t>Current interest rate</t>
  </si>
  <si>
    <t>Maximum interest expense</t>
  </si>
  <si>
    <t>Workout 2</t>
  </si>
  <si>
    <t>Income statement</t>
  </si>
  <si>
    <t>Year 6</t>
  </si>
  <si>
    <t>Year 7</t>
  </si>
  <si>
    <t>Year 8</t>
  </si>
  <si>
    <t>Interest expense</t>
  </si>
  <si>
    <t>Tax expense</t>
  </si>
  <si>
    <t>Cash flow statement</t>
  </si>
  <si>
    <t>Operating cash flow</t>
  </si>
  <si>
    <t>Investing cash flow</t>
  </si>
  <si>
    <t>Dividends</t>
  </si>
  <si>
    <t>Financing cash flow</t>
  </si>
  <si>
    <t>Net cash flow</t>
  </si>
  <si>
    <t>Cash flows available for debt service</t>
  </si>
  <si>
    <t>Effective tax rate</t>
  </si>
  <si>
    <t>NOPAT</t>
  </si>
  <si>
    <t>Workout 3</t>
  </si>
  <si>
    <t>Effective tax rate is equivalent to marginal tax rate.</t>
  </si>
  <si>
    <t>Cash flows available for term loan A</t>
  </si>
  <si>
    <t>Interest rate on term A pre tax</t>
  </si>
  <si>
    <t>Marginal tax rate</t>
  </si>
  <si>
    <t>Interest rate post tax</t>
  </si>
  <si>
    <t>Term A principal</t>
  </si>
  <si>
    <t>Term loan A amortization schedule</t>
  </si>
  <si>
    <t>Beginning balance</t>
  </si>
  <si>
    <t>Interest (on beginning balance)</t>
  </si>
  <si>
    <t>Cash payment</t>
  </si>
  <si>
    <t>Ending balance</t>
  </si>
  <si>
    <t>Cash flow based debt capacity</t>
  </si>
  <si>
    <t>Workout 4</t>
  </si>
  <si>
    <t xml:space="preserve"> for 6 year bullet repayment term loan B at pre-tax cash interest rate of 7%.</t>
  </si>
  <si>
    <t>Cash flows available for term loan B</t>
  </si>
  <si>
    <t>Interest rate on term B pre tax</t>
  </si>
  <si>
    <t>Term B principal</t>
  </si>
  <si>
    <t>Term B interest</t>
  </si>
  <si>
    <t>Principal repayment</t>
  </si>
  <si>
    <t>Free cash flows</t>
  </si>
  <si>
    <t>Interest on tranche A</t>
  </si>
  <si>
    <t>Interest on tranche B</t>
  </si>
  <si>
    <t>Cash flows available for debt repayment</t>
  </si>
  <si>
    <t>Principal repayment of tranche A</t>
  </si>
  <si>
    <t>Principal repayment of tranche B</t>
  </si>
  <si>
    <t>Total debt raised</t>
  </si>
  <si>
    <t>Debt / EBITDA multiple</t>
  </si>
  <si>
    <t>Workout 5</t>
  </si>
  <si>
    <t>and a pre tax 10% PIK (paid in kind) 8 year maturity bullet repayment note.</t>
  </si>
  <si>
    <t>Cash flows available for PIK note</t>
  </si>
  <si>
    <t>Interest rate on PIK note pre tax</t>
  </si>
  <si>
    <t>PIK note principal</t>
  </si>
  <si>
    <t>Cash flows available for term loan C</t>
  </si>
  <si>
    <t>Interest rate on term C pre tax</t>
  </si>
  <si>
    <t>Term C principal</t>
  </si>
  <si>
    <t>Term C interest</t>
  </si>
  <si>
    <t>Term A beginning balance</t>
  </si>
  <si>
    <t>Accrued interest</t>
  </si>
  <si>
    <t xml:space="preserve">Cash payment </t>
  </si>
  <si>
    <t>Term A ending balance</t>
  </si>
  <si>
    <t>Interest on term A</t>
  </si>
  <si>
    <t>Interest on term B</t>
  </si>
  <si>
    <t>Interest on term C</t>
  </si>
  <si>
    <t>Term A principal repayment</t>
  </si>
  <si>
    <t>Term B principal repayment</t>
  </si>
  <si>
    <t>Term C principal repayment</t>
  </si>
  <si>
    <t>PIK note repayment</t>
  </si>
  <si>
    <t>Term A</t>
  </si>
  <si>
    <t>Term B</t>
  </si>
  <si>
    <t>Term C</t>
  </si>
  <si>
    <t>PIK note</t>
  </si>
  <si>
    <t>Debt / LTM EBITDA multiple</t>
  </si>
  <si>
    <t>End</t>
  </si>
  <si>
    <t>Formatting</t>
  </si>
  <si>
    <t>Input</t>
  </si>
  <si>
    <t>Hard coded</t>
  </si>
  <si>
    <t>Formulas</t>
  </si>
  <si>
    <t>Features</t>
  </si>
  <si>
    <t>◦</t>
  </si>
  <si>
    <t>Calculate debt capacity based on multiples</t>
  </si>
  <si>
    <t>Calculate cash flow available for debt repayment</t>
  </si>
  <si>
    <t>Calculate debt capacity based on cash flows</t>
  </si>
  <si>
    <t>Debt tranching</t>
  </si>
  <si>
    <t>Establish debt capacity on the basis of LTM Debt/EBITDA multiple and Year 1 interest cover ratio for Company Plc.</t>
  </si>
  <si>
    <t>Calculate cash flows available for debt service for Company Plc for years 0 through 8.</t>
  </si>
  <si>
    <t xml:space="preserve">Establish cash flow based debt capacity for Company Plc.  Banks are currently willing to lend an amortizing five year term loan A at 6% pre tax cash interest. </t>
  </si>
  <si>
    <t>Now assume that the bank is also willing to extend the lending</t>
  </si>
  <si>
    <t xml:space="preserve">Now assume that the bank is also willing to extend the lending for 7 year bullet repayment term C loan at pre tax cash interest rate of 8%,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</si>
</sst>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_);\(#,##0.0\)\,0.0_);@_)"/>
    <numFmt numFmtId="165" formatCode="#,##0.0_);\(#,##0.0\);0.0_);@_)"/>
    <numFmt numFmtId="166" formatCode="[$-409]d\-mmm\-yy;@"/>
    <numFmt numFmtId="167" formatCode="#,##0.0\ \x_);\(#,##0.0\ \x\);"/>
    <numFmt numFmtId="168" formatCode="0.0%_);\(0.0%\)"/>
    <numFmt numFmtId="169" formatCode="0.0%"/>
  </numFmts>
  <fonts count="18" x14ac:knownFonts="1">
    <font>
      <sz val="11"/>
      <color theme="1" tint="0.24994659260841701"/>
      <name val="Aptos Narrow"/>
      <family val="2"/>
      <scheme val="minor"/>
    </font>
    <font>
      <sz val="22"/>
      <color theme="0"/>
      <name val="Aptos Display"/>
      <family val="2"/>
      <scheme val="major"/>
    </font>
    <font>
      <sz val="18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0"/>
      <name val="Aptos Display"/>
      <family val="2"/>
      <scheme val="major"/>
    </font>
    <font>
      <sz val="14"/>
      <color theme="0"/>
      <name val="Aptos Narrow"/>
      <family val="2"/>
      <scheme val="minor"/>
    </font>
    <font>
      <sz val="9"/>
      <color theme="0"/>
      <name val="Aptos Narrow"/>
      <family val="2"/>
      <scheme val="minor"/>
    </font>
    <font>
      <b/>
      <sz val="12"/>
      <color rgb="FF163260"/>
      <name val="Aptos Narrow"/>
      <family val="2"/>
      <scheme val="minor"/>
    </font>
    <font>
      <sz val="11"/>
      <color rgb="FF085393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85393"/>
      <name val="Aptos Narrow"/>
      <family val="2"/>
      <scheme val="minor"/>
    </font>
    <font>
      <b/>
      <sz val="11"/>
      <color theme="1" tint="0.24994659260841701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b/>
      <sz val="12"/>
      <color rgb="FF163260"/>
      <name val="Calibri"/>
      <family val="2"/>
    </font>
    <font>
      <sz val="11"/>
      <color rgb="FF085393"/>
      <name val="Calibri"/>
      <family val="2"/>
    </font>
    <font>
      <sz val="11"/>
      <color rgb="FF40404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rgb="FFF0F8F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rgb="FF163260"/>
      </left>
      <right style="thin">
        <color rgb="FF163260"/>
      </right>
      <top style="thin">
        <color rgb="FF163260"/>
      </top>
      <bottom style="thin">
        <color rgb="FF163260"/>
      </bottom>
      <diagonal/>
    </border>
    <border>
      <left/>
      <right/>
      <top/>
      <bottom style="medium">
        <color theme="0" tint="-0.14996795556505021"/>
      </bottom>
      <diagonal/>
    </border>
    <border>
      <left/>
      <right/>
      <top/>
      <bottom style="medium">
        <color rgb="FFD9D9D9"/>
      </bottom>
      <diagonal/>
    </border>
  </borders>
  <cellStyleXfs count="13">
    <xf numFmtId="165" fontId="0" fillId="0" borderId="0"/>
    <xf numFmtId="168" fontId="11" fillId="2" borderId="0" applyFont="0" applyFill="0" applyBorder="0" applyAlignment="0" applyProtection="0"/>
    <xf numFmtId="167" fontId="9" fillId="4" borderId="1" applyNumberFormat="0">
      <protection locked="0"/>
    </xf>
    <xf numFmtId="0" fontId="1" fillId="2" borderId="0" applyNumberFormat="0">
      <alignment horizontal="left"/>
    </xf>
    <xf numFmtId="164" fontId="3" fillId="2" borderId="0">
      <alignment horizontal="center"/>
    </xf>
    <xf numFmtId="0" fontId="4" fillId="3" borderId="0" applyNumberFormat="0" applyAlignment="0">
      <alignment horizontal="left"/>
    </xf>
    <xf numFmtId="166" fontId="6" fillId="3" borderId="0">
      <alignment horizontal="center"/>
    </xf>
    <xf numFmtId="0" fontId="7" fillId="0" borderId="0" applyNumberFormat="0" applyFill="0" applyBorder="0">
      <alignment horizontal="left" vertical="center"/>
    </xf>
    <xf numFmtId="164" fontId="8" fillId="0" borderId="0">
      <alignment vertical="top"/>
    </xf>
    <xf numFmtId="164" fontId="9" fillId="2" borderId="0" applyNumberFormat="0" applyFill="0" applyBorder="0" applyAlignment="0" applyProtection="0"/>
    <xf numFmtId="167" fontId="10" fillId="0" borderId="0" applyFont="0" applyFill="0" applyBorder="0" applyAlignment="0" applyProtection="0"/>
    <xf numFmtId="0" fontId="14" fillId="5" borderId="0" applyNumberFormat="0" applyFont="0" applyAlignment="0" applyProtection="0">
      <alignment vertical="top"/>
    </xf>
    <xf numFmtId="0" fontId="14" fillId="5" borderId="2" applyFont="0" applyAlignment="0" applyProtection="0">
      <alignment vertical="top"/>
    </xf>
  </cellStyleXfs>
  <cellXfs count="33">
    <xf numFmtId="165" fontId="0" fillId="0" borderId="0" xfId="0"/>
    <xf numFmtId="164" fontId="1" fillId="2" borderId="0" xfId="3" applyNumberFormat="1" applyAlignment="1"/>
    <xf numFmtId="165" fontId="2" fillId="2" borderId="0" xfId="0" applyFont="1" applyFill="1" applyAlignment="1">
      <alignment vertical="center"/>
    </xf>
    <xf numFmtId="164" fontId="3" fillId="2" borderId="0" xfId="4">
      <alignment horizontal="center"/>
    </xf>
    <xf numFmtId="165" fontId="2" fillId="0" borderId="0" xfId="0" applyFont="1" applyAlignment="1">
      <alignment vertical="center"/>
    </xf>
    <xf numFmtId="164" fontId="4" fillId="3" borderId="0" xfId="5" applyNumberFormat="1" applyAlignment="1"/>
    <xf numFmtId="165" fontId="5" fillId="3" borderId="0" xfId="0" applyFont="1" applyFill="1"/>
    <xf numFmtId="166" fontId="6" fillId="3" borderId="0" xfId="6">
      <alignment horizontal="center"/>
    </xf>
    <xf numFmtId="165" fontId="5" fillId="0" borderId="0" xfId="0" applyFont="1"/>
    <xf numFmtId="164" fontId="7" fillId="0" borderId="0" xfId="7" applyNumberFormat="1">
      <alignment horizontal="left" vertical="center"/>
    </xf>
    <xf numFmtId="164" fontId="8" fillId="0" borderId="0" xfId="8">
      <alignment vertical="top"/>
    </xf>
    <xf numFmtId="165" fontId="9" fillId="0" borderId="0" xfId="9" applyNumberFormat="1" applyFill="1"/>
    <xf numFmtId="165" fontId="7" fillId="0" borderId="0" xfId="7" applyNumberFormat="1" applyFill="1">
      <alignment horizontal="left" vertical="center"/>
    </xf>
    <xf numFmtId="167" fontId="9" fillId="4" borderId="1" xfId="10" applyFont="1" applyFill="1" applyBorder="1" applyProtection="1">
      <protection locked="0"/>
    </xf>
    <xf numFmtId="168" fontId="9" fillId="4" borderId="1" xfId="1" applyFont="1" applyFill="1" applyBorder="1" applyProtection="1">
      <protection locked="0"/>
    </xf>
    <xf numFmtId="169" fontId="9" fillId="0" borderId="0" xfId="9" applyNumberFormat="1" applyFill="1"/>
    <xf numFmtId="169" fontId="0" fillId="0" borderId="0" xfId="0" applyNumberFormat="1"/>
    <xf numFmtId="164" fontId="12" fillId="0" borderId="0" xfId="8" applyFont="1">
      <alignment vertical="top"/>
    </xf>
    <xf numFmtId="168" fontId="9" fillId="4" borderId="1" xfId="2" applyNumberFormat="1">
      <protection locked="0"/>
    </xf>
    <xf numFmtId="168" fontId="0" fillId="0" borderId="0" xfId="1" applyFont="1" applyFill="1"/>
    <xf numFmtId="167" fontId="0" fillId="0" borderId="0" xfId="10" applyFont="1"/>
    <xf numFmtId="165" fontId="13" fillId="0" borderId="0" xfId="0" applyFont="1"/>
    <xf numFmtId="15" fontId="8" fillId="0" borderId="0" xfId="8" applyNumberFormat="1">
      <alignment vertical="top"/>
    </xf>
    <xf numFmtId="164" fontId="9" fillId="4" borderId="1" xfId="2" applyNumberFormat="1">
      <protection locked="0"/>
    </xf>
    <xf numFmtId="164" fontId="9" fillId="0" borderId="0" xfId="9" applyFill="1" applyBorder="1" applyAlignment="1">
      <alignment vertical="top"/>
    </xf>
    <xf numFmtId="165" fontId="7" fillId="5" borderId="0" xfId="0" applyFont="1" applyFill="1" applyAlignment="1">
      <alignment horizontal="left" vertical="center"/>
    </xf>
    <xf numFmtId="165" fontId="15" fillId="6" borderId="0" xfId="0" applyFont="1" applyFill="1" applyAlignment="1">
      <alignment horizontal="left" vertical="center"/>
    </xf>
    <xf numFmtId="165" fontId="16" fillId="6" borderId="0" xfId="0" applyFont="1" applyFill="1" applyAlignment="1">
      <alignment horizontal="center" vertical="top"/>
    </xf>
    <xf numFmtId="164" fontId="17" fillId="6" borderId="0" xfId="11" applyNumberFormat="1" applyFont="1" applyFill="1" applyAlignment="1">
      <alignment horizontal="left"/>
    </xf>
    <xf numFmtId="165" fontId="17" fillId="6" borderId="0" xfId="0" applyFont="1" applyFill="1" applyAlignment="1">
      <alignment vertical="top"/>
    </xf>
    <xf numFmtId="164" fontId="17" fillId="6" borderId="0" xfId="11" applyNumberFormat="1" applyFont="1" applyFill="1" applyAlignment="1">
      <alignment vertical="top"/>
    </xf>
    <xf numFmtId="164" fontId="17" fillId="6" borderId="0" xfId="11" applyNumberFormat="1" applyFont="1" applyFill="1" applyAlignment="1"/>
    <xf numFmtId="0" fontId="17" fillId="6" borderId="3" xfId="12" applyFont="1" applyFill="1" applyBorder="1" applyAlignment="1"/>
  </cellXfs>
  <cellStyles count="13">
    <cellStyle name="Background Fill" xfId="11" xr:uid="{D31F7C85-32A2-BE4F-9196-BA93669959F9}"/>
    <cellStyle name="BG Border" xfId="12" xr:uid="{020C1E53-5C11-7F49-8B9F-9792A02A2DA6}"/>
    <cellStyle name="Date Heading" xfId="6" xr:uid="{0EBB1EFD-2C8E-594D-9825-2F81E2D6E279}"/>
    <cellStyle name="Hard Coded Number" xfId="9" xr:uid="{FD190BC1-81EB-0D47-9D27-D077D798E661}"/>
    <cellStyle name="Hist Proj Title" xfId="4" xr:uid="{BB16C6CC-438B-C14F-8094-6B0844A1D270}"/>
    <cellStyle name="Input" xfId="2" builtinId="20"/>
    <cellStyle name="Multiple" xfId="10" xr:uid="{670E942D-72FA-B349-9908-3367E77D473D}"/>
    <cellStyle name="Normal" xfId="0" builtinId="0"/>
    <cellStyle name="Percent" xfId="1" builtinId="5"/>
    <cellStyle name="Primary Title" xfId="3" xr:uid="{EB0B7F86-0065-F742-9017-4E142337F446}"/>
    <cellStyle name="Row Label" xfId="8" xr:uid="{AB2F082D-8109-CF4A-91A9-E671781F0083}"/>
    <cellStyle name="Secondary Title" xfId="5" xr:uid="{63E2E095-B58D-094A-95A1-AEDEEA6837FA}"/>
    <cellStyle name="Tertiary Title" xfId="7" xr:uid="{33207BE7-513E-2C4D-A7C8-CF161A5E2A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esmondmanuel/Desktop/Chaos%20::%20Order/A%20Tradddeeerrrrrrrr/FinEdge%20-%20Models/Acquisition-Financing-Workout-Full-tarjeeyg.xlsx" TargetMode="External"/><Relationship Id="rId1" Type="http://schemas.openxmlformats.org/officeDocument/2006/relationships/externalLinkPath" Target="/Users/desmondmanuel/Desktop/Chaos%20::%20Order/A%20Tradddeeerrrrrrrr/FinEdge%20-%20Models/Acquisition-Financing-Workout-Full-tarjeey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lcome"/>
      <sheetName val="Info"/>
      <sheetName val="Workout"/>
    </sheetNames>
    <sheetDataSet>
      <sheetData sheetId="0">
        <row r="2">
          <cell r="A2" t="str">
            <v>Acquisition Financing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C25C-2D0B-0140-B0E1-05F87585F802}">
  <dimension ref="A2:H14"/>
  <sheetViews>
    <sheetView zoomScale="164" workbookViewId="0">
      <selection activeCell="B4" sqref="B4"/>
    </sheetView>
  </sheetViews>
  <sheetFormatPr baseColWidth="10" defaultRowHeight="15" x14ac:dyDescent="0.2"/>
  <sheetData>
    <row r="2" spans="1:8" ht="16" x14ac:dyDescent="0.2">
      <c r="A2" s="25" t="s">
        <v>95</v>
      </c>
    </row>
    <row r="3" spans="1:8" x14ac:dyDescent="0.2">
      <c r="A3" s="23" t="s">
        <v>96</v>
      </c>
    </row>
    <row r="4" spans="1:8" x14ac:dyDescent="0.2">
      <c r="A4" s="24" t="s">
        <v>97</v>
      </c>
    </row>
    <row r="5" spans="1:8" x14ac:dyDescent="0.2">
      <c r="A5" t="s">
        <v>98</v>
      </c>
    </row>
    <row r="7" spans="1:8" ht="16" x14ac:dyDescent="0.2">
      <c r="A7" s="26" t="s">
        <v>99</v>
      </c>
      <c r="B7" s="26"/>
      <c r="C7" s="26"/>
      <c r="D7" s="26"/>
      <c r="E7" s="26"/>
      <c r="F7" s="26"/>
      <c r="G7" s="26"/>
      <c r="H7" s="26"/>
    </row>
    <row r="8" spans="1:8" x14ac:dyDescent="0.2">
      <c r="A8" s="27" t="s">
        <v>100</v>
      </c>
      <c r="B8" s="28" t="s">
        <v>101</v>
      </c>
      <c r="C8" s="29"/>
      <c r="D8" s="29"/>
      <c r="E8" s="29"/>
      <c r="F8" s="29"/>
      <c r="G8" s="29"/>
      <c r="H8" s="29"/>
    </row>
    <row r="9" spans="1:8" x14ac:dyDescent="0.2">
      <c r="A9" s="27" t="s">
        <v>100</v>
      </c>
      <c r="B9" s="28" t="s">
        <v>102</v>
      </c>
      <c r="C9" s="29"/>
      <c r="D9" s="29"/>
      <c r="E9" s="29"/>
      <c r="F9" s="29"/>
      <c r="G9" s="29"/>
      <c r="H9" s="29"/>
    </row>
    <row r="10" spans="1:8" x14ac:dyDescent="0.2">
      <c r="A10" s="27" t="s">
        <v>100</v>
      </c>
      <c r="B10" s="28" t="s">
        <v>103</v>
      </c>
      <c r="C10" s="29"/>
      <c r="D10" s="29"/>
      <c r="E10" s="29"/>
      <c r="F10" s="29"/>
      <c r="G10" s="29"/>
      <c r="H10" s="29"/>
    </row>
    <row r="11" spans="1:8" x14ac:dyDescent="0.2">
      <c r="A11" s="27" t="s">
        <v>100</v>
      </c>
      <c r="B11" s="28" t="s">
        <v>104</v>
      </c>
      <c r="C11" s="29"/>
      <c r="D11" s="29"/>
      <c r="E11" s="29"/>
      <c r="F11" s="29"/>
      <c r="G11" s="29"/>
      <c r="H11" s="29"/>
    </row>
    <row r="12" spans="1:8" x14ac:dyDescent="0.2">
      <c r="A12" s="27"/>
      <c r="B12" s="28"/>
      <c r="C12" s="30"/>
      <c r="D12" s="30"/>
      <c r="E12" s="30"/>
      <c r="F12" s="30"/>
      <c r="G12" s="30"/>
      <c r="H12" s="30"/>
    </row>
    <row r="13" spans="1:8" x14ac:dyDescent="0.2">
      <c r="A13" s="31"/>
      <c r="B13" s="31"/>
      <c r="C13" s="31"/>
      <c r="D13" s="31"/>
      <c r="E13" s="31"/>
      <c r="F13" s="31"/>
      <c r="G13" s="31"/>
      <c r="H13" s="31"/>
    </row>
    <row r="14" spans="1:8" ht="16" thickBot="1" x14ac:dyDescent="0.25">
      <c r="A14" s="32"/>
      <c r="B14" s="32"/>
      <c r="C14" s="32"/>
      <c r="D14" s="32"/>
      <c r="E14" s="32"/>
      <c r="F14" s="32"/>
      <c r="G14" s="32"/>
      <c r="H14" s="32"/>
    </row>
  </sheetData>
  <mergeCells count="1">
    <mergeCell ref="A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85E0-75DE-2A41-9826-A6A7BC981AC9}">
  <dimension ref="A1:L189"/>
  <sheetViews>
    <sheetView tabSelected="1" topLeftCell="A173" zoomScale="183" zoomScaleNormal="100" workbookViewId="0">
      <selection activeCell="B189" sqref="B189"/>
    </sheetView>
  </sheetViews>
  <sheetFormatPr baseColWidth="10" defaultColWidth="9.1640625" defaultRowHeight="15" customHeight="1" x14ac:dyDescent="0.2"/>
  <cols>
    <col min="1" max="1" width="1.5" style="9" customWidth="1"/>
    <col min="2" max="2" width="41.6640625" style="10" customWidth="1"/>
    <col min="3" max="10" width="11" customWidth="1"/>
    <col min="11" max="12" width="9.33203125" customWidth="1"/>
  </cols>
  <sheetData>
    <row r="1" spans="1:10" s="4" customFormat="1" ht="45" customHeight="1" x14ac:dyDescent="0.35">
      <c r="A1" s="1" t="str">
        <f>[1]Welcome!A2</f>
        <v>Acquisition Financing</v>
      </c>
      <c r="B1" s="2"/>
      <c r="C1" s="3"/>
      <c r="D1" s="3"/>
      <c r="E1" s="3"/>
      <c r="F1" s="3"/>
      <c r="G1" s="3"/>
      <c r="H1" s="3"/>
      <c r="I1" s="3"/>
      <c r="J1" s="3"/>
    </row>
    <row r="2" spans="1:10" s="8" customFormat="1" ht="30" customHeight="1" x14ac:dyDescent="0.25">
      <c r="A2" s="5" t="s">
        <v>0</v>
      </c>
      <c r="B2" s="6"/>
      <c r="C2" s="7"/>
      <c r="D2" s="7"/>
      <c r="E2" s="7"/>
      <c r="F2" s="7"/>
      <c r="G2" s="7"/>
      <c r="H2" s="7"/>
      <c r="I2" s="7"/>
      <c r="J2" s="7"/>
    </row>
    <row r="4" spans="1:10" ht="15" customHeight="1" x14ac:dyDescent="0.2">
      <c r="A4" s="9" t="s">
        <v>1</v>
      </c>
    </row>
    <row r="5" spans="1:10" ht="15" customHeight="1" x14ac:dyDescent="0.2">
      <c r="B5" s="10" t="s">
        <v>105</v>
      </c>
    </row>
    <row r="7" spans="1:10" ht="15" customHeight="1" x14ac:dyDescent="0.2">
      <c r="B7" s="10" t="s">
        <v>2</v>
      </c>
    </row>
    <row r="8" spans="1:10" ht="15" customHeight="1" x14ac:dyDescent="0.2"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10" ht="15" customHeight="1" x14ac:dyDescent="0.2">
      <c r="B9" s="10" t="s">
        <v>9</v>
      </c>
      <c r="C9" s="11">
        <v>2600</v>
      </c>
      <c r="D9" s="11">
        <v>2730</v>
      </c>
      <c r="E9" s="11">
        <v>2866.5</v>
      </c>
      <c r="F9" s="11">
        <v>3009.8250000000003</v>
      </c>
      <c r="G9" s="11">
        <v>3160.3162500000003</v>
      </c>
      <c r="H9" s="11">
        <v>3318.3320625000006</v>
      </c>
    </row>
    <row r="10" spans="1:10" ht="15" customHeight="1" x14ac:dyDescent="0.2">
      <c r="A10" s="12"/>
      <c r="B10" s="10" t="s">
        <v>10</v>
      </c>
      <c r="C10" s="11">
        <v>1950</v>
      </c>
      <c r="D10" s="11">
        <v>2047.5</v>
      </c>
      <c r="E10" s="11">
        <v>2149.875</v>
      </c>
      <c r="F10" s="11">
        <v>2257.3687500000001</v>
      </c>
      <c r="G10" s="11">
        <v>2370.2371875000003</v>
      </c>
      <c r="H10" s="11">
        <v>2488.7490468750002</v>
      </c>
    </row>
    <row r="11" spans="1:10" ht="15" customHeight="1" x14ac:dyDescent="0.2">
      <c r="B11" s="10" t="s">
        <v>11</v>
      </c>
      <c r="C11">
        <f t="shared" ref="C11:H11" si="0">C9-C10</f>
        <v>650</v>
      </c>
      <c r="D11">
        <f t="shared" si="0"/>
        <v>682.5</v>
      </c>
      <c r="E11">
        <f t="shared" si="0"/>
        <v>716.625</v>
      </c>
      <c r="F11">
        <f t="shared" si="0"/>
        <v>752.45625000000018</v>
      </c>
      <c r="G11">
        <f t="shared" si="0"/>
        <v>790.07906249999996</v>
      </c>
      <c r="H11">
        <f t="shared" si="0"/>
        <v>829.58301562500037</v>
      </c>
    </row>
    <row r="12" spans="1:10" ht="15" customHeight="1" x14ac:dyDescent="0.2">
      <c r="C12" s="11"/>
      <c r="D12" s="11"/>
      <c r="E12" s="11"/>
      <c r="F12" s="11"/>
      <c r="G12" s="11"/>
      <c r="H12" s="11"/>
    </row>
    <row r="13" spans="1:10" ht="15" customHeight="1" x14ac:dyDescent="0.2">
      <c r="B13" s="10" t="s">
        <v>12</v>
      </c>
      <c r="C13" s="11"/>
      <c r="D13" s="11"/>
      <c r="E13" s="11"/>
      <c r="F13" s="11"/>
      <c r="G13" s="11"/>
      <c r="H13" s="11"/>
    </row>
    <row r="14" spans="1:10" ht="15" customHeight="1" x14ac:dyDescent="0.2">
      <c r="B14" s="10" t="s">
        <v>13</v>
      </c>
      <c r="C14" s="11">
        <v>441</v>
      </c>
      <c r="D14" s="11">
        <v>460.25</v>
      </c>
      <c r="E14" s="11">
        <v>483.4375</v>
      </c>
      <c r="F14" s="11">
        <v>507.1193750000001</v>
      </c>
      <c r="G14" s="11">
        <v>532.05534375000002</v>
      </c>
      <c r="H14" s="11">
        <v>558.30811093750026</v>
      </c>
    </row>
    <row r="15" spans="1:10" ht="15" customHeight="1" x14ac:dyDescent="0.2">
      <c r="B15" s="10" t="s">
        <v>14</v>
      </c>
      <c r="C15" s="11">
        <v>100</v>
      </c>
      <c r="D15" s="11">
        <v>105</v>
      </c>
      <c r="E15" s="11">
        <v>110</v>
      </c>
      <c r="F15" s="11">
        <v>112</v>
      </c>
      <c r="G15" s="11">
        <v>114</v>
      </c>
      <c r="H15" s="11">
        <v>116</v>
      </c>
    </row>
    <row r="16" spans="1:10" ht="15" customHeight="1" x14ac:dyDescent="0.2">
      <c r="B16" s="10" t="s">
        <v>15</v>
      </c>
      <c r="C16" s="11">
        <v>-16.7</v>
      </c>
      <c r="D16" s="11">
        <v>-17.535</v>
      </c>
      <c r="E16" s="11">
        <v>-18.411750000000001</v>
      </c>
      <c r="F16" s="11">
        <v>-19.332337500000001</v>
      </c>
      <c r="G16" s="11">
        <v>-20.298954375000001</v>
      </c>
      <c r="H16" s="11">
        <v>-21.313902093750002</v>
      </c>
    </row>
    <row r="17" spans="1:8" ht="15" customHeight="1" x14ac:dyDescent="0.2">
      <c r="B17" s="10" t="s">
        <v>16</v>
      </c>
      <c r="C17" s="11">
        <v>-104</v>
      </c>
      <c r="D17" s="11">
        <v>-109.2</v>
      </c>
      <c r="E17" s="11">
        <v>-114.66</v>
      </c>
      <c r="F17" s="11">
        <v>-120.39300000000001</v>
      </c>
      <c r="G17" s="11">
        <v>-126.41265000000001</v>
      </c>
      <c r="H17" s="11">
        <v>-132.73328250000003</v>
      </c>
    </row>
    <row r="19" spans="1:8" ht="15" customHeight="1" x14ac:dyDescent="0.2">
      <c r="B19" s="10" t="s">
        <v>17</v>
      </c>
    </row>
    <row r="20" spans="1:8" ht="15" customHeight="1" x14ac:dyDescent="0.2">
      <c r="B20" s="10" t="s">
        <v>18</v>
      </c>
      <c r="C20" s="13">
        <v>5</v>
      </c>
    </row>
    <row r="21" spans="1:8" ht="15" customHeight="1" x14ac:dyDescent="0.2">
      <c r="B21" s="10" t="s">
        <v>19</v>
      </c>
      <c r="C21">
        <f>C11+C15</f>
        <v>750</v>
      </c>
    </row>
    <row r="22" spans="1:8" ht="15" customHeight="1" x14ac:dyDescent="0.2">
      <c r="B22" s="10" t="s">
        <v>20</v>
      </c>
      <c r="C22">
        <f>C21*C20</f>
        <v>3750</v>
      </c>
    </row>
    <row r="24" spans="1:8" ht="15" customHeight="1" x14ac:dyDescent="0.2">
      <c r="B24" s="10" t="s">
        <v>21</v>
      </c>
    </row>
    <row r="25" spans="1:8" ht="15" customHeight="1" x14ac:dyDescent="0.2">
      <c r="B25" s="10" t="s">
        <v>22</v>
      </c>
      <c r="D25" s="13">
        <v>3.5</v>
      </c>
    </row>
    <row r="26" spans="1:8" ht="15" customHeight="1" x14ac:dyDescent="0.2">
      <c r="B26" s="10" t="s">
        <v>23</v>
      </c>
      <c r="D26" s="14">
        <v>0.05</v>
      </c>
    </row>
    <row r="27" spans="1:8" ht="15" customHeight="1" x14ac:dyDescent="0.2">
      <c r="B27" s="10" t="s">
        <v>19</v>
      </c>
      <c r="D27">
        <f>D11+D15</f>
        <v>787.5</v>
      </c>
    </row>
    <row r="28" spans="1:8" ht="15" customHeight="1" x14ac:dyDescent="0.2">
      <c r="B28" s="10" t="s">
        <v>24</v>
      </c>
      <c r="D28">
        <f>D27/D25</f>
        <v>225</v>
      </c>
    </row>
    <row r="29" spans="1:8" ht="15" customHeight="1" x14ac:dyDescent="0.2">
      <c r="B29" s="10" t="s">
        <v>20</v>
      </c>
      <c r="D29">
        <f>D28/D26</f>
        <v>4500</v>
      </c>
    </row>
    <row r="31" spans="1:8" ht="15" customHeight="1" x14ac:dyDescent="0.2">
      <c r="A31" s="9" t="s">
        <v>25</v>
      </c>
    </row>
    <row r="32" spans="1:8" ht="15" customHeight="1" x14ac:dyDescent="0.2">
      <c r="B32" s="10" t="s">
        <v>106</v>
      </c>
    </row>
    <row r="34" spans="2:11" ht="15" customHeight="1" x14ac:dyDescent="0.2">
      <c r="B34" s="10" t="s">
        <v>26</v>
      </c>
    </row>
    <row r="35" spans="2:11" ht="15" customHeight="1" x14ac:dyDescent="0.2"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27</v>
      </c>
      <c r="J35" t="s">
        <v>28</v>
      </c>
      <c r="K35" t="s">
        <v>29</v>
      </c>
    </row>
    <row r="36" spans="2:11" ht="15" customHeight="1" x14ac:dyDescent="0.2">
      <c r="B36" s="10" t="s">
        <v>9</v>
      </c>
      <c r="C36" s="11">
        <v>2600</v>
      </c>
      <c r="D36" s="11">
        <v>2730</v>
      </c>
      <c r="E36" s="11">
        <v>2866.5</v>
      </c>
      <c r="F36" s="11">
        <v>3009.8250000000003</v>
      </c>
      <c r="G36" s="11">
        <v>3160.3162500000003</v>
      </c>
      <c r="H36" s="11">
        <v>3318.3320625000006</v>
      </c>
      <c r="I36" s="11">
        <f>H36*1.02</f>
        <v>3384.6987037500007</v>
      </c>
      <c r="J36" s="11">
        <f>I36*1.02</f>
        <v>3452.3926778250006</v>
      </c>
      <c r="K36" s="11">
        <f>J36*1.02</f>
        <v>3521.4405313815009</v>
      </c>
    </row>
    <row r="37" spans="2:11" ht="15" customHeight="1" x14ac:dyDescent="0.2">
      <c r="B37" s="10" t="s">
        <v>10</v>
      </c>
      <c r="C37" s="11">
        <v>1950</v>
      </c>
      <c r="D37" s="11">
        <v>2047.5</v>
      </c>
      <c r="E37" s="11">
        <v>2149.875</v>
      </c>
      <c r="F37" s="11">
        <v>2257.3687500000001</v>
      </c>
      <c r="G37" s="11">
        <v>2370.2371875000003</v>
      </c>
      <c r="H37" s="11">
        <v>2488.7490468750002</v>
      </c>
      <c r="I37" s="11">
        <f>I36*0.75</f>
        <v>2538.5240278125007</v>
      </c>
      <c r="J37" s="11">
        <f>J36*0.75</f>
        <v>2589.2945083687505</v>
      </c>
      <c r="K37" s="11">
        <f>K36*0.75</f>
        <v>2641.0803985361258</v>
      </c>
    </row>
    <row r="38" spans="2:11" ht="15" customHeight="1" x14ac:dyDescent="0.2">
      <c r="B38" s="10" t="s">
        <v>11</v>
      </c>
      <c r="C38">
        <f t="shared" ref="C38:K38" si="1">C36-C37</f>
        <v>650</v>
      </c>
      <c r="D38">
        <f t="shared" si="1"/>
        <v>682.5</v>
      </c>
      <c r="E38">
        <f t="shared" si="1"/>
        <v>716.625</v>
      </c>
      <c r="F38">
        <f t="shared" si="1"/>
        <v>752.45625000000018</v>
      </c>
      <c r="G38">
        <f t="shared" si="1"/>
        <v>790.07906249999996</v>
      </c>
      <c r="H38">
        <f t="shared" si="1"/>
        <v>829.58301562500037</v>
      </c>
      <c r="I38">
        <f t="shared" si="1"/>
        <v>846.17467593750007</v>
      </c>
      <c r="J38">
        <f t="shared" si="1"/>
        <v>863.09816945625016</v>
      </c>
      <c r="K38">
        <f t="shared" si="1"/>
        <v>880.36013284537512</v>
      </c>
    </row>
    <row r="39" spans="2:11" ht="15" customHeight="1" x14ac:dyDescent="0.2">
      <c r="B39" s="10" t="s">
        <v>30</v>
      </c>
      <c r="C39" s="11">
        <v>20</v>
      </c>
      <c r="D39" s="11">
        <v>25</v>
      </c>
      <c r="E39" s="11">
        <v>26</v>
      </c>
      <c r="F39" s="11">
        <v>28</v>
      </c>
      <c r="G39" s="11">
        <v>30</v>
      </c>
      <c r="H39" s="11">
        <v>32</v>
      </c>
      <c r="I39" s="11">
        <v>32</v>
      </c>
      <c r="J39" s="11">
        <v>32</v>
      </c>
      <c r="K39" s="11">
        <v>32</v>
      </c>
    </row>
    <row r="40" spans="2:11" ht="15" customHeight="1" x14ac:dyDescent="0.2">
      <c r="B40" s="10" t="s">
        <v>31</v>
      </c>
      <c r="C40" s="11">
        <v>189</v>
      </c>
      <c r="D40" s="11">
        <v>197.25</v>
      </c>
      <c r="E40" s="11">
        <v>207.1875</v>
      </c>
      <c r="F40" s="11">
        <v>217.33687500000005</v>
      </c>
      <c r="G40" s="11">
        <v>228.02371874999997</v>
      </c>
      <c r="H40" s="11">
        <v>239.27490468750011</v>
      </c>
      <c r="I40" s="11">
        <v>244.25240278125</v>
      </c>
      <c r="J40" s="11">
        <v>249.32945083687503</v>
      </c>
      <c r="K40" s="11">
        <v>254.50803985361253</v>
      </c>
    </row>
    <row r="41" spans="2:11" ht="15" customHeight="1" x14ac:dyDescent="0.2">
      <c r="B41" s="10" t="s">
        <v>13</v>
      </c>
      <c r="C41">
        <f t="shared" ref="C41:K41" si="2">C38-C39-C40</f>
        <v>441</v>
      </c>
      <c r="D41">
        <f t="shared" si="2"/>
        <v>460.25</v>
      </c>
      <c r="E41">
        <f t="shared" si="2"/>
        <v>483.4375</v>
      </c>
      <c r="F41">
        <f t="shared" si="2"/>
        <v>507.1193750000001</v>
      </c>
      <c r="G41">
        <f t="shared" si="2"/>
        <v>532.05534375000002</v>
      </c>
      <c r="H41">
        <f t="shared" si="2"/>
        <v>558.30811093750026</v>
      </c>
      <c r="I41">
        <f t="shared" si="2"/>
        <v>569.92227315625007</v>
      </c>
      <c r="J41">
        <f t="shared" si="2"/>
        <v>581.76871861937514</v>
      </c>
      <c r="K41">
        <f t="shared" si="2"/>
        <v>593.85209299176256</v>
      </c>
    </row>
    <row r="42" spans="2:11" ht="15" customHeight="1" x14ac:dyDescent="0.2">
      <c r="C42" s="11"/>
      <c r="D42" s="11"/>
      <c r="E42" s="11"/>
      <c r="F42" s="11"/>
      <c r="G42" s="11"/>
      <c r="H42" s="11"/>
    </row>
    <row r="43" spans="2:11" ht="15" customHeight="1" x14ac:dyDescent="0.2">
      <c r="B43" s="10" t="s">
        <v>32</v>
      </c>
      <c r="C43" s="11"/>
      <c r="D43" s="11"/>
      <c r="E43" s="11"/>
      <c r="F43" s="11"/>
      <c r="G43" s="11"/>
      <c r="H43" s="11"/>
    </row>
    <row r="44" spans="2:11" ht="15" customHeight="1" x14ac:dyDescent="0.2">
      <c r="B44" s="10" t="s">
        <v>13</v>
      </c>
      <c r="C44">
        <f>C41</f>
        <v>441</v>
      </c>
      <c r="D44">
        <f t="shared" ref="D44:K44" si="3">D41</f>
        <v>460.25</v>
      </c>
      <c r="E44">
        <f t="shared" si="3"/>
        <v>483.4375</v>
      </c>
      <c r="F44">
        <f t="shared" si="3"/>
        <v>507.1193750000001</v>
      </c>
      <c r="G44">
        <f t="shared" si="3"/>
        <v>532.05534375000002</v>
      </c>
      <c r="H44">
        <f t="shared" si="3"/>
        <v>558.30811093750026</v>
      </c>
      <c r="I44">
        <f t="shared" si="3"/>
        <v>569.92227315625007</v>
      </c>
      <c r="J44">
        <f t="shared" si="3"/>
        <v>581.76871861937514</v>
      </c>
      <c r="K44">
        <f t="shared" si="3"/>
        <v>593.85209299176256</v>
      </c>
    </row>
    <row r="45" spans="2:11" ht="15" customHeight="1" x14ac:dyDescent="0.2">
      <c r="B45" s="10" t="s">
        <v>14</v>
      </c>
      <c r="C45" s="11">
        <v>100</v>
      </c>
      <c r="D45" s="11">
        <v>105</v>
      </c>
      <c r="E45" s="11">
        <v>110</v>
      </c>
      <c r="F45" s="11">
        <v>112</v>
      </c>
      <c r="G45" s="11">
        <v>114</v>
      </c>
      <c r="H45" s="11">
        <v>116</v>
      </c>
      <c r="I45" s="11">
        <v>118</v>
      </c>
      <c r="J45" s="11">
        <v>120</v>
      </c>
      <c r="K45" s="11">
        <v>122</v>
      </c>
    </row>
    <row r="46" spans="2:11" ht="15" customHeight="1" x14ac:dyDescent="0.2">
      <c r="B46" s="10" t="s">
        <v>15</v>
      </c>
      <c r="C46" s="11">
        <v>-16.7</v>
      </c>
      <c r="D46" s="11">
        <v>-17.535</v>
      </c>
      <c r="E46" s="11">
        <v>-18.411750000000001</v>
      </c>
      <c r="F46" s="11">
        <v>-19.332337500000001</v>
      </c>
      <c r="G46" s="11">
        <v>-20.298954375000001</v>
      </c>
      <c r="H46" s="11">
        <v>-21.313902093750002</v>
      </c>
      <c r="I46" s="11">
        <f>-0.65%*I36</f>
        <v>-22.000541574375006</v>
      </c>
      <c r="J46" s="11">
        <f>-0.65%*J36</f>
        <v>-22.440552405862505</v>
      </c>
      <c r="K46" s="11">
        <f>-0.65%*K36</f>
        <v>-22.889363453979758</v>
      </c>
    </row>
    <row r="47" spans="2:11" ht="15" customHeight="1" x14ac:dyDescent="0.2">
      <c r="B47" s="10" t="s">
        <v>33</v>
      </c>
      <c r="C47">
        <f t="shared" ref="C47:K47" si="4">SUM(C44:C46)</f>
        <v>524.29999999999995</v>
      </c>
      <c r="D47">
        <f t="shared" si="4"/>
        <v>547.71500000000003</v>
      </c>
      <c r="E47">
        <f t="shared" si="4"/>
        <v>575.02575000000002</v>
      </c>
      <c r="F47">
        <f t="shared" si="4"/>
        <v>599.78703750000011</v>
      </c>
      <c r="G47">
        <f t="shared" si="4"/>
        <v>625.75638937500003</v>
      </c>
      <c r="H47">
        <f t="shared" si="4"/>
        <v>652.99420884375024</v>
      </c>
      <c r="I47">
        <f t="shared" si="4"/>
        <v>665.92173158187506</v>
      </c>
      <c r="J47">
        <f t="shared" si="4"/>
        <v>679.32816621351265</v>
      </c>
      <c r="K47">
        <f t="shared" si="4"/>
        <v>692.96272953778282</v>
      </c>
    </row>
    <row r="48" spans="2:11" ht="15" customHeight="1" x14ac:dyDescent="0.2">
      <c r="C48" s="11"/>
      <c r="D48" s="11"/>
      <c r="E48" s="11"/>
      <c r="F48" s="11"/>
      <c r="G48" s="11"/>
      <c r="H48" s="15"/>
      <c r="I48" s="11"/>
      <c r="J48" s="11"/>
      <c r="K48" s="11"/>
    </row>
    <row r="49" spans="2:11" ht="15" customHeight="1" x14ac:dyDescent="0.2">
      <c r="B49" s="10" t="s">
        <v>16</v>
      </c>
      <c r="C49" s="11">
        <v>-104</v>
      </c>
      <c r="D49" s="11">
        <v>-109.2</v>
      </c>
      <c r="E49" s="11">
        <v>-114.66</v>
      </c>
      <c r="F49" s="11">
        <v>-120.39300000000001</v>
      </c>
      <c r="G49" s="11">
        <v>-126.41265000000001</v>
      </c>
      <c r="H49" s="11">
        <v>-132.73328250000003</v>
      </c>
      <c r="I49" s="11">
        <v>-135.38794815000003</v>
      </c>
      <c r="J49" s="11">
        <v>-138.09570711300003</v>
      </c>
      <c r="K49" s="11">
        <v>-140.85762125526003</v>
      </c>
    </row>
    <row r="50" spans="2:11" ht="15" customHeight="1" x14ac:dyDescent="0.2">
      <c r="B50" s="10" t="s">
        <v>34</v>
      </c>
      <c r="C50">
        <f t="shared" ref="C50:K50" si="5">SUM(C49)</f>
        <v>-104</v>
      </c>
      <c r="D50">
        <f t="shared" si="5"/>
        <v>-109.2</v>
      </c>
      <c r="E50">
        <f t="shared" si="5"/>
        <v>-114.66</v>
      </c>
      <c r="F50">
        <f t="shared" si="5"/>
        <v>-120.39300000000001</v>
      </c>
      <c r="G50">
        <f t="shared" si="5"/>
        <v>-126.41265000000001</v>
      </c>
      <c r="H50">
        <f t="shared" si="5"/>
        <v>-132.73328250000003</v>
      </c>
      <c r="I50">
        <f t="shared" si="5"/>
        <v>-135.38794815000003</v>
      </c>
      <c r="J50">
        <f t="shared" si="5"/>
        <v>-138.09570711300003</v>
      </c>
      <c r="K50">
        <f t="shared" si="5"/>
        <v>-140.85762125526003</v>
      </c>
    </row>
    <row r="51" spans="2:11" ht="15" customHeight="1" x14ac:dyDescent="0.2">
      <c r="H51" s="16"/>
    </row>
    <row r="52" spans="2:11" ht="15" customHeight="1" x14ac:dyDescent="0.2">
      <c r="B52" s="10" t="s">
        <v>35</v>
      </c>
      <c r="C52" s="11">
        <v>-352.8</v>
      </c>
      <c r="D52" s="11">
        <v>-368.20000000000005</v>
      </c>
      <c r="E52" s="11">
        <v>-386.75</v>
      </c>
      <c r="F52" s="11">
        <v>-405.6955000000001</v>
      </c>
      <c r="G52" s="11">
        <v>-425.64427500000005</v>
      </c>
      <c r="H52" s="11">
        <v>-446.64648875000023</v>
      </c>
      <c r="I52" s="11">
        <v>-455.93781852500007</v>
      </c>
      <c r="J52" s="11">
        <v>-465.41497489550011</v>
      </c>
      <c r="K52" s="11">
        <v>-475.08167439341008</v>
      </c>
    </row>
    <row r="53" spans="2:11" ht="15" customHeight="1" x14ac:dyDescent="0.2">
      <c r="B53" s="10" t="s">
        <v>36</v>
      </c>
      <c r="C53">
        <f t="shared" ref="C53:K53" si="6">SUM(C52)</f>
        <v>-352.8</v>
      </c>
      <c r="D53">
        <f t="shared" si="6"/>
        <v>-368.20000000000005</v>
      </c>
      <c r="E53">
        <f t="shared" si="6"/>
        <v>-386.75</v>
      </c>
      <c r="F53">
        <f t="shared" si="6"/>
        <v>-405.6955000000001</v>
      </c>
      <c r="G53">
        <f t="shared" si="6"/>
        <v>-425.64427500000005</v>
      </c>
      <c r="H53">
        <f t="shared" si="6"/>
        <v>-446.64648875000023</v>
      </c>
      <c r="I53">
        <f t="shared" si="6"/>
        <v>-455.93781852500007</v>
      </c>
      <c r="J53">
        <f t="shared" si="6"/>
        <v>-465.41497489550011</v>
      </c>
      <c r="K53">
        <f t="shared" si="6"/>
        <v>-475.08167439341008</v>
      </c>
    </row>
    <row r="54" spans="2:11" ht="15" customHeight="1" x14ac:dyDescent="0.2">
      <c r="C54" s="11"/>
      <c r="D54" s="11"/>
      <c r="E54" s="11"/>
      <c r="F54" s="11"/>
      <c r="G54" s="11"/>
      <c r="H54" s="11"/>
      <c r="I54" s="11"/>
      <c r="J54" s="11"/>
      <c r="K54" s="11"/>
    </row>
    <row r="55" spans="2:11" ht="15" customHeight="1" x14ac:dyDescent="0.2">
      <c r="B55" s="10" t="s">
        <v>37</v>
      </c>
      <c r="C55">
        <f t="shared" ref="C55:K55" si="7">C53+C50+C47</f>
        <v>67.499999999999943</v>
      </c>
      <c r="D55">
        <f t="shared" si="7"/>
        <v>70.314999999999998</v>
      </c>
      <c r="E55">
        <f t="shared" si="7"/>
        <v>73.615750000000048</v>
      </c>
      <c r="F55">
        <f t="shared" si="7"/>
        <v>73.698537500000043</v>
      </c>
      <c r="G55">
        <f t="shared" si="7"/>
        <v>73.699464374999934</v>
      </c>
      <c r="H55">
        <f t="shared" si="7"/>
        <v>73.61443759375004</v>
      </c>
      <c r="I55">
        <f t="shared" si="7"/>
        <v>74.595964906874997</v>
      </c>
      <c r="J55">
        <f t="shared" si="7"/>
        <v>75.817484205012533</v>
      </c>
      <c r="K55">
        <f t="shared" si="7"/>
        <v>77.023433889112653</v>
      </c>
    </row>
    <row r="57" spans="2:11" ht="15" customHeight="1" x14ac:dyDescent="0.2">
      <c r="B57" s="17" t="s">
        <v>38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27</v>
      </c>
      <c r="J57" t="s">
        <v>28</v>
      </c>
      <c r="K57" t="s">
        <v>29</v>
      </c>
    </row>
    <row r="58" spans="2:11" ht="15" customHeight="1" x14ac:dyDescent="0.2">
      <c r="B58" s="10" t="str">
        <f t="shared" ref="B58:K58" si="8">B38</f>
        <v>Operating profit</v>
      </c>
      <c r="C58">
        <f t="shared" si="8"/>
        <v>650</v>
      </c>
      <c r="D58">
        <f t="shared" si="8"/>
        <v>682.5</v>
      </c>
      <c r="E58">
        <f t="shared" si="8"/>
        <v>716.625</v>
      </c>
      <c r="F58">
        <f t="shared" si="8"/>
        <v>752.45625000000018</v>
      </c>
      <c r="G58">
        <f t="shared" si="8"/>
        <v>790.07906249999996</v>
      </c>
      <c r="H58">
        <f t="shared" si="8"/>
        <v>829.58301562500037</v>
      </c>
      <c r="I58">
        <f t="shared" si="8"/>
        <v>846.17467593750007</v>
      </c>
      <c r="J58">
        <f t="shared" si="8"/>
        <v>863.09816945625016</v>
      </c>
      <c r="K58">
        <f t="shared" si="8"/>
        <v>880.36013284537512</v>
      </c>
    </row>
    <row r="59" spans="2:11" ht="15" customHeight="1" x14ac:dyDescent="0.2">
      <c r="B59" s="10" t="s">
        <v>39</v>
      </c>
      <c r="C59" s="18">
        <v>0.3</v>
      </c>
      <c r="D59" s="18">
        <v>0.3</v>
      </c>
      <c r="E59" s="18">
        <v>0.3</v>
      </c>
      <c r="F59" s="18">
        <v>0.3</v>
      </c>
      <c r="G59" s="18">
        <v>0.3</v>
      </c>
      <c r="H59" s="18">
        <v>0.3</v>
      </c>
      <c r="I59" s="18">
        <v>0.3</v>
      </c>
      <c r="J59" s="18">
        <v>0.3</v>
      </c>
      <c r="K59" s="18">
        <v>0.3</v>
      </c>
    </row>
    <row r="60" spans="2:11" ht="15" customHeight="1" x14ac:dyDescent="0.2">
      <c r="B60" s="10" t="s">
        <v>40</v>
      </c>
      <c r="C60">
        <f t="shared" ref="C60:K60" si="9">C58*(1-C59)</f>
        <v>454.99999999999994</v>
      </c>
      <c r="D60">
        <f t="shared" si="9"/>
        <v>477.74999999999994</v>
      </c>
      <c r="E60">
        <f t="shared" si="9"/>
        <v>501.63749999999999</v>
      </c>
      <c r="F60">
        <f t="shared" si="9"/>
        <v>526.71937500000013</v>
      </c>
      <c r="G60">
        <f t="shared" si="9"/>
        <v>553.05534374999991</v>
      </c>
      <c r="H60">
        <f t="shared" si="9"/>
        <v>580.70811093750024</v>
      </c>
      <c r="I60">
        <f t="shared" si="9"/>
        <v>592.32227315625005</v>
      </c>
      <c r="J60">
        <f t="shared" si="9"/>
        <v>604.16871861937511</v>
      </c>
      <c r="K60">
        <f t="shared" si="9"/>
        <v>616.25209299176254</v>
      </c>
    </row>
    <row r="61" spans="2:11" ht="15" customHeight="1" x14ac:dyDescent="0.2">
      <c r="B61" s="10" t="str">
        <f t="shared" ref="B61:K62" si="10">B45</f>
        <v>Depreciation and amortization</v>
      </c>
      <c r="C61">
        <f t="shared" si="10"/>
        <v>100</v>
      </c>
      <c r="D61">
        <f t="shared" si="10"/>
        <v>105</v>
      </c>
      <c r="E61">
        <f t="shared" si="10"/>
        <v>110</v>
      </c>
      <c r="F61">
        <f t="shared" si="10"/>
        <v>112</v>
      </c>
      <c r="G61">
        <f t="shared" si="10"/>
        <v>114</v>
      </c>
      <c r="H61">
        <f t="shared" si="10"/>
        <v>116</v>
      </c>
      <c r="I61">
        <f t="shared" si="10"/>
        <v>118</v>
      </c>
      <c r="J61">
        <f t="shared" si="10"/>
        <v>120</v>
      </c>
      <c r="K61">
        <f t="shared" si="10"/>
        <v>122</v>
      </c>
    </row>
    <row r="62" spans="2:11" ht="15" customHeight="1" x14ac:dyDescent="0.2">
      <c r="B62" s="10" t="str">
        <f t="shared" si="10"/>
        <v>Decrease/(increase) in operating working capital</v>
      </c>
      <c r="C62">
        <f t="shared" si="10"/>
        <v>-16.7</v>
      </c>
      <c r="D62">
        <f t="shared" si="10"/>
        <v>-17.535</v>
      </c>
      <c r="E62">
        <f t="shared" si="10"/>
        <v>-18.411750000000001</v>
      </c>
      <c r="F62">
        <f t="shared" si="10"/>
        <v>-19.332337500000001</v>
      </c>
      <c r="G62">
        <f t="shared" si="10"/>
        <v>-20.298954375000001</v>
      </c>
      <c r="H62">
        <f t="shared" si="10"/>
        <v>-21.313902093750002</v>
      </c>
      <c r="I62">
        <f t="shared" si="10"/>
        <v>-22.000541574375006</v>
      </c>
      <c r="J62">
        <f t="shared" si="10"/>
        <v>-22.440552405862505</v>
      </c>
      <c r="K62">
        <f t="shared" si="10"/>
        <v>-22.889363453979758</v>
      </c>
    </row>
    <row r="63" spans="2:11" ht="15" customHeight="1" x14ac:dyDescent="0.2">
      <c r="B63" s="10" t="str">
        <f t="shared" ref="B63:K63" si="11">B49</f>
        <v>Capex</v>
      </c>
      <c r="C63">
        <f t="shared" si="11"/>
        <v>-104</v>
      </c>
      <c r="D63">
        <f t="shared" si="11"/>
        <v>-109.2</v>
      </c>
      <c r="E63">
        <f t="shared" si="11"/>
        <v>-114.66</v>
      </c>
      <c r="F63">
        <f t="shared" si="11"/>
        <v>-120.39300000000001</v>
      </c>
      <c r="G63">
        <f t="shared" si="11"/>
        <v>-126.41265000000001</v>
      </c>
      <c r="H63">
        <f t="shared" si="11"/>
        <v>-132.73328250000003</v>
      </c>
      <c r="I63">
        <f t="shared" si="11"/>
        <v>-135.38794815000003</v>
      </c>
      <c r="J63">
        <f t="shared" si="11"/>
        <v>-138.09570711300003</v>
      </c>
      <c r="K63">
        <f t="shared" si="11"/>
        <v>-140.85762125526003</v>
      </c>
    </row>
    <row r="64" spans="2:11" ht="15" customHeight="1" x14ac:dyDescent="0.2">
      <c r="B64" s="10" t="s">
        <v>38</v>
      </c>
      <c r="C64">
        <f t="shared" ref="C64:K64" si="12">SUM(C60:C63)</f>
        <v>434.29999999999995</v>
      </c>
      <c r="D64">
        <f t="shared" si="12"/>
        <v>456.01500000000004</v>
      </c>
      <c r="E64">
        <f t="shared" si="12"/>
        <v>478.56575000000009</v>
      </c>
      <c r="F64">
        <f t="shared" si="12"/>
        <v>498.9940375000001</v>
      </c>
      <c r="G64">
        <f t="shared" si="12"/>
        <v>520.34373937499993</v>
      </c>
      <c r="H64">
        <f t="shared" si="12"/>
        <v>542.66092634375013</v>
      </c>
      <c r="I64">
        <f t="shared" si="12"/>
        <v>552.93378343187499</v>
      </c>
      <c r="J64">
        <f t="shared" si="12"/>
        <v>563.63245910051262</v>
      </c>
      <c r="K64">
        <f t="shared" si="12"/>
        <v>574.50510828252277</v>
      </c>
    </row>
    <row r="66" spans="1:11" ht="15" customHeight="1" x14ac:dyDescent="0.2">
      <c r="A66" s="9" t="s">
        <v>41</v>
      </c>
    </row>
    <row r="67" spans="1:11" ht="15" customHeight="1" x14ac:dyDescent="0.2">
      <c r="B67" s="10" t="s">
        <v>107</v>
      </c>
    </row>
    <row r="68" spans="1:11" ht="15" customHeight="1" x14ac:dyDescent="0.2">
      <c r="B68" s="10" t="s">
        <v>42</v>
      </c>
    </row>
    <row r="69" spans="1:11" ht="15" customHeight="1" x14ac:dyDescent="0.2"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27</v>
      </c>
      <c r="J69" t="s">
        <v>28</v>
      </c>
      <c r="K69" t="s">
        <v>29</v>
      </c>
    </row>
    <row r="70" spans="1:11" ht="15" customHeight="1" x14ac:dyDescent="0.2">
      <c r="B70" s="10" t="str">
        <f>B64</f>
        <v>Cash flows available for debt service</v>
      </c>
      <c r="C70">
        <f t="shared" ref="C70:K70" si="13">C64</f>
        <v>434.29999999999995</v>
      </c>
      <c r="D70">
        <f t="shared" si="13"/>
        <v>456.01500000000004</v>
      </c>
      <c r="E70">
        <f t="shared" si="13"/>
        <v>478.56575000000009</v>
      </c>
      <c r="F70">
        <f t="shared" si="13"/>
        <v>498.9940375000001</v>
      </c>
      <c r="G70">
        <f t="shared" si="13"/>
        <v>520.34373937499993</v>
      </c>
      <c r="H70">
        <f t="shared" si="13"/>
        <v>542.66092634375013</v>
      </c>
      <c r="I70">
        <f t="shared" si="13"/>
        <v>552.93378343187499</v>
      </c>
      <c r="J70">
        <f t="shared" si="13"/>
        <v>563.63245910051262</v>
      </c>
      <c r="K70">
        <f t="shared" si="13"/>
        <v>574.50510828252277</v>
      </c>
    </row>
    <row r="72" spans="1:11" ht="15" customHeight="1" x14ac:dyDescent="0.2">
      <c r="B72" s="10" t="s">
        <v>43</v>
      </c>
      <c r="D72">
        <f>D64</f>
        <v>456.01500000000004</v>
      </c>
      <c r="E72">
        <f>E64</f>
        <v>478.56575000000009</v>
      </c>
      <c r="F72">
        <f>F64</f>
        <v>498.9940375000001</v>
      </c>
      <c r="G72">
        <f>G64</f>
        <v>520.34373937499993</v>
      </c>
      <c r="H72">
        <f>H64</f>
        <v>542.66092634375013</v>
      </c>
    </row>
    <row r="74" spans="1:11" ht="15" customHeight="1" x14ac:dyDescent="0.2">
      <c r="B74" s="10" t="s">
        <v>44</v>
      </c>
      <c r="C74" s="14">
        <v>0.06</v>
      </c>
    </row>
    <row r="75" spans="1:11" ht="15" customHeight="1" x14ac:dyDescent="0.2">
      <c r="B75" s="10" t="s">
        <v>45</v>
      </c>
      <c r="C75" s="14">
        <v>0.3</v>
      </c>
    </row>
    <row r="76" spans="1:11" ht="15" customHeight="1" x14ac:dyDescent="0.2">
      <c r="B76" s="10" t="s">
        <v>46</v>
      </c>
      <c r="C76" s="19">
        <f>C74*(1-C75)</f>
        <v>4.1999999999999996E-2</v>
      </c>
    </row>
    <row r="77" spans="1:11" ht="15" customHeight="1" x14ac:dyDescent="0.2">
      <c r="B77" s="10" t="s">
        <v>47</v>
      </c>
      <c r="C77">
        <f>NPV(C76,D72:H72)</f>
        <v>2202.6034066960269</v>
      </c>
    </row>
    <row r="79" spans="1:11" ht="15" customHeight="1" x14ac:dyDescent="0.2">
      <c r="B79" s="10" t="s">
        <v>48</v>
      </c>
      <c r="C79" s="20"/>
    </row>
    <row r="80" spans="1:11" ht="15" customHeight="1" x14ac:dyDescent="0.2">
      <c r="B80" s="10" t="s">
        <v>49</v>
      </c>
      <c r="C80" s="20"/>
      <c r="D80">
        <f>C83</f>
        <v>2202.6034066960269</v>
      </c>
      <c r="E80">
        <f t="shared" ref="E80:H80" si="14">D83</f>
        <v>1839.0977497772599</v>
      </c>
      <c r="F80">
        <f t="shared" si="14"/>
        <v>1437.7741052679048</v>
      </c>
      <c r="G80">
        <f t="shared" si="14"/>
        <v>999.16658018915678</v>
      </c>
      <c r="H80">
        <f t="shared" si="14"/>
        <v>520.7878371821015</v>
      </c>
    </row>
    <row r="81" spans="1:12" ht="15" customHeight="1" x14ac:dyDescent="0.2">
      <c r="B81" s="10" t="s">
        <v>50</v>
      </c>
      <c r="C81" s="20"/>
      <c r="D81">
        <f>D80*$C$76</f>
        <v>92.509343081233126</v>
      </c>
      <c r="E81">
        <f t="shared" ref="E81:H81" si="15">E80*$C$76</f>
        <v>77.242105490644903</v>
      </c>
      <c r="F81">
        <f t="shared" si="15"/>
        <v>60.386512421251993</v>
      </c>
      <c r="G81">
        <f t="shared" si="15"/>
        <v>41.964996367944579</v>
      </c>
      <c r="H81">
        <f t="shared" si="15"/>
        <v>21.873089161648259</v>
      </c>
    </row>
    <row r="82" spans="1:12" ht="15" customHeight="1" x14ac:dyDescent="0.2">
      <c r="B82" s="10" t="s">
        <v>51</v>
      </c>
      <c r="C82" s="20"/>
      <c r="D82">
        <f>-D72</f>
        <v>-456.01500000000004</v>
      </c>
      <c r="E82">
        <f t="shared" ref="E82:H82" si="16">-E72</f>
        <v>-478.56575000000009</v>
      </c>
      <c r="F82">
        <f t="shared" si="16"/>
        <v>-498.9940375000001</v>
      </c>
      <c r="G82">
        <f t="shared" si="16"/>
        <v>-520.34373937499993</v>
      </c>
      <c r="H82">
        <f t="shared" si="16"/>
        <v>-542.66092634375013</v>
      </c>
    </row>
    <row r="83" spans="1:12" ht="15" customHeight="1" x14ac:dyDescent="0.2">
      <c r="B83" s="10" t="s">
        <v>52</v>
      </c>
      <c r="C83">
        <f>C77</f>
        <v>2202.6034066960269</v>
      </c>
      <c r="D83">
        <f>SUM(D80:D82)</f>
        <v>1839.0977497772599</v>
      </c>
      <c r="E83">
        <f t="shared" ref="E83:H83" si="17">SUM(E80:E82)</f>
        <v>1437.7741052679048</v>
      </c>
      <c r="F83">
        <f t="shared" si="17"/>
        <v>999.16658018915678</v>
      </c>
      <c r="G83">
        <f t="shared" si="17"/>
        <v>520.7878371821015</v>
      </c>
      <c r="H83">
        <f t="shared" si="17"/>
        <v>0</v>
      </c>
    </row>
    <row r="85" spans="1:12" ht="15" customHeight="1" x14ac:dyDescent="0.2">
      <c r="B85" s="10" t="s">
        <v>53</v>
      </c>
      <c r="C85">
        <f>C77</f>
        <v>2202.6034066960269</v>
      </c>
    </row>
    <row r="86" spans="1:12" ht="15" customHeight="1" x14ac:dyDescent="0.2">
      <c r="A86"/>
      <c r="B86"/>
    </row>
    <row r="88" spans="1:12" ht="15" customHeight="1" x14ac:dyDescent="0.2">
      <c r="A88" s="9" t="s">
        <v>54</v>
      </c>
    </row>
    <row r="89" spans="1:12" ht="15" customHeight="1" x14ac:dyDescent="0.2">
      <c r="B89" s="10" t="s">
        <v>108</v>
      </c>
    </row>
    <row r="90" spans="1:12" ht="15" customHeight="1" x14ac:dyDescent="0.2">
      <c r="B90" s="10" t="s">
        <v>55</v>
      </c>
    </row>
    <row r="92" spans="1:12" ht="15" customHeight="1" x14ac:dyDescent="0.2">
      <c r="B92" s="17" t="s">
        <v>38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  <c r="I92" t="s">
        <v>27</v>
      </c>
      <c r="J92" t="s">
        <v>28</v>
      </c>
      <c r="K92" t="s">
        <v>29</v>
      </c>
    </row>
    <row r="93" spans="1:12" ht="15" customHeight="1" x14ac:dyDescent="0.2">
      <c r="B93"/>
    </row>
    <row r="94" spans="1:12" ht="15" customHeight="1" x14ac:dyDescent="0.2">
      <c r="B94" s="10" t="str">
        <f>B64</f>
        <v>Cash flows available for debt service</v>
      </c>
      <c r="C94" s="11">
        <v>434.29999999999995</v>
      </c>
      <c r="D94" s="11">
        <v>456.01500000000004</v>
      </c>
      <c r="E94" s="11">
        <v>478.56575000000009</v>
      </c>
      <c r="F94" s="11">
        <v>498.9940375000001</v>
      </c>
      <c r="G94" s="11">
        <v>520.34373937499993</v>
      </c>
      <c r="H94" s="11">
        <v>542.66092634375013</v>
      </c>
      <c r="I94" s="11">
        <v>552.93378343187499</v>
      </c>
      <c r="J94" s="11">
        <v>563.63245910051262</v>
      </c>
      <c r="K94" s="11">
        <v>574.50510828252277</v>
      </c>
    </row>
    <row r="96" spans="1:12" ht="15" customHeight="1" x14ac:dyDescent="0.2">
      <c r="B96" s="10" t="s">
        <v>56</v>
      </c>
      <c r="D96">
        <f>D102</f>
        <v>25.828174821889299</v>
      </c>
      <c r="E96">
        <f>E102</f>
        <v>25.828174821889299</v>
      </c>
      <c r="F96">
        <f>F102</f>
        <v>25.828174821889299</v>
      </c>
      <c r="G96">
        <f>G102</f>
        <v>25.828174821889299</v>
      </c>
      <c r="H96">
        <f>H102</f>
        <v>25.828174821889299</v>
      </c>
      <c r="I96">
        <f>I94</f>
        <v>552.93378343187499</v>
      </c>
      <c r="L96" s="21"/>
    </row>
    <row r="97" spans="2:11" ht="15" customHeight="1" x14ac:dyDescent="0.2">
      <c r="B97" s="22"/>
    </row>
    <row r="98" spans="2:11" ht="15" customHeight="1" x14ac:dyDescent="0.2">
      <c r="B98" s="10" t="s">
        <v>57</v>
      </c>
      <c r="C98" s="14">
        <v>7.0000000000000007E-2</v>
      </c>
    </row>
    <row r="99" spans="2:11" ht="15" customHeight="1" x14ac:dyDescent="0.2">
      <c r="B99" s="10" t="s">
        <v>45</v>
      </c>
      <c r="C99" s="14">
        <v>0.3</v>
      </c>
    </row>
    <row r="100" spans="2:11" ht="15" customHeight="1" x14ac:dyDescent="0.2">
      <c r="B100" s="10" t="s">
        <v>46</v>
      </c>
      <c r="C100" s="19">
        <f>C98*(1-C99)</f>
        <v>4.9000000000000002E-2</v>
      </c>
    </row>
    <row r="101" spans="2:11" ht="15" customHeight="1" x14ac:dyDescent="0.2">
      <c r="B101" s="10" t="s">
        <v>58</v>
      </c>
      <c r="C101">
        <f>I101</f>
        <v>527.10560860998567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>
        <f>I94/(1+C100)</f>
        <v>527.10560860998567</v>
      </c>
    </row>
    <row r="102" spans="2:11" ht="15" customHeight="1" x14ac:dyDescent="0.2">
      <c r="B102" s="10" t="s">
        <v>59</v>
      </c>
      <c r="D102">
        <f t="shared" ref="D102:I102" si="18">$C$101*$C$100</f>
        <v>25.828174821889299</v>
      </c>
      <c r="E102">
        <f t="shared" si="18"/>
        <v>25.828174821889299</v>
      </c>
      <c r="F102">
        <f t="shared" si="18"/>
        <v>25.828174821889299</v>
      </c>
      <c r="G102">
        <f t="shared" si="18"/>
        <v>25.828174821889299</v>
      </c>
      <c r="H102">
        <f t="shared" si="18"/>
        <v>25.828174821889299</v>
      </c>
      <c r="I102">
        <f t="shared" si="18"/>
        <v>25.828174821889299</v>
      </c>
    </row>
    <row r="104" spans="2:11" ht="15" customHeight="1" x14ac:dyDescent="0.2">
      <c r="B104" s="10" t="s">
        <v>43</v>
      </c>
      <c r="D104">
        <f>D94-D101-D102</f>
        <v>430.18682517811072</v>
      </c>
      <c r="E104">
        <f>E94-E101-E102</f>
        <v>452.73757517811077</v>
      </c>
      <c r="F104">
        <f>F94-F101-F102</f>
        <v>473.16586267811078</v>
      </c>
      <c r="G104">
        <f>G94-G101-G102</f>
        <v>494.51556455311061</v>
      </c>
      <c r="H104">
        <f>H94-H101-H102</f>
        <v>516.83275152186081</v>
      </c>
      <c r="K104" s="21"/>
    </row>
    <row r="106" spans="2:11" ht="15" customHeight="1" x14ac:dyDescent="0.2">
      <c r="B106" s="10" t="s">
        <v>44</v>
      </c>
      <c r="C106" s="14">
        <v>0.06</v>
      </c>
    </row>
    <row r="107" spans="2:11" ht="15" customHeight="1" x14ac:dyDescent="0.2">
      <c r="B107" s="10" t="s">
        <v>45</v>
      </c>
      <c r="C107" s="14">
        <v>0.3</v>
      </c>
    </row>
    <row r="108" spans="2:11" ht="15" customHeight="1" x14ac:dyDescent="0.2">
      <c r="B108" s="10" t="s">
        <v>46</v>
      </c>
      <c r="C108" s="19">
        <f>C106*(1-C107)</f>
        <v>4.1999999999999996E-2</v>
      </c>
    </row>
    <row r="109" spans="2:11" ht="15" customHeight="1" x14ac:dyDescent="0.2">
      <c r="B109" s="10" t="s">
        <v>47</v>
      </c>
      <c r="C109">
        <f>NPV(C108,D104:H104)</f>
        <v>2088.2641385623097</v>
      </c>
    </row>
    <row r="111" spans="2:11" ht="15" customHeight="1" x14ac:dyDescent="0.2">
      <c r="B111" s="10" t="s">
        <v>49</v>
      </c>
      <c r="D111">
        <f>C114</f>
        <v>2088.2641385623097</v>
      </c>
      <c r="E111">
        <f t="shared" ref="E111:H111" si="19">D114</f>
        <v>1745.784407203816</v>
      </c>
      <c r="F111">
        <f t="shared" si="19"/>
        <v>1366.3697771282655</v>
      </c>
      <c r="G111">
        <f t="shared" si="19"/>
        <v>950.59144508954193</v>
      </c>
      <c r="H111">
        <f t="shared" si="19"/>
        <v>496.00072123019208</v>
      </c>
    </row>
    <row r="112" spans="2:11" ht="15" customHeight="1" x14ac:dyDescent="0.2">
      <c r="B112" s="10" t="s">
        <v>50</v>
      </c>
      <c r="D112">
        <f>$C$108*D111</f>
        <v>87.707093819617</v>
      </c>
      <c r="E112">
        <f t="shared" ref="E112:H112" si="20">$C$108*E111</f>
        <v>73.322945102560269</v>
      </c>
      <c r="F112">
        <f t="shared" si="20"/>
        <v>57.387530639387144</v>
      </c>
      <c r="G112">
        <f t="shared" si="20"/>
        <v>39.924840693760757</v>
      </c>
      <c r="H112">
        <f t="shared" si="20"/>
        <v>20.832030291668065</v>
      </c>
    </row>
    <row r="113" spans="2:9" ht="15" customHeight="1" x14ac:dyDescent="0.2">
      <c r="B113" s="10" t="s">
        <v>51</v>
      </c>
      <c r="D113">
        <f>D104</f>
        <v>430.18682517811072</v>
      </c>
      <c r="E113">
        <f t="shared" ref="E113:H113" si="21">E104</f>
        <v>452.73757517811077</v>
      </c>
      <c r="F113">
        <f t="shared" si="21"/>
        <v>473.16586267811078</v>
      </c>
      <c r="G113">
        <f t="shared" si="21"/>
        <v>494.51556455311061</v>
      </c>
      <c r="H113">
        <f t="shared" si="21"/>
        <v>516.83275152186081</v>
      </c>
    </row>
    <row r="114" spans="2:9" ht="15" customHeight="1" x14ac:dyDescent="0.2">
      <c r="B114" s="10" t="s">
        <v>52</v>
      </c>
      <c r="C114">
        <f>C109</f>
        <v>2088.2641385623097</v>
      </c>
      <c r="D114">
        <f>D111+D112-D113</f>
        <v>1745.784407203816</v>
      </c>
      <c r="E114">
        <f t="shared" ref="E114:H114" si="22">E111+E112-E113</f>
        <v>1366.3697771282655</v>
      </c>
      <c r="F114">
        <f t="shared" si="22"/>
        <v>950.59144508954193</v>
      </c>
      <c r="G114">
        <f t="shared" si="22"/>
        <v>496.00072123019208</v>
      </c>
      <c r="H114">
        <f t="shared" si="22"/>
        <v>0</v>
      </c>
    </row>
    <row r="116" spans="2:9" ht="15" customHeight="1" x14ac:dyDescent="0.2">
      <c r="B116" s="10" t="s">
        <v>60</v>
      </c>
      <c r="D116">
        <f>D111-D114</f>
        <v>342.47973135849361</v>
      </c>
      <c r="E116">
        <f>E111-E114</f>
        <v>379.41463007555058</v>
      </c>
      <c r="F116">
        <f>F111-F114</f>
        <v>415.77833203872353</v>
      </c>
      <c r="G116">
        <f>G111-G114</f>
        <v>454.59072385934985</v>
      </c>
      <c r="H116">
        <f>H111-H114</f>
        <v>496.00072123019208</v>
      </c>
    </row>
    <row r="118" spans="2:9" ht="15" customHeight="1" x14ac:dyDescent="0.2">
      <c r="B118" s="10" t="s">
        <v>61</v>
      </c>
      <c r="D118">
        <f t="shared" ref="D118:I118" si="23">D94</f>
        <v>456.01500000000004</v>
      </c>
      <c r="E118">
        <f t="shared" si="23"/>
        <v>478.56575000000009</v>
      </c>
      <c r="F118">
        <f t="shared" si="23"/>
        <v>498.9940375000001</v>
      </c>
      <c r="G118">
        <f t="shared" si="23"/>
        <v>520.34373937499993</v>
      </c>
      <c r="H118">
        <f t="shared" si="23"/>
        <v>542.66092634375013</v>
      </c>
      <c r="I118">
        <f t="shared" si="23"/>
        <v>552.93378343187499</v>
      </c>
    </row>
    <row r="119" spans="2:9" ht="15" customHeight="1" x14ac:dyDescent="0.2">
      <c r="B119" s="10" t="s">
        <v>62</v>
      </c>
      <c r="D119">
        <f>-D112</f>
        <v>-87.707093819617</v>
      </c>
      <c r="E119">
        <f t="shared" ref="E119:I119" si="24">-E112</f>
        <v>-73.322945102560269</v>
      </c>
      <c r="F119">
        <f t="shared" si="24"/>
        <v>-57.387530639387144</v>
      </c>
      <c r="G119">
        <f t="shared" si="24"/>
        <v>-39.924840693760757</v>
      </c>
      <c r="H119">
        <f t="shared" si="24"/>
        <v>-20.832030291668065</v>
      </c>
      <c r="I119">
        <f t="shared" si="24"/>
        <v>0</v>
      </c>
    </row>
    <row r="120" spans="2:9" ht="15" customHeight="1" x14ac:dyDescent="0.2">
      <c r="B120" s="10" t="s">
        <v>63</v>
      </c>
      <c r="D120">
        <f>-D102</f>
        <v>-25.828174821889299</v>
      </c>
      <c r="E120">
        <f t="shared" ref="E120:I120" si="25">-E102</f>
        <v>-25.828174821889299</v>
      </c>
      <c r="F120">
        <f t="shared" si="25"/>
        <v>-25.828174821889299</v>
      </c>
      <c r="G120">
        <f t="shared" si="25"/>
        <v>-25.828174821889299</v>
      </c>
      <c r="H120">
        <f t="shared" si="25"/>
        <v>-25.828174821889299</v>
      </c>
      <c r="I120">
        <f t="shared" si="25"/>
        <v>-25.828174821889299</v>
      </c>
    </row>
    <row r="121" spans="2:9" ht="15" customHeight="1" x14ac:dyDescent="0.2">
      <c r="B121" s="10" t="s">
        <v>64</v>
      </c>
      <c r="D121">
        <f>SUM(D118:D120)</f>
        <v>342.47973135849372</v>
      </c>
      <c r="E121">
        <f t="shared" ref="E121:I121" si="26">SUM(E118:E120)</f>
        <v>379.41463007555052</v>
      </c>
      <c r="F121">
        <f t="shared" si="26"/>
        <v>415.77833203872365</v>
      </c>
      <c r="G121">
        <f t="shared" si="26"/>
        <v>454.59072385934985</v>
      </c>
      <c r="H121">
        <f t="shared" si="26"/>
        <v>496.00072123019277</v>
      </c>
      <c r="I121">
        <f t="shared" si="26"/>
        <v>527.10560860998567</v>
      </c>
    </row>
    <row r="122" spans="2:9" ht="15" customHeight="1" x14ac:dyDescent="0.2">
      <c r="B122" s="10" t="s">
        <v>65</v>
      </c>
      <c r="D122">
        <f t="shared" ref="D122:I122" si="27">-D116</f>
        <v>-342.47973135849361</v>
      </c>
      <c r="E122">
        <f t="shared" si="27"/>
        <v>-379.41463007555058</v>
      </c>
      <c r="F122">
        <f t="shared" si="27"/>
        <v>-415.77833203872353</v>
      </c>
      <c r="G122">
        <f t="shared" si="27"/>
        <v>-454.59072385934985</v>
      </c>
      <c r="H122">
        <f t="shared" si="27"/>
        <v>-496.00072123019208</v>
      </c>
      <c r="I122">
        <f t="shared" si="27"/>
        <v>0</v>
      </c>
    </row>
    <row r="123" spans="2:9" ht="15" customHeight="1" x14ac:dyDescent="0.2">
      <c r="B123" s="10" t="s">
        <v>66</v>
      </c>
      <c r="D123">
        <f t="shared" ref="D123:I123" si="28">-D101</f>
        <v>0</v>
      </c>
      <c r="E123">
        <f t="shared" si="28"/>
        <v>0</v>
      </c>
      <c r="F123">
        <f t="shared" si="28"/>
        <v>0</v>
      </c>
      <c r="G123">
        <f t="shared" si="28"/>
        <v>0</v>
      </c>
      <c r="H123">
        <f t="shared" si="28"/>
        <v>0</v>
      </c>
      <c r="I123">
        <f t="shared" si="28"/>
        <v>-527.10560860998567</v>
      </c>
    </row>
    <row r="124" spans="2:9" ht="15" customHeight="1" x14ac:dyDescent="0.2">
      <c r="B124" s="10" t="s">
        <v>37</v>
      </c>
      <c r="D124">
        <f t="shared" ref="D124:I124" si="29">SUM(D121:D123)</f>
        <v>1.1368683772161603E-13</v>
      </c>
      <c r="E124">
        <f t="shared" si="29"/>
        <v>-5.6843418860808015E-14</v>
      </c>
      <c r="F124">
        <f t="shared" si="29"/>
        <v>1.1368683772161603E-13</v>
      </c>
      <c r="G124">
        <f t="shared" si="29"/>
        <v>0</v>
      </c>
      <c r="H124">
        <f t="shared" si="29"/>
        <v>6.8212102632969618E-13</v>
      </c>
      <c r="I124">
        <f t="shared" si="29"/>
        <v>0</v>
      </c>
    </row>
    <row r="126" spans="2:9" ht="15" customHeight="1" x14ac:dyDescent="0.2">
      <c r="B126" s="10" t="s">
        <v>67</v>
      </c>
      <c r="C126">
        <f>C109+C101</f>
        <v>2615.3697471722953</v>
      </c>
    </row>
    <row r="127" spans="2:9" ht="15" customHeight="1" x14ac:dyDescent="0.2">
      <c r="B127" s="10" t="s">
        <v>53</v>
      </c>
      <c r="C127">
        <f>C126</f>
        <v>2615.3697471722953</v>
      </c>
    </row>
    <row r="128" spans="2:9" ht="15" customHeight="1" x14ac:dyDescent="0.2">
      <c r="B128" s="10" t="s">
        <v>68</v>
      </c>
      <c r="C128" s="20">
        <f>C127/(C58+C61)</f>
        <v>3.4871596628963939</v>
      </c>
    </row>
    <row r="129" spans="1:11" ht="15" customHeight="1" x14ac:dyDescent="0.2">
      <c r="C129" s="20"/>
    </row>
    <row r="130" spans="1:11" ht="15" customHeight="1" x14ac:dyDescent="0.2">
      <c r="A130" s="9" t="s">
        <v>69</v>
      </c>
    </row>
    <row r="131" spans="1:11" ht="15" customHeight="1" x14ac:dyDescent="0.2">
      <c r="B131" s="10" t="s">
        <v>109</v>
      </c>
    </row>
    <row r="132" spans="1:11" ht="15" customHeight="1" x14ac:dyDescent="0.2">
      <c r="B132" s="10" t="s">
        <v>70</v>
      </c>
    </row>
    <row r="134" spans="1:11" ht="15" customHeight="1" x14ac:dyDescent="0.2">
      <c r="B134" s="17" t="s">
        <v>38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27</v>
      </c>
      <c r="J134" t="s">
        <v>28</v>
      </c>
      <c r="K134" t="s">
        <v>29</v>
      </c>
    </row>
    <row r="136" spans="1:11" ht="15" customHeight="1" x14ac:dyDescent="0.2">
      <c r="B136" s="10" t="str">
        <f t="shared" ref="B136" si="30">B94</f>
        <v>Cash flows available for debt service</v>
      </c>
      <c r="C136" s="11">
        <v>434.29999999999995</v>
      </c>
      <c r="D136" s="11">
        <v>456.01500000000004</v>
      </c>
      <c r="E136" s="11">
        <v>478.56575000000009</v>
      </c>
      <c r="F136" s="11">
        <v>498.9940375000001</v>
      </c>
      <c r="G136" s="11">
        <v>520.34373937499993</v>
      </c>
      <c r="H136" s="11">
        <v>542.66092634375013</v>
      </c>
      <c r="I136" s="11">
        <v>552.93378343187499</v>
      </c>
      <c r="J136" s="11">
        <v>563.63245910051262</v>
      </c>
      <c r="K136" s="11">
        <v>574.50510828252277</v>
      </c>
    </row>
    <row r="138" spans="1:11" ht="15" customHeight="1" x14ac:dyDescent="0.2">
      <c r="B138" s="10" t="s">
        <v>71</v>
      </c>
      <c r="K138">
        <f>K136</f>
        <v>574.50510828252277</v>
      </c>
    </row>
    <row r="139" spans="1:11" ht="15" customHeight="1" x14ac:dyDescent="0.2">
      <c r="B139" s="10" t="s">
        <v>72</v>
      </c>
      <c r="C139" s="14">
        <v>0.1</v>
      </c>
    </row>
    <row r="140" spans="1:11" ht="15" customHeight="1" x14ac:dyDescent="0.2">
      <c r="B140" s="10" t="s">
        <v>45</v>
      </c>
      <c r="C140" s="14">
        <v>0.3</v>
      </c>
    </row>
    <row r="141" spans="1:11" ht="15" customHeight="1" x14ac:dyDescent="0.2">
      <c r="B141" s="10" t="s">
        <v>46</v>
      </c>
      <c r="C141" s="19">
        <f>C139*(1-C140)</f>
        <v>6.9999999999999993E-2</v>
      </c>
    </row>
    <row r="142" spans="1:11" ht="15" customHeight="1" x14ac:dyDescent="0.2">
      <c r="B142" s="10" t="s">
        <v>73</v>
      </c>
      <c r="C142">
        <f>K138/(1+C141)^8</f>
        <v>334.36720363955152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>
        <f>K138</f>
        <v>574.50510828252277</v>
      </c>
    </row>
    <row r="144" spans="1:11" ht="15" customHeight="1" x14ac:dyDescent="0.2">
      <c r="B144" s="10" t="s">
        <v>74</v>
      </c>
      <c r="D144">
        <f t="shared" ref="D144:I144" si="31">D149</f>
        <v>29.889600103815063</v>
      </c>
      <c r="E144">
        <f t="shared" si="31"/>
        <v>29.889600103815063</v>
      </c>
      <c r="F144">
        <f t="shared" si="31"/>
        <v>29.889600103815063</v>
      </c>
      <c r="G144">
        <f t="shared" si="31"/>
        <v>29.889600103815063</v>
      </c>
      <c r="H144">
        <f t="shared" si="31"/>
        <v>29.889600103815063</v>
      </c>
      <c r="I144">
        <f t="shared" si="31"/>
        <v>29.889600103815063</v>
      </c>
      <c r="J144">
        <f>J136</f>
        <v>563.63245910051262</v>
      </c>
    </row>
    <row r="145" spans="2:10" ht="15" customHeight="1" x14ac:dyDescent="0.2">
      <c r="B145" s="10" t="s">
        <v>75</v>
      </c>
      <c r="C145" s="14">
        <v>0.08</v>
      </c>
    </row>
    <row r="146" spans="2:10" ht="15" customHeight="1" x14ac:dyDescent="0.2">
      <c r="B146" s="10" t="s">
        <v>45</v>
      </c>
      <c r="C146" s="14">
        <v>0.3</v>
      </c>
    </row>
    <row r="147" spans="2:10" ht="15" customHeight="1" x14ac:dyDescent="0.2">
      <c r="B147" s="10" t="s">
        <v>46</v>
      </c>
      <c r="C147" s="19">
        <f>C145*(1-C146)</f>
        <v>5.5999999999999994E-2</v>
      </c>
    </row>
    <row r="148" spans="2:10" ht="15" customHeight="1" x14ac:dyDescent="0.2">
      <c r="B148" s="10" t="s">
        <v>76</v>
      </c>
      <c r="C148">
        <f>J136/(1+C147)</f>
        <v>533.74285899669758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>
        <f>C148</f>
        <v>533.74285899669758</v>
      </c>
    </row>
    <row r="149" spans="2:10" ht="15" customHeight="1" x14ac:dyDescent="0.2">
      <c r="B149" s="10" t="s">
        <v>77</v>
      </c>
      <c r="D149">
        <f t="shared" ref="D149:J149" si="32">$C$148*$C$147</f>
        <v>29.889600103815063</v>
      </c>
      <c r="E149">
        <f t="shared" si="32"/>
        <v>29.889600103815063</v>
      </c>
      <c r="F149">
        <f t="shared" si="32"/>
        <v>29.889600103815063</v>
      </c>
      <c r="G149">
        <f t="shared" si="32"/>
        <v>29.889600103815063</v>
      </c>
      <c r="H149">
        <f t="shared" si="32"/>
        <v>29.889600103815063</v>
      </c>
      <c r="I149">
        <f t="shared" si="32"/>
        <v>29.889600103815063</v>
      </c>
      <c r="J149">
        <f t="shared" si="32"/>
        <v>29.889600103815063</v>
      </c>
    </row>
    <row r="151" spans="2:10" ht="15" customHeight="1" x14ac:dyDescent="0.2">
      <c r="B151" s="10" t="s">
        <v>56</v>
      </c>
      <c r="D151">
        <f>D156</f>
        <v>24.43199712399899</v>
      </c>
      <c r="E151">
        <f>E156</f>
        <v>24.43199712399899</v>
      </c>
      <c r="F151">
        <f>F156</f>
        <v>24.43199712399899</v>
      </c>
      <c r="G151">
        <f>G156</f>
        <v>24.43199712399899</v>
      </c>
      <c r="H151">
        <f>H156</f>
        <v>24.43199712399899</v>
      </c>
      <c r="I151">
        <f>I136-I144</f>
        <v>523.04418332805994</v>
      </c>
    </row>
    <row r="152" spans="2:10" ht="15" customHeight="1" x14ac:dyDescent="0.2">
      <c r="B152" s="10" t="s">
        <v>57</v>
      </c>
      <c r="C152" s="14">
        <v>7.0000000000000007E-2</v>
      </c>
    </row>
    <row r="153" spans="2:10" ht="15" customHeight="1" x14ac:dyDescent="0.2">
      <c r="B153" s="10" t="s">
        <v>45</v>
      </c>
      <c r="C153" s="14">
        <v>0.3</v>
      </c>
    </row>
    <row r="154" spans="2:10" ht="15" customHeight="1" x14ac:dyDescent="0.2">
      <c r="B154" s="10" t="s">
        <v>46</v>
      </c>
      <c r="C154" s="19">
        <f>C152*(1-C153)</f>
        <v>4.9000000000000002E-2</v>
      </c>
    </row>
    <row r="155" spans="2:10" ht="15" customHeight="1" x14ac:dyDescent="0.2">
      <c r="B155" s="10" t="s">
        <v>58</v>
      </c>
      <c r="C155">
        <f>I151/(1+C154)</f>
        <v>498.612186204061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>
        <f>C155</f>
        <v>498.612186204061</v>
      </c>
    </row>
    <row r="156" spans="2:10" ht="15" customHeight="1" x14ac:dyDescent="0.2">
      <c r="B156" s="10" t="s">
        <v>59</v>
      </c>
      <c r="D156">
        <f t="shared" ref="D156:I156" si="33">$C$155*$C$154</f>
        <v>24.43199712399899</v>
      </c>
      <c r="E156">
        <f t="shared" si="33"/>
        <v>24.43199712399899</v>
      </c>
      <c r="F156">
        <f t="shared" si="33"/>
        <v>24.43199712399899</v>
      </c>
      <c r="G156">
        <f t="shared" si="33"/>
        <v>24.43199712399899</v>
      </c>
      <c r="H156">
        <f t="shared" si="33"/>
        <v>24.43199712399899</v>
      </c>
      <c r="I156">
        <f t="shared" si="33"/>
        <v>24.43199712399899</v>
      </c>
    </row>
    <row r="158" spans="2:10" ht="15" customHeight="1" x14ac:dyDescent="0.2">
      <c r="B158" s="10" t="s">
        <v>43</v>
      </c>
      <c r="D158">
        <f>D136-D144-D151</f>
        <v>401.693402772186</v>
      </c>
      <c r="E158">
        <f>E136-E144-E151</f>
        <v>424.24415277218606</v>
      </c>
      <c r="F158">
        <f>F136-F144-F151</f>
        <v>444.67244027218607</v>
      </c>
      <c r="G158">
        <f>G136-G144-G151</f>
        <v>466.02214214718589</v>
      </c>
      <c r="H158">
        <f>H136-H144-H151</f>
        <v>488.3393291159361</v>
      </c>
    </row>
    <row r="159" spans="2:10" ht="15" customHeight="1" x14ac:dyDescent="0.2">
      <c r="B159" s="10" t="s">
        <v>44</v>
      </c>
      <c r="C159" s="14">
        <v>0.06</v>
      </c>
    </row>
    <row r="160" spans="2:10" ht="15" customHeight="1" x14ac:dyDescent="0.2">
      <c r="B160" s="10" t="s">
        <v>45</v>
      </c>
      <c r="C160" s="14">
        <v>0.3</v>
      </c>
    </row>
    <row r="161" spans="2:11" ht="15" customHeight="1" x14ac:dyDescent="0.2">
      <c r="B161" s="10" t="s">
        <v>46</v>
      </c>
      <c r="C161" s="19">
        <f>C159*(1-C160)</f>
        <v>4.1999999999999996E-2</v>
      </c>
    </row>
    <row r="162" spans="2:11" ht="15" customHeight="1" x14ac:dyDescent="0.2">
      <c r="B162" s="10" t="s">
        <v>47</v>
      </c>
      <c r="C162">
        <f>NPV(C161,D158:H158)</f>
        <v>1962.1260321345492</v>
      </c>
    </row>
    <row r="164" spans="2:11" ht="15" customHeight="1" x14ac:dyDescent="0.2">
      <c r="B164" s="10" t="s">
        <v>78</v>
      </c>
      <c r="D164">
        <f>C167</f>
        <v>1962.1260321345492</v>
      </c>
      <c r="E164">
        <f t="shared" ref="E164:H164" si="34">D167</f>
        <v>1642.8419227120144</v>
      </c>
      <c r="F164">
        <f t="shared" si="34"/>
        <v>1287.5971306937329</v>
      </c>
      <c r="G164">
        <f t="shared" si="34"/>
        <v>897.00376991068356</v>
      </c>
      <c r="H164">
        <f t="shared" si="34"/>
        <v>468.65578609974642</v>
      </c>
    </row>
    <row r="165" spans="2:11" ht="15" customHeight="1" x14ac:dyDescent="0.2">
      <c r="B165" s="10" t="s">
        <v>79</v>
      </c>
      <c r="D165">
        <f>$C$161*D164</f>
        <v>82.409293349651051</v>
      </c>
      <c r="E165">
        <f t="shared" ref="E165:H165" si="35">$C$161*E164</f>
        <v>68.999360753904597</v>
      </c>
      <c r="F165">
        <f t="shared" si="35"/>
        <v>54.079079489136774</v>
      </c>
      <c r="G165">
        <f t="shared" si="35"/>
        <v>37.674158336248709</v>
      </c>
      <c r="H165">
        <f t="shared" si="35"/>
        <v>19.683543016189347</v>
      </c>
    </row>
    <row r="166" spans="2:11" ht="15" customHeight="1" x14ac:dyDescent="0.2">
      <c r="B166" s="10" t="s">
        <v>80</v>
      </c>
      <c r="D166">
        <f>D158</f>
        <v>401.693402772186</v>
      </c>
      <c r="E166">
        <f t="shared" ref="E166:H166" si="36">E158</f>
        <v>424.24415277218606</v>
      </c>
      <c r="F166">
        <f t="shared" si="36"/>
        <v>444.67244027218607</v>
      </c>
      <c r="G166">
        <f t="shared" si="36"/>
        <v>466.02214214718589</v>
      </c>
      <c r="H166">
        <f t="shared" si="36"/>
        <v>488.3393291159361</v>
      </c>
    </row>
    <row r="167" spans="2:11" ht="15" customHeight="1" x14ac:dyDescent="0.2">
      <c r="B167" s="10" t="s">
        <v>81</v>
      </c>
      <c r="C167">
        <f>C162</f>
        <v>1962.1260321345492</v>
      </c>
      <c r="D167">
        <f>D164+D165-D166</f>
        <v>1642.8419227120144</v>
      </c>
      <c r="E167">
        <f t="shared" ref="E167:H167" si="37">E164+E165-E166</f>
        <v>1287.5971306937329</v>
      </c>
      <c r="F167">
        <f t="shared" si="37"/>
        <v>897.00376991068356</v>
      </c>
      <c r="G167">
        <f t="shared" si="37"/>
        <v>468.65578609974642</v>
      </c>
      <c r="H167">
        <f t="shared" si="37"/>
        <v>0</v>
      </c>
    </row>
    <row r="169" spans="2:11" ht="15" customHeight="1" x14ac:dyDescent="0.2">
      <c r="B169" s="10" t="s">
        <v>60</v>
      </c>
      <c r="D169">
        <f>C167-D167</f>
        <v>319.28410942253481</v>
      </c>
      <c r="E169">
        <f>D167-E167</f>
        <v>355.24479201828149</v>
      </c>
      <c r="F169">
        <f>E167-F167</f>
        <v>390.59336078304932</v>
      </c>
      <c r="G169">
        <f>F167-G167</f>
        <v>428.34798381093714</v>
      </c>
      <c r="H169">
        <f>G167-H167</f>
        <v>468.65578609974642</v>
      </c>
    </row>
    <row r="171" spans="2:11" ht="15" customHeight="1" x14ac:dyDescent="0.2">
      <c r="B171" s="10" t="s">
        <v>38</v>
      </c>
      <c r="D171">
        <f t="shared" ref="D171:K171" si="38">D136</f>
        <v>456.01500000000004</v>
      </c>
      <c r="E171">
        <f t="shared" si="38"/>
        <v>478.56575000000009</v>
      </c>
      <c r="F171">
        <f t="shared" si="38"/>
        <v>498.9940375000001</v>
      </c>
      <c r="G171">
        <f t="shared" si="38"/>
        <v>520.34373937499993</v>
      </c>
      <c r="H171">
        <f t="shared" si="38"/>
        <v>542.66092634375013</v>
      </c>
      <c r="I171">
        <f t="shared" si="38"/>
        <v>552.93378343187499</v>
      </c>
      <c r="J171">
        <f t="shared" si="38"/>
        <v>563.63245910051262</v>
      </c>
      <c r="K171">
        <f t="shared" si="38"/>
        <v>574.50510828252277</v>
      </c>
    </row>
    <row r="172" spans="2:11" ht="15" customHeight="1" x14ac:dyDescent="0.2">
      <c r="B172" s="10" t="s">
        <v>82</v>
      </c>
      <c r="D172">
        <f t="shared" ref="D172:K172" si="39">-D165</f>
        <v>-82.409293349651051</v>
      </c>
      <c r="E172">
        <f t="shared" si="39"/>
        <v>-68.999360753904597</v>
      </c>
      <c r="F172">
        <f t="shared" si="39"/>
        <v>-54.079079489136774</v>
      </c>
      <c r="G172">
        <f t="shared" si="39"/>
        <v>-37.674158336248709</v>
      </c>
      <c r="H172">
        <f t="shared" si="39"/>
        <v>-19.683543016189347</v>
      </c>
      <c r="I172">
        <f t="shared" si="39"/>
        <v>0</v>
      </c>
      <c r="J172">
        <f t="shared" si="39"/>
        <v>0</v>
      </c>
      <c r="K172">
        <f t="shared" si="39"/>
        <v>0</v>
      </c>
    </row>
    <row r="173" spans="2:11" ht="15" customHeight="1" x14ac:dyDescent="0.2">
      <c r="B173" s="10" t="s">
        <v>83</v>
      </c>
      <c r="D173">
        <f t="shared" ref="D173:K173" si="40">-D156</f>
        <v>-24.43199712399899</v>
      </c>
      <c r="E173">
        <f t="shared" si="40"/>
        <v>-24.43199712399899</v>
      </c>
      <c r="F173">
        <f t="shared" si="40"/>
        <v>-24.43199712399899</v>
      </c>
      <c r="G173">
        <f t="shared" si="40"/>
        <v>-24.43199712399899</v>
      </c>
      <c r="H173">
        <f t="shared" si="40"/>
        <v>-24.43199712399899</v>
      </c>
      <c r="I173">
        <f t="shared" si="40"/>
        <v>-24.43199712399899</v>
      </c>
      <c r="J173">
        <f t="shared" si="40"/>
        <v>0</v>
      </c>
      <c r="K173">
        <f t="shared" si="40"/>
        <v>0</v>
      </c>
    </row>
    <row r="174" spans="2:11" ht="15" customHeight="1" x14ac:dyDescent="0.2">
      <c r="B174" s="10" t="s">
        <v>84</v>
      </c>
      <c r="D174">
        <f t="shared" ref="D174:K174" si="41">-D149</f>
        <v>-29.889600103815063</v>
      </c>
      <c r="E174">
        <f t="shared" si="41"/>
        <v>-29.889600103815063</v>
      </c>
      <c r="F174">
        <f t="shared" si="41"/>
        <v>-29.889600103815063</v>
      </c>
      <c r="G174">
        <f t="shared" si="41"/>
        <v>-29.889600103815063</v>
      </c>
      <c r="H174">
        <f t="shared" si="41"/>
        <v>-29.889600103815063</v>
      </c>
      <c r="I174">
        <f t="shared" si="41"/>
        <v>-29.889600103815063</v>
      </c>
      <c r="J174">
        <f t="shared" si="41"/>
        <v>-29.889600103815063</v>
      </c>
      <c r="K174">
        <f t="shared" si="41"/>
        <v>0</v>
      </c>
    </row>
    <row r="175" spans="2:11" ht="15" customHeight="1" x14ac:dyDescent="0.2">
      <c r="B175" s="10" t="s">
        <v>64</v>
      </c>
      <c r="D175">
        <f t="shared" ref="D175:K175" si="42">SUM(D171:D174)</f>
        <v>319.28410942253498</v>
      </c>
      <c r="E175">
        <f t="shared" si="42"/>
        <v>355.24479201828143</v>
      </c>
      <c r="F175">
        <f t="shared" si="42"/>
        <v>390.59336078304926</v>
      </c>
      <c r="G175">
        <f t="shared" si="42"/>
        <v>428.34798381093719</v>
      </c>
      <c r="H175">
        <f t="shared" si="42"/>
        <v>468.65578609974676</v>
      </c>
      <c r="I175">
        <f t="shared" si="42"/>
        <v>498.612186204061</v>
      </c>
      <c r="J175">
        <f t="shared" si="42"/>
        <v>533.74285899669758</v>
      </c>
      <c r="K175">
        <f t="shared" si="42"/>
        <v>574.50510828252277</v>
      </c>
    </row>
    <row r="176" spans="2:11" ht="15" customHeight="1" x14ac:dyDescent="0.2">
      <c r="B176" s="10" t="s">
        <v>85</v>
      </c>
      <c r="D176">
        <f t="shared" ref="D176:K176" si="43">-D169</f>
        <v>-319.28410942253481</v>
      </c>
      <c r="E176">
        <f t="shared" si="43"/>
        <v>-355.24479201828149</v>
      </c>
      <c r="F176">
        <f t="shared" si="43"/>
        <v>-390.59336078304932</v>
      </c>
      <c r="G176">
        <f t="shared" si="43"/>
        <v>-428.34798381093714</v>
      </c>
      <c r="H176">
        <f t="shared" si="43"/>
        <v>-468.65578609974642</v>
      </c>
      <c r="I176">
        <f t="shared" si="43"/>
        <v>0</v>
      </c>
      <c r="J176">
        <f t="shared" si="43"/>
        <v>0</v>
      </c>
      <c r="K176">
        <f t="shared" si="43"/>
        <v>0</v>
      </c>
    </row>
    <row r="177" spans="1:11" ht="15" customHeight="1" x14ac:dyDescent="0.2">
      <c r="B177" s="10" t="s">
        <v>86</v>
      </c>
      <c r="D177">
        <f t="shared" ref="D177:K177" si="44">-D155</f>
        <v>0</v>
      </c>
      <c r="E177">
        <f t="shared" si="44"/>
        <v>0</v>
      </c>
      <c r="F177">
        <f t="shared" si="44"/>
        <v>0</v>
      </c>
      <c r="G177">
        <f t="shared" si="44"/>
        <v>0</v>
      </c>
      <c r="H177">
        <f t="shared" si="44"/>
        <v>0</v>
      </c>
      <c r="I177">
        <f t="shared" si="44"/>
        <v>-498.612186204061</v>
      </c>
      <c r="J177">
        <f t="shared" si="44"/>
        <v>0</v>
      </c>
      <c r="K177">
        <f t="shared" si="44"/>
        <v>0</v>
      </c>
    </row>
    <row r="178" spans="1:11" ht="15" customHeight="1" x14ac:dyDescent="0.2">
      <c r="B178" s="10" t="s">
        <v>87</v>
      </c>
      <c r="D178">
        <f t="shared" ref="D178:K178" si="45">-D148</f>
        <v>0</v>
      </c>
      <c r="E178">
        <f t="shared" si="45"/>
        <v>0</v>
      </c>
      <c r="F178">
        <f t="shared" si="45"/>
        <v>0</v>
      </c>
      <c r="G178">
        <f t="shared" si="45"/>
        <v>0</v>
      </c>
      <c r="H178">
        <f t="shared" si="45"/>
        <v>0</v>
      </c>
      <c r="I178">
        <f t="shared" si="45"/>
        <v>0</v>
      </c>
      <c r="J178">
        <f t="shared" si="45"/>
        <v>-533.74285899669758</v>
      </c>
      <c r="K178">
        <f t="shared" si="45"/>
        <v>0</v>
      </c>
    </row>
    <row r="179" spans="1:11" ht="15" customHeight="1" x14ac:dyDescent="0.2">
      <c r="B179" s="10" t="s">
        <v>88</v>
      </c>
      <c r="D179">
        <f t="shared" ref="D179:K179" si="46">-D142</f>
        <v>0</v>
      </c>
      <c r="E179">
        <f t="shared" si="46"/>
        <v>0</v>
      </c>
      <c r="F179">
        <f t="shared" si="46"/>
        <v>0</v>
      </c>
      <c r="G179">
        <f t="shared" si="46"/>
        <v>0</v>
      </c>
      <c r="H179">
        <f t="shared" si="46"/>
        <v>0</v>
      </c>
      <c r="I179">
        <f t="shared" si="46"/>
        <v>0</v>
      </c>
      <c r="J179">
        <f t="shared" si="46"/>
        <v>0</v>
      </c>
      <c r="K179">
        <f t="shared" si="46"/>
        <v>-574.50510828252277</v>
      </c>
    </row>
    <row r="180" spans="1:11" ht="15" customHeight="1" x14ac:dyDescent="0.2">
      <c r="B180" s="10" t="s">
        <v>37</v>
      </c>
      <c r="D180">
        <f t="shared" ref="D180:K180" si="47">SUM(D175:D179)</f>
        <v>1.7053025658242404E-13</v>
      </c>
      <c r="E180">
        <f t="shared" si="47"/>
        <v>-5.6843418860808015E-14</v>
      </c>
      <c r="F180">
        <f t="shared" si="47"/>
        <v>-5.6843418860808015E-14</v>
      </c>
      <c r="G180">
        <f t="shared" si="47"/>
        <v>5.6843418860808015E-14</v>
      </c>
      <c r="H180">
        <f t="shared" si="47"/>
        <v>3.4106051316484809E-13</v>
      </c>
      <c r="I180">
        <f t="shared" si="47"/>
        <v>0</v>
      </c>
      <c r="J180">
        <f t="shared" si="47"/>
        <v>0</v>
      </c>
      <c r="K180">
        <f t="shared" si="47"/>
        <v>0</v>
      </c>
    </row>
    <row r="182" spans="1:11" ht="15" customHeight="1" x14ac:dyDescent="0.2">
      <c r="B182" s="10" t="s">
        <v>89</v>
      </c>
      <c r="C182">
        <f>C162</f>
        <v>1962.1260321345492</v>
      </c>
    </row>
    <row r="183" spans="1:11" ht="15" customHeight="1" x14ac:dyDescent="0.2">
      <c r="B183" s="10" t="s">
        <v>90</v>
      </c>
      <c r="C183">
        <f>C155</f>
        <v>498.612186204061</v>
      </c>
    </row>
    <row r="184" spans="1:11" ht="15" customHeight="1" x14ac:dyDescent="0.2">
      <c r="B184" s="10" t="s">
        <v>91</v>
      </c>
      <c r="C184">
        <f>C148</f>
        <v>533.74285899669758</v>
      </c>
    </row>
    <row r="185" spans="1:11" ht="15" customHeight="1" x14ac:dyDescent="0.2">
      <c r="B185" s="10" t="s">
        <v>92</v>
      </c>
      <c r="C185">
        <f>C142</f>
        <v>334.36720363955152</v>
      </c>
    </row>
    <row r="186" spans="1:11" ht="15" customHeight="1" x14ac:dyDescent="0.2">
      <c r="B186" s="10" t="s">
        <v>67</v>
      </c>
      <c r="C186">
        <f>SUM(C182:C185)</f>
        <v>3328.8482809748593</v>
      </c>
    </row>
    <row r="187" spans="1:11" ht="15" customHeight="1" x14ac:dyDescent="0.2">
      <c r="B187" s="10" t="s">
        <v>93</v>
      </c>
      <c r="C187" s="20">
        <f>C186/(C58+C61)</f>
        <v>4.4384643746331456</v>
      </c>
    </row>
    <row r="189" spans="1:11" ht="15" customHeight="1" x14ac:dyDescent="0.2">
      <c r="A189" s="9" t="s">
        <v>94</v>
      </c>
    </row>
  </sheetData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2016&amp;C&amp;10Page &amp;P of &amp;N&amp;R&amp;G</oddFooter>
  </headerFooter>
  <rowBreaks count="1" manualBreakCount="1">
    <brk id="3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Workout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 Manuel</dc:creator>
  <cp:lastModifiedBy>Desmond  Manuel</cp:lastModifiedBy>
  <dcterms:created xsi:type="dcterms:W3CDTF">2025-07-08T16:44:03Z</dcterms:created>
  <dcterms:modified xsi:type="dcterms:W3CDTF">2025-07-08T16:50:53Z</dcterms:modified>
</cp:coreProperties>
</file>