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cht180/Documents/disparities_geocoding/DNA Methylation and Adversity/Original Data/From Emily/MBMS_and_MESA_materials/"/>
    </mc:Choice>
  </mc:AlternateContent>
  <xr:revisionPtr revIDLastSave="0" documentId="13_ncr:1_{9DE9ACDF-668F-0744-AF0D-E36EDF8AD780}" xr6:coauthVersionLast="47" xr6:coauthVersionMax="47" xr10:uidLastSave="{00000000-0000-0000-0000-000000000000}"/>
  <bookViews>
    <workbookView xWindow="0" yWindow="460" windowWidth="25580" windowHeight="20520" activeTab="1" xr2:uid="{00000000-000D-0000-FFFF-FFFF00000000}"/>
  </bookViews>
  <sheets>
    <sheet name="1940,1950,1960_RACE" sheetId="4" r:id="rId1"/>
    <sheet name="1940,1950,1960_OCC" sheetId="5" r:id="rId2"/>
  </sheets>
  <definedNames>
    <definedName name="_xlnm.Print_Area" localSheetId="1">'1940,1950,1960_OCC'!$Y$2:$AB$287</definedName>
    <definedName name="_xlnm.Print_Area" localSheetId="0">'1940,1950,1960_RACE'!$Y$2:$AB$287</definedName>
    <definedName name="_xlnm.Print_Titles" localSheetId="1">'1940,1950,1960_OCC'!$A:$D</definedName>
    <definedName name="_xlnm.Print_Titles" localSheetId="0">'1940,1950,1960_RACE'!$A:$D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4" l="1"/>
  <c r="N5" i="4"/>
  <c r="N4" i="4"/>
  <c r="AF61" i="5"/>
  <c r="AF209" i="5"/>
  <c r="K181" i="5"/>
  <c r="K92" i="5"/>
  <c r="L3" i="5" l="1"/>
  <c r="M3" i="5" s="1"/>
  <c r="N3" i="5"/>
  <c r="V3" i="5"/>
  <c r="W3" i="5" s="1"/>
  <c r="X3" i="5"/>
  <c r="AF3" i="5"/>
  <c r="AG3" i="5" s="1"/>
  <c r="AH3" i="5" s="1"/>
  <c r="AI3" i="5"/>
  <c r="K4" i="5"/>
  <c r="L4" i="5" s="1"/>
  <c r="M4" i="5" s="1"/>
  <c r="N4" i="5"/>
  <c r="V4" i="5"/>
  <c r="W4" i="5" s="1"/>
  <c r="X4" i="5"/>
  <c r="AG4" i="5"/>
  <c r="AH4" i="5" s="1"/>
  <c r="AI4" i="5"/>
  <c r="K5" i="5"/>
  <c r="L5" i="5"/>
  <c r="M5" i="5" s="1"/>
  <c r="N5" i="5"/>
  <c r="V5" i="5"/>
  <c r="W5" i="5" s="1"/>
  <c r="X5" i="5"/>
  <c r="AG5" i="5"/>
  <c r="AH5" i="5" s="1"/>
  <c r="AI5" i="5"/>
  <c r="K6" i="5"/>
  <c r="L6" i="5" s="1"/>
  <c r="M6" i="5" s="1"/>
  <c r="N6" i="5"/>
  <c r="V6" i="5"/>
  <c r="W6" i="5" s="1"/>
  <c r="X6" i="5"/>
  <c r="AF6" i="5"/>
  <c r="AG6" i="5"/>
  <c r="AH6" i="5" s="1"/>
  <c r="AI6" i="5"/>
  <c r="K7" i="5"/>
  <c r="L7" i="5" s="1"/>
  <c r="M7" i="5" s="1"/>
  <c r="N7" i="5"/>
  <c r="V7" i="5"/>
  <c r="W7" i="5"/>
  <c r="X7" i="5"/>
  <c r="AG7" i="5"/>
  <c r="AH7" i="5" s="1"/>
  <c r="AI7" i="5"/>
  <c r="K8" i="5"/>
  <c r="L8" i="5" s="1"/>
  <c r="M8" i="5" s="1"/>
  <c r="N8" i="5"/>
  <c r="V8" i="5"/>
  <c r="W8" i="5"/>
  <c r="X8" i="5"/>
  <c r="AF8" i="5"/>
  <c r="AG8" i="5" s="1"/>
  <c r="AH8" i="5" s="1"/>
  <c r="AI8" i="5"/>
  <c r="K9" i="5"/>
  <c r="L9" i="5" s="1"/>
  <c r="M9" i="5"/>
  <c r="N9" i="5"/>
  <c r="V9" i="5"/>
  <c r="W9" i="5" s="1"/>
  <c r="X9" i="5"/>
  <c r="AG9" i="5"/>
  <c r="AH9" i="5" s="1"/>
  <c r="AI9" i="5"/>
  <c r="K10" i="5"/>
  <c r="L10" i="5" s="1"/>
  <c r="M10" i="5" s="1"/>
  <c r="N10" i="5"/>
  <c r="V10" i="5"/>
  <c r="W10" i="5" s="1"/>
  <c r="X10" i="5"/>
  <c r="AG10" i="5"/>
  <c r="AH10" i="5" s="1"/>
  <c r="AI10" i="5"/>
  <c r="K11" i="5"/>
  <c r="L11" i="5" s="1"/>
  <c r="M11" i="5" s="1"/>
  <c r="N11" i="5"/>
  <c r="V11" i="5"/>
  <c r="W11" i="5" s="1"/>
  <c r="X11" i="5"/>
  <c r="AG11" i="5"/>
  <c r="AH11" i="5" s="1"/>
  <c r="AI11" i="5"/>
  <c r="K12" i="5"/>
  <c r="L12" i="5" s="1"/>
  <c r="M12" i="5" s="1"/>
  <c r="N12" i="5"/>
  <c r="V12" i="5"/>
  <c r="W12" i="5" s="1"/>
  <c r="X12" i="5"/>
  <c r="AF12" i="5"/>
  <c r="AG12" i="5" s="1"/>
  <c r="AH12" i="5" s="1"/>
  <c r="AI12" i="5"/>
  <c r="K13" i="5"/>
  <c r="L13" i="5" s="1"/>
  <c r="M13" i="5" s="1"/>
  <c r="N13" i="5"/>
  <c r="V13" i="5"/>
  <c r="W13" i="5" s="1"/>
  <c r="X13" i="5"/>
  <c r="AG13" i="5"/>
  <c r="AH13" i="5" s="1"/>
  <c r="AI13" i="5"/>
  <c r="K14" i="5"/>
  <c r="L14" i="5" s="1"/>
  <c r="M14" i="5" s="1"/>
  <c r="N14" i="5"/>
  <c r="V14" i="5"/>
  <c r="W14" i="5"/>
  <c r="X14" i="5"/>
  <c r="AG14" i="5"/>
  <c r="AH14" i="5" s="1"/>
  <c r="AI14" i="5"/>
  <c r="K15" i="5"/>
  <c r="L15" i="5" s="1"/>
  <c r="M15" i="5" s="1"/>
  <c r="N15" i="5"/>
  <c r="V15" i="5"/>
  <c r="W15" i="5" s="1"/>
  <c r="X15" i="5"/>
  <c r="AG15" i="5"/>
  <c r="AH15" i="5" s="1"/>
  <c r="AI15" i="5"/>
  <c r="K17" i="5"/>
  <c r="L17" i="5"/>
  <c r="M17" i="5" s="1"/>
  <c r="N17" i="5"/>
  <c r="V17" i="5"/>
  <c r="W17" i="5" s="1"/>
  <c r="X17" i="5"/>
  <c r="AG17" i="5"/>
  <c r="AH17" i="5" s="1"/>
  <c r="AI17" i="5"/>
  <c r="L19" i="5"/>
  <c r="M19" i="5"/>
  <c r="N19" i="5"/>
  <c r="V19" i="5"/>
  <c r="W19" i="5" s="1"/>
  <c r="X19" i="5"/>
  <c r="AF19" i="5"/>
  <c r="AG19" i="5" s="1"/>
  <c r="AH19" i="5" s="1"/>
  <c r="AI19" i="5"/>
  <c r="K20" i="5"/>
  <c r="L20" i="5" s="1"/>
  <c r="M20" i="5" s="1"/>
  <c r="N20" i="5"/>
  <c r="V20" i="5"/>
  <c r="W20" i="5" s="1"/>
  <c r="X20" i="5"/>
  <c r="AG20" i="5"/>
  <c r="AH20" i="5" s="1"/>
  <c r="AI20" i="5"/>
  <c r="K21" i="5"/>
  <c r="L21" i="5" s="1"/>
  <c r="M21" i="5" s="1"/>
  <c r="N21" i="5"/>
  <c r="V21" i="5"/>
  <c r="W21" i="5" s="1"/>
  <c r="X21" i="5"/>
  <c r="AG21" i="5"/>
  <c r="AH21" i="5" s="1"/>
  <c r="AI21" i="5"/>
  <c r="K22" i="5"/>
  <c r="L22" i="5"/>
  <c r="M22" i="5" s="1"/>
  <c r="N22" i="5"/>
  <c r="V22" i="5"/>
  <c r="W22" i="5" s="1"/>
  <c r="X22" i="5"/>
  <c r="AF22" i="5"/>
  <c r="AG22" i="5" s="1"/>
  <c r="AH22" i="5" s="1"/>
  <c r="AI22" i="5"/>
  <c r="K23" i="5"/>
  <c r="L23" i="5" s="1"/>
  <c r="M23" i="5" s="1"/>
  <c r="N23" i="5"/>
  <c r="V23" i="5"/>
  <c r="W23" i="5" s="1"/>
  <c r="X23" i="5"/>
  <c r="AG23" i="5"/>
  <c r="AH23" i="5" s="1"/>
  <c r="AI23" i="5"/>
  <c r="K24" i="5"/>
  <c r="L24" i="5" s="1"/>
  <c r="M24" i="5" s="1"/>
  <c r="N24" i="5"/>
  <c r="V24" i="5"/>
  <c r="W24" i="5" s="1"/>
  <c r="X24" i="5"/>
  <c r="AG24" i="5"/>
  <c r="AH24" i="5" s="1"/>
  <c r="AI24" i="5"/>
  <c r="K26" i="5"/>
  <c r="L26" i="5" s="1"/>
  <c r="M26" i="5" s="1"/>
  <c r="N26" i="5"/>
  <c r="V26" i="5"/>
  <c r="W26" i="5" s="1"/>
  <c r="X26" i="5"/>
  <c r="AG26" i="5"/>
  <c r="AH26" i="5" s="1"/>
  <c r="AI26" i="5"/>
  <c r="K27" i="5"/>
  <c r="L27" i="5" s="1"/>
  <c r="M27" i="5" s="1"/>
  <c r="N27" i="5"/>
  <c r="V27" i="5"/>
  <c r="W27" i="5" s="1"/>
  <c r="X27" i="5"/>
  <c r="AG27" i="5"/>
  <c r="AH27" i="5"/>
  <c r="AI27" i="5"/>
  <c r="K28" i="5"/>
  <c r="L28" i="5" s="1"/>
  <c r="M28" i="5" s="1"/>
  <c r="N28" i="5"/>
  <c r="V28" i="5"/>
  <c r="W28" i="5" s="1"/>
  <c r="X28" i="5"/>
  <c r="AG28" i="5"/>
  <c r="AH28" i="5"/>
  <c r="AI28" i="5"/>
  <c r="K29" i="5"/>
  <c r="L29" i="5" s="1"/>
  <c r="M29" i="5" s="1"/>
  <c r="N29" i="5"/>
  <c r="V29" i="5"/>
  <c r="W29" i="5" s="1"/>
  <c r="X29" i="5"/>
  <c r="AG29" i="5"/>
  <c r="AH29" i="5" s="1"/>
  <c r="AI29" i="5"/>
  <c r="K30" i="5"/>
  <c r="L30" i="5" s="1"/>
  <c r="M30" i="5" s="1"/>
  <c r="N30" i="5"/>
  <c r="V30" i="5"/>
  <c r="W30" i="5" s="1"/>
  <c r="X30" i="5"/>
  <c r="AG30" i="5"/>
  <c r="AH30" i="5" s="1"/>
  <c r="AI30" i="5"/>
  <c r="K32" i="5"/>
  <c r="L32" i="5" s="1"/>
  <c r="M32" i="5" s="1"/>
  <c r="N32" i="5"/>
  <c r="V32" i="5"/>
  <c r="W32" i="5" s="1"/>
  <c r="X32" i="5"/>
  <c r="AG32" i="5"/>
  <c r="AH32" i="5" s="1"/>
  <c r="AI32" i="5"/>
  <c r="K33" i="5"/>
  <c r="L33" i="5" s="1"/>
  <c r="M33" i="5" s="1"/>
  <c r="N33" i="5"/>
  <c r="V33" i="5"/>
  <c r="W33" i="5"/>
  <c r="X33" i="5"/>
  <c r="AG33" i="5"/>
  <c r="AH33" i="5" s="1"/>
  <c r="AI33" i="5"/>
  <c r="K34" i="5"/>
  <c r="L34" i="5" s="1"/>
  <c r="M34" i="5" s="1"/>
  <c r="N34" i="5"/>
  <c r="V34" i="5"/>
  <c r="W34" i="5" s="1"/>
  <c r="X34" i="5"/>
  <c r="AG34" i="5"/>
  <c r="AH34" i="5" s="1"/>
  <c r="AI34" i="5"/>
  <c r="K35" i="5"/>
  <c r="L35" i="5"/>
  <c r="M35" i="5" s="1"/>
  <c r="N35" i="5"/>
  <c r="V35" i="5"/>
  <c r="W35" i="5" s="1"/>
  <c r="X35" i="5"/>
  <c r="AG35" i="5"/>
  <c r="AH35" i="5" s="1"/>
  <c r="AI35" i="5"/>
  <c r="K37" i="5"/>
  <c r="L37" i="5" s="1"/>
  <c r="M37" i="5" s="1"/>
  <c r="N37" i="5"/>
  <c r="V37" i="5"/>
  <c r="W37" i="5" s="1"/>
  <c r="X37" i="5"/>
  <c r="AG37" i="5"/>
  <c r="AH37" i="5" s="1"/>
  <c r="AI37" i="5"/>
  <c r="I38" i="5"/>
  <c r="K38" i="5"/>
  <c r="V38" i="5"/>
  <c r="W38" i="5"/>
  <c r="X38" i="5"/>
  <c r="AG38" i="5"/>
  <c r="AH38" i="5" s="1"/>
  <c r="AI38" i="5"/>
  <c r="K39" i="5"/>
  <c r="L39" i="5" s="1"/>
  <c r="M39" i="5" s="1"/>
  <c r="N39" i="5"/>
  <c r="V39" i="5"/>
  <c r="W39" i="5" s="1"/>
  <c r="X39" i="5"/>
  <c r="AG39" i="5"/>
  <c r="AH39" i="5" s="1"/>
  <c r="AI39" i="5"/>
  <c r="K40" i="5"/>
  <c r="L40" i="5"/>
  <c r="M40" i="5" s="1"/>
  <c r="N40" i="5"/>
  <c r="V40" i="5"/>
  <c r="W40" i="5" s="1"/>
  <c r="X40" i="5"/>
  <c r="AF40" i="5"/>
  <c r="AG40" i="5" s="1"/>
  <c r="AH40" i="5" s="1"/>
  <c r="AI40" i="5"/>
  <c r="K41" i="5"/>
  <c r="L41" i="5" s="1"/>
  <c r="M41" i="5" s="1"/>
  <c r="N41" i="5"/>
  <c r="V41" i="5"/>
  <c r="W41" i="5" s="1"/>
  <c r="X41" i="5"/>
  <c r="AG41" i="5"/>
  <c r="AH41" i="5"/>
  <c r="AI41" i="5"/>
  <c r="K43" i="5"/>
  <c r="L43" i="5" s="1"/>
  <c r="M43" i="5" s="1"/>
  <c r="N43" i="5"/>
  <c r="V43" i="5"/>
  <c r="W43" i="5" s="1"/>
  <c r="X43" i="5"/>
  <c r="AG43" i="5"/>
  <c r="AH43" i="5" s="1"/>
  <c r="AI43" i="5"/>
  <c r="K45" i="5"/>
  <c r="L45" i="5" s="1"/>
  <c r="M45" i="5" s="1"/>
  <c r="N45" i="5"/>
  <c r="V45" i="5"/>
  <c r="W45" i="5" s="1"/>
  <c r="X45" i="5"/>
  <c r="AG45" i="5"/>
  <c r="AH45" i="5" s="1"/>
  <c r="AI45" i="5"/>
  <c r="K46" i="5"/>
  <c r="L46" i="5" s="1"/>
  <c r="M46" i="5" s="1"/>
  <c r="N46" i="5"/>
  <c r="V46" i="5"/>
  <c r="W46" i="5" s="1"/>
  <c r="X46" i="5"/>
  <c r="AG46" i="5"/>
  <c r="AH46" i="5"/>
  <c r="AI46" i="5"/>
  <c r="K47" i="5"/>
  <c r="L47" i="5" s="1"/>
  <c r="M47" i="5" s="1"/>
  <c r="N47" i="5"/>
  <c r="V47" i="5"/>
  <c r="W47" i="5" s="1"/>
  <c r="X47" i="5"/>
  <c r="AG47" i="5"/>
  <c r="AH47" i="5"/>
  <c r="AI47" i="5"/>
  <c r="K48" i="5"/>
  <c r="L48" i="5" s="1"/>
  <c r="M48" i="5" s="1"/>
  <c r="N48" i="5"/>
  <c r="V48" i="5"/>
  <c r="W48" i="5" s="1"/>
  <c r="X48" i="5"/>
  <c r="AG48" i="5"/>
  <c r="AH48" i="5" s="1"/>
  <c r="AI48" i="5"/>
  <c r="K49" i="5"/>
  <c r="L49" i="5" s="1"/>
  <c r="M49" i="5"/>
  <c r="N49" i="5"/>
  <c r="V49" i="5"/>
  <c r="W49" i="5" s="1"/>
  <c r="X49" i="5"/>
  <c r="AG49" i="5"/>
  <c r="AH49" i="5" s="1"/>
  <c r="AI49" i="5"/>
  <c r="K50" i="5"/>
  <c r="L50" i="5" s="1"/>
  <c r="M50" i="5"/>
  <c r="N50" i="5"/>
  <c r="V50" i="5"/>
  <c r="W50" i="5" s="1"/>
  <c r="X50" i="5"/>
  <c r="AG50" i="5"/>
  <c r="AH50" i="5" s="1"/>
  <c r="AI50" i="5"/>
  <c r="K51" i="5"/>
  <c r="L51" i="5" s="1"/>
  <c r="M51" i="5" s="1"/>
  <c r="N51" i="5"/>
  <c r="V51" i="5"/>
  <c r="W51" i="5" s="1"/>
  <c r="X51" i="5"/>
  <c r="AF51" i="5"/>
  <c r="AG51" i="5"/>
  <c r="AH51" i="5" s="1"/>
  <c r="AI51" i="5"/>
  <c r="K52" i="5"/>
  <c r="L52" i="5" s="1"/>
  <c r="M52" i="5"/>
  <c r="N52" i="5"/>
  <c r="V52" i="5"/>
  <c r="W52" i="5" s="1"/>
  <c r="X52" i="5"/>
  <c r="AG52" i="5"/>
  <c r="AH52" i="5" s="1"/>
  <c r="AI52" i="5"/>
  <c r="L56" i="5"/>
  <c r="M56" i="5" s="1"/>
  <c r="N56" i="5"/>
  <c r="V56" i="5"/>
  <c r="W56" i="5" s="1"/>
  <c r="X56" i="5"/>
  <c r="AG56" i="5"/>
  <c r="AH56" i="5"/>
  <c r="AI56" i="5"/>
  <c r="K57" i="5"/>
  <c r="L57" i="5" s="1"/>
  <c r="M57" i="5" s="1"/>
  <c r="N57" i="5"/>
  <c r="V57" i="5"/>
  <c r="W57" i="5" s="1"/>
  <c r="X57" i="5"/>
  <c r="AF57" i="5"/>
  <c r="AG57" i="5" s="1"/>
  <c r="AH57" i="5" s="1"/>
  <c r="AI57" i="5"/>
  <c r="K58" i="5"/>
  <c r="L58" i="5" s="1"/>
  <c r="M58" i="5" s="1"/>
  <c r="N58" i="5"/>
  <c r="V58" i="5"/>
  <c r="W58" i="5" s="1"/>
  <c r="X58" i="5"/>
  <c r="AG58" i="5"/>
  <c r="AH58" i="5" s="1"/>
  <c r="AI58" i="5"/>
  <c r="L59" i="5"/>
  <c r="M59" i="5"/>
  <c r="N59" i="5"/>
  <c r="V59" i="5"/>
  <c r="W59" i="5" s="1"/>
  <c r="X59" i="5"/>
  <c r="AF59" i="5"/>
  <c r="AG59" i="5" s="1"/>
  <c r="AH59" i="5" s="1"/>
  <c r="AI59" i="5"/>
  <c r="K60" i="5"/>
  <c r="L60" i="5" s="1"/>
  <c r="M60" i="5" s="1"/>
  <c r="N60" i="5"/>
  <c r="V60" i="5"/>
  <c r="W60" i="5" s="1"/>
  <c r="X60" i="5"/>
  <c r="AG60" i="5"/>
  <c r="AH60" i="5" s="1"/>
  <c r="AI60" i="5"/>
  <c r="K61" i="5"/>
  <c r="L61" i="5"/>
  <c r="M61" i="5" s="1"/>
  <c r="N61" i="5"/>
  <c r="V61" i="5"/>
  <c r="W61" i="5" s="1"/>
  <c r="X61" i="5"/>
  <c r="AG61" i="5"/>
  <c r="AH61" i="5" s="1"/>
  <c r="AI61" i="5"/>
  <c r="K62" i="5"/>
  <c r="L62" i="5" s="1"/>
  <c r="M62" i="5" s="1"/>
  <c r="N62" i="5"/>
  <c r="V62" i="5"/>
  <c r="W62" i="5" s="1"/>
  <c r="X62" i="5"/>
  <c r="AG62" i="5"/>
  <c r="AH62" i="5" s="1"/>
  <c r="AI62" i="5"/>
  <c r="L63" i="5"/>
  <c r="M63" i="5"/>
  <c r="V63" i="5"/>
  <c r="W63" i="5" s="1"/>
  <c r="AG63" i="5"/>
  <c r="AH63" i="5" s="1"/>
  <c r="L65" i="5"/>
  <c r="M65" i="5" s="1"/>
  <c r="V65" i="5"/>
  <c r="W65" i="5" s="1"/>
  <c r="AG65" i="5"/>
  <c r="AH65" i="5" s="1"/>
  <c r="AI65" i="5"/>
  <c r="K68" i="5"/>
  <c r="L68" i="5" s="1"/>
  <c r="M68" i="5" s="1"/>
  <c r="N68" i="5"/>
  <c r="V68" i="5"/>
  <c r="W68" i="5" s="1"/>
  <c r="X68" i="5"/>
  <c r="AG68" i="5"/>
  <c r="AH68" i="5" s="1"/>
  <c r="AI68" i="5"/>
  <c r="K69" i="5"/>
  <c r="L69" i="5" s="1"/>
  <c r="M69" i="5" s="1"/>
  <c r="N69" i="5"/>
  <c r="V69" i="5"/>
  <c r="W69" i="5" s="1"/>
  <c r="X69" i="5"/>
  <c r="AG69" i="5"/>
  <c r="AH69" i="5" s="1"/>
  <c r="AI69" i="5"/>
  <c r="K71" i="5"/>
  <c r="L71" i="5" s="1"/>
  <c r="M71" i="5" s="1"/>
  <c r="N71" i="5"/>
  <c r="V71" i="5"/>
  <c r="W71" i="5" s="1"/>
  <c r="X71" i="5"/>
  <c r="AG71" i="5"/>
  <c r="AH71" i="5"/>
  <c r="AI71" i="5"/>
  <c r="L72" i="5"/>
  <c r="M72" i="5" s="1"/>
  <c r="N72" i="5"/>
  <c r="V72" i="5"/>
  <c r="W72" i="5" s="1"/>
  <c r="X72" i="5"/>
  <c r="AG72" i="5"/>
  <c r="AH72" i="5"/>
  <c r="AI72" i="5"/>
  <c r="K73" i="5"/>
  <c r="L73" i="5" s="1"/>
  <c r="M73" i="5" s="1"/>
  <c r="N73" i="5"/>
  <c r="V73" i="5"/>
  <c r="W73" i="5" s="1"/>
  <c r="X73" i="5"/>
  <c r="AG73" i="5"/>
  <c r="AH73" i="5"/>
  <c r="AI73" i="5"/>
  <c r="M74" i="5"/>
  <c r="W74" i="5"/>
  <c r="AH74" i="5"/>
  <c r="L75" i="5"/>
  <c r="M75" i="5"/>
  <c r="V75" i="5"/>
  <c r="W75" i="5"/>
  <c r="AG75" i="5"/>
  <c r="AH75" i="5" s="1"/>
  <c r="M76" i="5"/>
  <c r="W76" i="5"/>
  <c r="AH76" i="5"/>
  <c r="K77" i="5"/>
  <c r="L77" i="5" s="1"/>
  <c r="M77" i="5"/>
  <c r="N77" i="5"/>
  <c r="V77" i="5"/>
  <c r="W77" i="5" s="1"/>
  <c r="X77" i="5"/>
  <c r="AG77" i="5"/>
  <c r="AH77" i="5" s="1"/>
  <c r="AI77" i="5"/>
  <c r="K78" i="5"/>
  <c r="L78" i="5" s="1"/>
  <c r="M78" i="5" s="1"/>
  <c r="N78" i="5"/>
  <c r="V78" i="5"/>
  <c r="W78" i="5" s="1"/>
  <c r="X78" i="5"/>
  <c r="AG78" i="5"/>
  <c r="AH78" i="5"/>
  <c r="AI78" i="5"/>
  <c r="K80" i="5"/>
  <c r="L80" i="5" s="1"/>
  <c r="M80" i="5" s="1"/>
  <c r="N80" i="5"/>
  <c r="V80" i="5"/>
  <c r="W80" i="5" s="1"/>
  <c r="X80" i="5"/>
  <c r="AG80" i="5"/>
  <c r="AH80" i="5" s="1"/>
  <c r="AI80" i="5"/>
  <c r="K81" i="5"/>
  <c r="L81" i="5" s="1"/>
  <c r="M81" i="5" s="1"/>
  <c r="N81" i="5"/>
  <c r="V81" i="5"/>
  <c r="W81" i="5" s="1"/>
  <c r="X81" i="5"/>
  <c r="AG81" i="5"/>
  <c r="AH81" i="5"/>
  <c r="AI81" i="5"/>
  <c r="K83" i="5"/>
  <c r="L83" i="5" s="1"/>
  <c r="M83" i="5" s="1"/>
  <c r="N83" i="5"/>
  <c r="V83" i="5"/>
  <c r="W83" i="5" s="1"/>
  <c r="X83" i="5"/>
  <c r="AG83" i="5"/>
  <c r="AH83" i="5" s="1"/>
  <c r="AI83" i="5"/>
  <c r="K84" i="5"/>
  <c r="L84" i="5" s="1"/>
  <c r="M84" i="5" s="1"/>
  <c r="N84" i="5"/>
  <c r="V84" i="5"/>
  <c r="W84" i="5"/>
  <c r="X84" i="5"/>
  <c r="AF84" i="5"/>
  <c r="AG84" i="5" s="1"/>
  <c r="AH84" i="5" s="1"/>
  <c r="AI84" i="5"/>
  <c r="K85" i="5"/>
  <c r="L85" i="5"/>
  <c r="M85" i="5" s="1"/>
  <c r="N85" i="5"/>
  <c r="V85" i="5"/>
  <c r="W85" i="5"/>
  <c r="X85" i="5"/>
  <c r="AF85" i="5"/>
  <c r="AG85" i="5" s="1"/>
  <c r="AH85" i="5" s="1"/>
  <c r="AI85" i="5"/>
  <c r="K86" i="5"/>
  <c r="L86" i="5" s="1"/>
  <c r="M86" i="5" s="1"/>
  <c r="N86" i="5"/>
  <c r="V86" i="5"/>
  <c r="W86" i="5" s="1"/>
  <c r="X86" i="5"/>
  <c r="AG86" i="5"/>
  <c r="AH86" i="5" s="1"/>
  <c r="AI86" i="5"/>
  <c r="K88" i="5"/>
  <c r="L88" i="5" s="1"/>
  <c r="M88" i="5" s="1"/>
  <c r="N88" i="5"/>
  <c r="V88" i="5"/>
  <c r="W88" i="5"/>
  <c r="X88" i="5"/>
  <c r="AG88" i="5"/>
  <c r="AH88" i="5" s="1"/>
  <c r="AI88" i="5"/>
  <c r="K89" i="5"/>
  <c r="L89" i="5" s="1"/>
  <c r="M89" i="5" s="1"/>
  <c r="N89" i="5"/>
  <c r="V89" i="5"/>
  <c r="W89" i="5" s="1"/>
  <c r="X89" i="5"/>
  <c r="AF89" i="5"/>
  <c r="AG89" i="5" s="1"/>
  <c r="AH89" i="5" s="1"/>
  <c r="AI89" i="5"/>
  <c r="K91" i="5"/>
  <c r="L91" i="5"/>
  <c r="M91" i="5" s="1"/>
  <c r="N91" i="5"/>
  <c r="V91" i="5"/>
  <c r="W91" i="5" s="1"/>
  <c r="X91" i="5"/>
  <c r="AF91" i="5"/>
  <c r="AG91" i="5" s="1"/>
  <c r="AH91" i="5" s="1"/>
  <c r="AI91" i="5"/>
  <c r="L92" i="5"/>
  <c r="M92" i="5" s="1"/>
  <c r="N92" i="5"/>
  <c r="V92" i="5"/>
  <c r="W92" i="5" s="1"/>
  <c r="X92" i="5"/>
  <c r="AF92" i="5"/>
  <c r="AG92" i="5" s="1"/>
  <c r="AH92" i="5"/>
  <c r="AI92" i="5"/>
  <c r="K93" i="5"/>
  <c r="L93" i="5" s="1"/>
  <c r="M93" i="5" s="1"/>
  <c r="N93" i="5"/>
  <c r="V93" i="5"/>
  <c r="W93" i="5" s="1"/>
  <c r="X93" i="5"/>
  <c r="AG93" i="5"/>
  <c r="AH93" i="5" s="1"/>
  <c r="AI93" i="5"/>
  <c r="K94" i="5"/>
  <c r="L94" i="5" s="1"/>
  <c r="M94" i="5"/>
  <c r="N94" i="5"/>
  <c r="V94" i="5"/>
  <c r="W94" i="5" s="1"/>
  <c r="X94" i="5"/>
  <c r="AG94" i="5"/>
  <c r="AH94" i="5" s="1"/>
  <c r="AI94" i="5"/>
  <c r="K95" i="5"/>
  <c r="L95" i="5" s="1"/>
  <c r="M95" i="5"/>
  <c r="N95" i="5"/>
  <c r="V95" i="5"/>
  <c r="W95" i="5" s="1"/>
  <c r="X95" i="5"/>
  <c r="AG95" i="5"/>
  <c r="AH95" i="5" s="1"/>
  <c r="AI95" i="5"/>
  <c r="K96" i="5"/>
  <c r="L96" i="5" s="1"/>
  <c r="M96" i="5" s="1"/>
  <c r="N96" i="5"/>
  <c r="V96" i="5"/>
  <c r="W96" i="5" s="1"/>
  <c r="X96" i="5"/>
  <c r="AG96" i="5"/>
  <c r="AH96" i="5"/>
  <c r="AI96" i="5"/>
  <c r="K97" i="5"/>
  <c r="L97" i="5" s="1"/>
  <c r="M97" i="5" s="1"/>
  <c r="N97" i="5"/>
  <c r="V97" i="5"/>
  <c r="W97" i="5" s="1"/>
  <c r="X97" i="5"/>
  <c r="AG97" i="5"/>
  <c r="AH97" i="5" s="1"/>
  <c r="AI97" i="5"/>
  <c r="K98" i="5"/>
  <c r="L98" i="5" s="1"/>
  <c r="M98" i="5" s="1"/>
  <c r="N98" i="5"/>
  <c r="V98" i="5"/>
  <c r="W98" i="5" s="1"/>
  <c r="X98" i="5"/>
  <c r="AG98" i="5"/>
  <c r="AH98" i="5"/>
  <c r="AI98" i="5"/>
  <c r="K99" i="5"/>
  <c r="L99" i="5" s="1"/>
  <c r="M99" i="5" s="1"/>
  <c r="N99" i="5"/>
  <c r="V99" i="5"/>
  <c r="W99" i="5" s="1"/>
  <c r="X99" i="5"/>
  <c r="AG99" i="5"/>
  <c r="AH99" i="5" s="1"/>
  <c r="AI99" i="5"/>
  <c r="K100" i="5"/>
  <c r="L100" i="5" s="1"/>
  <c r="M100" i="5" s="1"/>
  <c r="N100" i="5"/>
  <c r="V100" i="5"/>
  <c r="W100" i="5"/>
  <c r="X100" i="5"/>
  <c r="AG100" i="5"/>
  <c r="AH100" i="5" s="1"/>
  <c r="AI100" i="5"/>
  <c r="K101" i="5"/>
  <c r="L101" i="5" s="1"/>
  <c r="M101" i="5" s="1"/>
  <c r="N101" i="5"/>
  <c r="V101" i="5"/>
  <c r="W101" i="5" s="1"/>
  <c r="X101" i="5"/>
  <c r="AG101" i="5"/>
  <c r="AH101" i="5" s="1"/>
  <c r="AI101" i="5"/>
  <c r="K102" i="5"/>
  <c r="L102" i="5"/>
  <c r="M102" i="5" s="1"/>
  <c r="N102" i="5"/>
  <c r="V102" i="5"/>
  <c r="W102" i="5" s="1"/>
  <c r="X102" i="5"/>
  <c r="AG102" i="5"/>
  <c r="AH102" i="5"/>
  <c r="AI102" i="5"/>
  <c r="K103" i="5"/>
  <c r="L103" i="5" s="1"/>
  <c r="M103" i="5" s="1"/>
  <c r="N103" i="5"/>
  <c r="V103" i="5"/>
  <c r="W103" i="5" s="1"/>
  <c r="X103" i="5"/>
  <c r="AG103" i="5"/>
  <c r="AH103" i="5" s="1"/>
  <c r="AI103" i="5"/>
  <c r="K104" i="5"/>
  <c r="L104" i="5" s="1"/>
  <c r="M104" i="5" s="1"/>
  <c r="N104" i="5"/>
  <c r="V104" i="5"/>
  <c r="W104" i="5"/>
  <c r="X104" i="5"/>
  <c r="AG104" i="5"/>
  <c r="AH104" i="5" s="1"/>
  <c r="AI104" i="5"/>
  <c r="K105" i="5"/>
  <c r="L105" i="5" s="1"/>
  <c r="M105" i="5" s="1"/>
  <c r="N105" i="5"/>
  <c r="V105" i="5"/>
  <c r="W105" i="5" s="1"/>
  <c r="X105" i="5"/>
  <c r="AG105" i="5"/>
  <c r="AH105" i="5" s="1"/>
  <c r="AI105" i="5"/>
  <c r="K106" i="5"/>
  <c r="L106" i="5"/>
  <c r="M106" i="5" s="1"/>
  <c r="N106" i="5"/>
  <c r="V106" i="5"/>
  <c r="W106" i="5" s="1"/>
  <c r="X106" i="5"/>
  <c r="AG106" i="5"/>
  <c r="AH106" i="5" s="1"/>
  <c r="AI106" i="5"/>
  <c r="K107" i="5"/>
  <c r="L107" i="5" s="1"/>
  <c r="M107" i="5" s="1"/>
  <c r="N107" i="5"/>
  <c r="V107" i="5"/>
  <c r="W107" i="5" s="1"/>
  <c r="X107" i="5"/>
  <c r="AG107" i="5"/>
  <c r="AH107" i="5"/>
  <c r="AI107" i="5"/>
  <c r="K108" i="5"/>
  <c r="L108" i="5" s="1"/>
  <c r="M108" i="5" s="1"/>
  <c r="N108" i="5"/>
  <c r="V108" i="5"/>
  <c r="W108" i="5" s="1"/>
  <c r="X108" i="5"/>
  <c r="AG108" i="5"/>
  <c r="AH108" i="5"/>
  <c r="AI108" i="5"/>
  <c r="K109" i="5"/>
  <c r="L109" i="5" s="1"/>
  <c r="M109" i="5" s="1"/>
  <c r="N109" i="5"/>
  <c r="V109" i="5"/>
  <c r="W109" i="5" s="1"/>
  <c r="X109" i="5"/>
  <c r="AF109" i="5"/>
  <c r="AG109" i="5" s="1"/>
  <c r="AH109" i="5" s="1"/>
  <c r="AI109" i="5"/>
  <c r="K110" i="5"/>
  <c r="L110" i="5" s="1"/>
  <c r="M110" i="5" s="1"/>
  <c r="N110" i="5"/>
  <c r="V110" i="5"/>
  <c r="W110" i="5" s="1"/>
  <c r="X110" i="5"/>
  <c r="AG110" i="5"/>
  <c r="AH110" i="5" s="1"/>
  <c r="AI110" i="5"/>
  <c r="K111" i="5"/>
  <c r="L111" i="5"/>
  <c r="M111" i="5" s="1"/>
  <c r="N111" i="5"/>
  <c r="V111" i="5"/>
  <c r="W111" i="5" s="1"/>
  <c r="X111" i="5"/>
  <c r="AG111" i="5"/>
  <c r="AH111" i="5" s="1"/>
  <c r="AI111" i="5"/>
  <c r="L112" i="5"/>
  <c r="M112" i="5" s="1"/>
  <c r="V112" i="5"/>
  <c r="W112" i="5" s="1"/>
  <c r="AG112" i="5"/>
  <c r="AH112" i="5" s="1"/>
  <c r="K113" i="5"/>
  <c r="L113" i="5" s="1"/>
  <c r="M113" i="5" s="1"/>
  <c r="N113" i="5"/>
  <c r="V113" i="5"/>
  <c r="W113" i="5"/>
  <c r="X113" i="5"/>
  <c r="AG113" i="5"/>
  <c r="AH113" i="5" s="1"/>
  <c r="AI113" i="5"/>
  <c r="K114" i="5"/>
  <c r="L114" i="5" s="1"/>
  <c r="M114" i="5" s="1"/>
  <c r="N114" i="5"/>
  <c r="V114" i="5"/>
  <c r="W114" i="5" s="1"/>
  <c r="X114" i="5"/>
  <c r="AG114" i="5"/>
  <c r="AH114" i="5" s="1"/>
  <c r="AI114" i="5"/>
  <c r="K115" i="5"/>
  <c r="L115" i="5"/>
  <c r="M115" i="5" s="1"/>
  <c r="N115" i="5"/>
  <c r="V115" i="5"/>
  <c r="W115" i="5"/>
  <c r="X115" i="5"/>
  <c r="AG115" i="5"/>
  <c r="AH115" i="5" s="1"/>
  <c r="AI115" i="5"/>
  <c r="K116" i="5"/>
  <c r="L116" i="5" s="1"/>
  <c r="M116" i="5" s="1"/>
  <c r="N116" i="5"/>
  <c r="V116" i="5"/>
  <c r="W116" i="5" s="1"/>
  <c r="X116" i="5"/>
  <c r="AG116" i="5"/>
  <c r="AH116" i="5"/>
  <c r="AI116" i="5"/>
  <c r="K117" i="5"/>
  <c r="L117" i="5" s="1"/>
  <c r="M117" i="5" s="1"/>
  <c r="N117" i="5"/>
  <c r="V117" i="5"/>
  <c r="W117" i="5"/>
  <c r="X117" i="5"/>
  <c r="AG117" i="5"/>
  <c r="AH117" i="5" s="1"/>
  <c r="AI117" i="5"/>
  <c r="K118" i="5"/>
  <c r="L118" i="5" s="1"/>
  <c r="M118" i="5" s="1"/>
  <c r="N118" i="5"/>
  <c r="V118" i="5"/>
  <c r="W118" i="5" s="1"/>
  <c r="X118" i="5"/>
  <c r="AG118" i="5"/>
  <c r="AH118" i="5" s="1"/>
  <c r="AI118" i="5"/>
  <c r="K119" i="5"/>
  <c r="L119" i="5"/>
  <c r="M119" i="5" s="1"/>
  <c r="N119" i="5"/>
  <c r="V119" i="5"/>
  <c r="W119" i="5"/>
  <c r="X119" i="5"/>
  <c r="AG119" i="5"/>
  <c r="AH119" i="5" s="1"/>
  <c r="AI119" i="5"/>
  <c r="K120" i="5"/>
  <c r="L120" i="5" s="1"/>
  <c r="M120" i="5" s="1"/>
  <c r="N120" i="5"/>
  <c r="V120" i="5"/>
  <c r="W120" i="5" s="1"/>
  <c r="X120" i="5"/>
  <c r="AG120" i="5"/>
  <c r="AH120" i="5"/>
  <c r="AI120" i="5"/>
  <c r="K121" i="5"/>
  <c r="L121" i="5" s="1"/>
  <c r="M121" i="5" s="1"/>
  <c r="N121" i="5"/>
  <c r="V121" i="5"/>
  <c r="W121" i="5"/>
  <c r="X121" i="5"/>
  <c r="AG121" i="5"/>
  <c r="AH121" i="5" s="1"/>
  <c r="AI121" i="5"/>
  <c r="K122" i="5"/>
  <c r="L122" i="5" s="1"/>
  <c r="M122" i="5" s="1"/>
  <c r="N122" i="5"/>
  <c r="V122" i="5"/>
  <c r="W122" i="5" s="1"/>
  <c r="X122" i="5"/>
  <c r="AG122" i="5"/>
  <c r="AH122" i="5" s="1"/>
  <c r="AI122" i="5"/>
  <c r="K123" i="5"/>
  <c r="L123" i="5"/>
  <c r="M123" i="5" s="1"/>
  <c r="N123" i="5"/>
  <c r="V123" i="5"/>
  <c r="W123" i="5"/>
  <c r="X123" i="5"/>
  <c r="AG123" i="5"/>
  <c r="AH123" i="5" s="1"/>
  <c r="AI123" i="5"/>
  <c r="K124" i="5"/>
  <c r="L124" i="5" s="1"/>
  <c r="M124" i="5" s="1"/>
  <c r="N124" i="5"/>
  <c r="V124" i="5"/>
  <c r="W124" i="5" s="1"/>
  <c r="X124" i="5"/>
  <c r="AG124" i="5"/>
  <c r="AH124" i="5"/>
  <c r="AI124" i="5"/>
  <c r="K125" i="5"/>
  <c r="L125" i="5" s="1"/>
  <c r="M125" i="5" s="1"/>
  <c r="N125" i="5"/>
  <c r="V125" i="5"/>
  <c r="W125" i="5"/>
  <c r="X125" i="5"/>
  <c r="AG125" i="5"/>
  <c r="AH125" i="5" s="1"/>
  <c r="AI125" i="5"/>
  <c r="K126" i="5"/>
  <c r="L126" i="5" s="1"/>
  <c r="M126" i="5" s="1"/>
  <c r="N126" i="5"/>
  <c r="V126" i="5"/>
  <c r="W126" i="5" s="1"/>
  <c r="X126" i="5"/>
  <c r="AG126" i="5"/>
  <c r="AH126" i="5" s="1"/>
  <c r="AI126" i="5"/>
  <c r="K127" i="5"/>
  <c r="L127" i="5"/>
  <c r="M127" i="5" s="1"/>
  <c r="N127" i="5"/>
  <c r="V127" i="5"/>
  <c r="W127" i="5"/>
  <c r="X127" i="5"/>
  <c r="AF127" i="5"/>
  <c r="AG127" i="5" s="1"/>
  <c r="AH127" i="5" s="1"/>
  <c r="AI127" i="5"/>
  <c r="K128" i="5"/>
  <c r="L128" i="5" s="1"/>
  <c r="M128" i="5" s="1"/>
  <c r="N128" i="5"/>
  <c r="V128" i="5"/>
  <c r="W128" i="5" s="1"/>
  <c r="X128" i="5"/>
  <c r="AG128" i="5"/>
  <c r="AH128" i="5" s="1"/>
  <c r="AI128" i="5"/>
  <c r="K129" i="5"/>
  <c r="L129" i="5" s="1"/>
  <c r="M129" i="5" s="1"/>
  <c r="N129" i="5"/>
  <c r="V129" i="5"/>
  <c r="W129" i="5"/>
  <c r="X129" i="5"/>
  <c r="AG129" i="5"/>
  <c r="AH129" i="5" s="1"/>
  <c r="AI129" i="5"/>
  <c r="K130" i="5"/>
  <c r="L130" i="5" s="1"/>
  <c r="M130" i="5" s="1"/>
  <c r="N130" i="5"/>
  <c r="V130" i="5"/>
  <c r="W130" i="5" s="1"/>
  <c r="X130" i="5"/>
  <c r="AG130" i="5"/>
  <c r="AH130" i="5" s="1"/>
  <c r="AI130" i="5"/>
  <c r="K131" i="5"/>
  <c r="L131" i="5"/>
  <c r="M131" i="5" s="1"/>
  <c r="N131" i="5"/>
  <c r="V131" i="5"/>
  <c r="W131" i="5" s="1"/>
  <c r="X131" i="5"/>
  <c r="AG131" i="5"/>
  <c r="AH131" i="5" s="1"/>
  <c r="AI131" i="5"/>
  <c r="K132" i="5"/>
  <c r="L132" i="5" s="1"/>
  <c r="M132" i="5" s="1"/>
  <c r="N132" i="5"/>
  <c r="V132" i="5"/>
  <c r="W132" i="5" s="1"/>
  <c r="X132" i="5"/>
  <c r="AG132" i="5"/>
  <c r="AH132" i="5"/>
  <c r="AI132" i="5"/>
  <c r="K133" i="5"/>
  <c r="L133" i="5" s="1"/>
  <c r="M133" i="5" s="1"/>
  <c r="N133" i="5"/>
  <c r="V133" i="5"/>
  <c r="W133" i="5" s="1"/>
  <c r="X133" i="5"/>
  <c r="AG133" i="5"/>
  <c r="AH133" i="5"/>
  <c r="AI133" i="5"/>
  <c r="K134" i="5"/>
  <c r="L134" i="5" s="1"/>
  <c r="M134" i="5" s="1"/>
  <c r="N134" i="5"/>
  <c r="V134" i="5"/>
  <c r="W134" i="5" s="1"/>
  <c r="X134" i="5"/>
  <c r="AG134" i="5"/>
  <c r="AH134" i="5" s="1"/>
  <c r="AI134" i="5"/>
  <c r="K135" i="5"/>
  <c r="L135" i="5" s="1"/>
  <c r="M135" i="5"/>
  <c r="N135" i="5"/>
  <c r="V135" i="5"/>
  <c r="W135" i="5" s="1"/>
  <c r="X135" i="5"/>
  <c r="AG135" i="5"/>
  <c r="AH135" i="5" s="1"/>
  <c r="AI135" i="5"/>
  <c r="K136" i="5"/>
  <c r="L136" i="5" s="1"/>
  <c r="M136" i="5"/>
  <c r="N136" i="5"/>
  <c r="V136" i="5"/>
  <c r="W136" i="5" s="1"/>
  <c r="X136" i="5"/>
  <c r="AG136" i="5"/>
  <c r="AH136" i="5" s="1"/>
  <c r="AI136" i="5"/>
  <c r="K137" i="5"/>
  <c r="L137" i="5" s="1"/>
  <c r="M137" i="5" s="1"/>
  <c r="N137" i="5"/>
  <c r="V137" i="5"/>
  <c r="W137" i="5" s="1"/>
  <c r="X137" i="5"/>
  <c r="AG137" i="5"/>
  <c r="AH137" i="5"/>
  <c r="AI137" i="5"/>
  <c r="K138" i="5"/>
  <c r="L138" i="5" s="1"/>
  <c r="M138" i="5" s="1"/>
  <c r="N138" i="5"/>
  <c r="V138" i="5"/>
  <c r="W138" i="5" s="1"/>
  <c r="X138" i="5"/>
  <c r="AG138" i="5"/>
  <c r="AH138" i="5" s="1"/>
  <c r="AI138" i="5"/>
  <c r="K139" i="5"/>
  <c r="L139" i="5" s="1"/>
  <c r="M139" i="5" s="1"/>
  <c r="N139" i="5"/>
  <c r="V139" i="5"/>
  <c r="W139" i="5" s="1"/>
  <c r="X139" i="5"/>
  <c r="AG139" i="5"/>
  <c r="AH139" i="5"/>
  <c r="AI139" i="5"/>
  <c r="K141" i="5"/>
  <c r="L141" i="5" s="1"/>
  <c r="M141" i="5" s="1"/>
  <c r="N141" i="5"/>
  <c r="V141" i="5"/>
  <c r="W141" i="5" s="1"/>
  <c r="X141" i="5"/>
  <c r="AG141" i="5"/>
  <c r="AH141" i="5" s="1"/>
  <c r="AI141" i="5"/>
  <c r="K142" i="5"/>
  <c r="L142" i="5" s="1"/>
  <c r="M142" i="5" s="1"/>
  <c r="N142" i="5"/>
  <c r="V142" i="5"/>
  <c r="W142" i="5"/>
  <c r="X142" i="5"/>
  <c r="AG142" i="5"/>
  <c r="AH142" i="5" s="1"/>
  <c r="AI142" i="5"/>
  <c r="K143" i="5"/>
  <c r="L143" i="5" s="1"/>
  <c r="M143" i="5" s="1"/>
  <c r="N143" i="5"/>
  <c r="V143" i="5"/>
  <c r="W143" i="5" s="1"/>
  <c r="X143" i="5"/>
  <c r="AG143" i="5"/>
  <c r="AH143" i="5" s="1"/>
  <c r="AI143" i="5"/>
  <c r="K145" i="5"/>
  <c r="L145" i="5"/>
  <c r="M145" i="5" s="1"/>
  <c r="N145" i="5"/>
  <c r="V145" i="5"/>
  <c r="W145" i="5" s="1"/>
  <c r="X145" i="5"/>
  <c r="AG145" i="5"/>
  <c r="AH145" i="5"/>
  <c r="AI145" i="5"/>
  <c r="K147" i="5"/>
  <c r="L147" i="5" s="1"/>
  <c r="M147" i="5" s="1"/>
  <c r="N147" i="5"/>
  <c r="V147" i="5"/>
  <c r="W147" i="5" s="1"/>
  <c r="X147" i="5"/>
  <c r="AG147" i="5"/>
  <c r="AH147" i="5" s="1"/>
  <c r="AI147" i="5"/>
  <c r="K148" i="5"/>
  <c r="L148" i="5" s="1"/>
  <c r="M148" i="5" s="1"/>
  <c r="N148" i="5"/>
  <c r="V148" i="5"/>
  <c r="W148" i="5"/>
  <c r="X148" i="5"/>
  <c r="AG148" i="5"/>
  <c r="AH148" i="5" s="1"/>
  <c r="AI148" i="5"/>
  <c r="K149" i="5"/>
  <c r="L149" i="5" s="1"/>
  <c r="M149" i="5" s="1"/>
  <c r="N149" i="5"/>
  <c r="V149" i="5"/>
  <c r="W149" i="5" s="1"/>
  <c r="X149" i="5"/>
  <c r="AG149" i="5"/>
  <c r="AH149" i="5" s="1"/>
  <c r="AI149" i="5"/>
  <c r="K150" i="5"/>
  <c r="L150" i="5"/>
  <c r="M150" i="5" s="1"/>
  <c r="N150" i="5"/>
  <c r="V150" i="5"/>
  <c r="W150" i="5" s="1"/>
  <c r="X150" i="5"/>
  <c r="AG150" i="5"/>
  <c r="AH150" i="5" s="1"/>
  <c r="AI150" i="5"/>
  <c r="L151" i="5"/>
  <c r="M151" i="5" s="1"/>
  <c r="N151" i="5"/>
  <c r="V151" i="5"/>
  <c r="W151" i="5" s="1"/>
  <c r="X151" i="5"/>
  <c r="AG151" i="5"/>
  <c r="AH151" i="5"/>
  <c r="AI151" i="5"/>
  <c r="K153" i="5"/>
  <c r="L153" i="5" s="1"/>
  <c r="M153" i="5" s="1"/>
  <c r="N153" i="5"/>
  <c r="V153" i="5"/>
  <c r="W153" i="5"/>
  <c r="X153" i="5"/>
  <c r="AG153" i="5"/>
  <c r="AH153" i="5" s="1"/>
  <c r="AI153" i="5"/>
  <c r="K155" i="5"/>
  <c r="L155" i="5" s="1"/>
  <c r="M155" i="5" s="1"/>
  <c r="N155" i="5"/>
  <c r="V155" i="5"/>
  <c r="W155" i="5" s="1"/>
  <c r="X155" i="5"/>
  <c r="AG155" i="5"/>
  <c r="AH155" i="5" s="1"/>
  <c r="AI155" i="5"/>
  <c r="K157" i="5"/>
  <c r="L157" i="5"/>
  <c r="M157" i="5" s="1"/>
  <c r="N157" i="5"/>
  <c r="V157" i="5"/>
  <c r="W157" i="5"/>
  <c r="X157" i="5"/>
  <c r="AF157" i="5"/>
  <c r="AG157" i="5" s="1"/>
  <c r="AH157" i="5" s="1"/>
  <c r="AI157" i="5"/>
  <c r="K158" i="5"/>
  <c r="L158" i="5" s="1"/>
  <c r="M158" i="5" s="1"/>
  <c r="N158" i="5"/>
  <c r="V158" i="5"/>
  <c r="W158" i="5" s="1"/>
  <c r="X158" i="5"/>
  <c r="AG158" i="5"/>
  <c r="AH158" i="5" s="1"/>
  <c r="AI158" i="5"/>
  <c r="K159" i="5"/>
  <c r="L159" i="5" s="1"/>
  <c r="M159" i="5" s="1"/>
  <c r="N159" i="5"/>
  <c r="V159" i="5"/>
  <c r="W159" i="5"/>
  <c r="X159" i="5"/>
  <c r="AG159" i="5"/>
  <c r="AH159" i="5" s="1"/>
  <c r="AI159" i="5"/>
  <c r="K160" i="5"/>
  <c r="L160" i="5" s="1"/>
  <c r="M160" i="5" s="1"/>
  <c r="N160" i="5"/>
  <c r="V160" i="5"/>
  <c r="W160" i="5" s="1"/>
  <c r="X160" i="5"/>
  <c r="AG160" i="5"/>
  <c r="AH160" i="5" s="1"/>
  <c r="AI160" i="5"/>
  <c r="K161" i="5"/>
  <c r="L161" i="5"/>
  <c r="M161" i="5" s="1"/>
  <c r="N161" i="5"/>
  <c r="V161" i="5"/>
  <c r="W161" i="5" s="1"/>
  <c r="X161" i="5"/>
  <c r="AG161" i="5"/>
  <c r="AH161" i="5"/>
  <c r="AI161" i="5"/>
  <c r="K163" i="5"/>
  <c r="L163" i="5" s="1"/>
  <c r="M163" i="5" s="1"/>
  <c r="N163" i="5"/>
  <c r="V163" i="5"/>
  <c r="W163" i="5" s="1"/>
  <c r="X163" i="5"/>
  <c r="AG163" i="5"/>
  <c r="AH163" i="5" s="1"/>
  <c r="AI163" i="5"/>
  <c r="K164" i="5"/>
  <c r="L164" i="5"/>
  <c r="M164" i="5" s="1"/>
  <c r="N164" i="5"/>
  <c r="V164" i="5"/>
  <c r="W164" i="5" s="1"/>
  <c r="X164" i="5"/>
  <c r="AG164" i="5"/>
  <c r="AH164" i="5"/>
  <c r="AI164" i="5"/>
  <c r="K165" i="5"/>
  <c r="L165" i="5" s="1"/>
  <c r="M165" i="5" s="1"/>
  <c r="N165" i="5"/>
  <c r="V165" i="5"/>
  <c r="W165" i="5" s="1"/>
  <c r="X165" i="5"/>
  <c r="AG165" i="5"/>
  <c r="AH165" i="5" s="1"/>
  <c r="AI165" i="5"/>
  <c r="K166" i="5"/>
  <c r="L166" i="5" s="1"/>
  <c r="M166" i="5"/>
  <c r="N166" i="5"/>
  <c r="V166" i="5"/>
  <c r="W166" i="5" s="1"/>
  <c r="X166" i="5"/>
  <c r="AG166" i="5"/>
  <c r="AH166" i="5" s="1"/>
  <c r="AI166" i="5"/>
  <c r="K167" i="5"/>
  <c r="L167" i="5" s="1"/>
  <c r="M167" i="5" s="1"/>
  <c r="N167" i="5"/>
  <c r="V167" i="5"/>
  <c r="W167" i="5" s="1"/>
  <c r="X167" i="5"/>
  <c r="AG167" i="5"/>
  <c r="AH167" i="5" s="1"/>
  <c r="AI167" i="5"/>
  <c r="K168" i="5"/>
  <c r="L168" i="5" s="1"/>
  <c r="M168" i="5" s="1"/>
  <c r="N168" i="5"/>
  <c r="V168" i="5"/>
  <c r="W168" i="5"/>
  <c r="X168" i="5"/>
  <c r="AG168" i="5"/>
  <c r="AH168" i="5" s="1"/>
  <c r="AI168" i="5"/>
  <c r="K169" i="5"/>
  <c r="L169" i="5" s="1"/>
  <c r="M169" i="5" s="1"/>
  <c r="N169" i="5"/>
  <c r="V169" i="5"/>
  <c r="W169" i="5" s="1"/>
  <c r="X169" i="5"/>
  <c r="AG169" i="5"/>
  <c r="AH169" i="5" s="1"/>
  <c r="AI169" i="5"/>
  <c r="K170" i="5"/>
  <c r="L170" i="5"/>
  <c r="M170" i="5" s="1"/>
  <c r="N170" i="5"/>
  <c r="V170" i="5"/>
  <c r="W170" i="5" s="1"/>
  <c r="X170" i="5"/>
  <c r="AG170" i="5"/>
  <c r="AH170" i="5"/>
  <c r="AI170" i="5"/>
  <c r="L171" i="5"/>
  <c r="M171" i="5" s="1"/>
  <c r="N171" i="5"/>
  <c r="V171" i="5"/>
  <c r="W171" i="5" s="1"/>
  <c r="X171" i="5"/>
  <c r="AF171" i="5"/>
  <c r="AG171" i="5" s="1"/>
  <c r="AH171" i="5" s="1"/>
  <c r="AI171" i="5"/>
  <c r="K172" i="5"/>
  <c r="L172" i="5"/>
  <c r="M172" i="5" s="1"/>
  <c r="N172" i="5"/>
  <c r="V172" i="5"/>
  <c r="W172" i="5" s="1"/>
  <c r="X172" i="5"/>
  <c r="AG172" i="5"/>
  <c r="AH172" i="5"/>
  <c r="AI172" i="5"/>
  <c r="K173" i="5"/>
  <c r="L173" i="5" s="1"/>
  <c r="M173" i="5" s="1"/>
  <c r="N173" i="5"/>
  <c r="V173" i="5"/>
  <c r="W173" i="5" s="1"/>
  <c r="X173" i="5"/>
  <c r="AG173" i="5"/>
  <c r="AH173" i="5" s="1"/>
  <c r="AI173" i="5"/>
  <c r="K174" i="5"/>
  <c r="L174" i="5" s="1"/>
  <c r="M174" i="5" s="1"/>
  <c r="N174" i="5"/>
  <c r="V174" i="5"/>
  <c r="W174" i="5" s="1"/>
  <c r="X174" i="5"/>
  <c r="AG174" i="5"/>
  <c r="AH174" i="5" s="1"/>
  <c r="AI174" i="5"/>
  <c r="K175" i="5"/>
  <c r="L175" i="5" s="1"/>
  <c r="M175" i="5" s="1"/>
  <c r="N175" i="5"/>
  <c r="V175" i="5"/>
  <c r="W175" i="5" s="1"/>
  <c r="X175" i="5"/>
  <c r="AG175" i="5"/>
  <c r="AH175" i="5"/>
  <c r="AI175" i="5"/>
  <c r="K177" i="5"/>
  <c r="L177" i="5" s="1"/>
  <c r="M177" i="5" s="1"/>
  <c r="N177" i="5"/>
  <c r="V177" i="5"/>
  <c r="W177" i="5" s="1"/>
  <c r="X177" i="5"/>
  <c r="AG177" i="5"/>
  <c r="AH177" i="5"/>
  <c r="AI177" i="5"/>
  <c r="K178" i="5"/>
  <c r="L178" i="5" s="1"/>
  <c r="M178" i="5" s="1"/>
  <c r="N178" i="5"/>
  <c r="V178" i="5"/>
  <c r="W178" i="5" s="1"/>
  <c r="X178" i="5"/>
  <c r="AG178" i="5"/>
  <c r="AH178" i="5" s="1"/>
  <c r="AI178" i="5"/>
  <c r="K179" i="5"/>
  <c r="L179" i="5" s="1"/>
  <c r="M179" i="5" s="1"/>
  <c r="N179" i="5"/>
  <c r="V179" i="5"/>
  <c r="W179" i="5" s="1"/>
  <c r="X179" i="5"/>
  <c r="AG179" i="5"/>
  <c r="AH179" i="5"/>
  <c r="AI179" i="5"/>
  <c r="K180" i="5"/>
  <c r="L180" i="5" s="1"/>
  <c r="M180" i="5" s="1"/>
  <c r="N180" i="5"/>
  <c r="V180" i="5"/>
  <c r="W180" i="5" s="1"/>
  <c r="X180" i="5"/>
  <c r="AG180" i="5"/>
  <c r="AH180" i="5" s="1"/>
  <c r="AI180" i="5"/>
  <c r="L181" i="5"/>
  <c r="M181" i="5" s="1"/>
  <c r="N181" i="5"/>
  <c r="V181" i="5"/>
  <c r="W181" i="5"/>
  <c r="X181" i="5"/>
  <c r="AG181" i="5"/>
  <c r="AH181" i="5" s="1"/>
  <c r="AI181" i="5"/>
  <c r="K182" i="5"/>
  <c r="L182" i="5" s="1"/>
  <c r="M182" i="5" s="1"/>
  <c r="N182" i="5"/>
  <c r="V182" i="5"/>
  <c r="W182" i="5" s="1"/>
  <c r="X182" i="5"/>
  <c r="AG182" i="5"/>
  <c r="AH182" i="5"/>
  <c r="AI182" i="5"/>
  <c r="K183" i="5"/>
  <c r="L183" i="5" s="1"/>
  <c r="M183" i="5"/>
  <c r="N183" i="5"/>
  <c r="V183" i="5"/>
  <c r="W183" i="5" s="1"/>
  <c r="X183" i="5"/>
  <c r="AG183" i="5"/>
  <c r="AH183" i="5" s="1"/>
  <c r="AI183" i="5"/>
  <c r="K184" i="5"/>
  <c r="L184" i="5" s="1"/>
  <c r="M184" i="5" s="1"/>
  <c r="N184" i="5"/>
  <c r="V184" i="5"/>
  <c r="W184" i="5"/>
  <c r="X184" i="5"/>
  <c r="AG184" i="5"/>
  <c r="AH184" i="5" s="1"/>
  <c r="AI184" i="5"/>
  <c r="K185" i="5"/>
  <c r="L185" i="5" s="1"/>
  <c r="M185" i="5" s="1"/>
  <c r="N185" i="5"/>
  <c r="V185" i="5"/>
  <c r="W185" i="5"/>
  <c r="X185" i="5"/>
  <c r="AG185" i="5"/>
  <c r="AH185" i="5" s="1"/>
  <c r="AI185" i="5"/>
  <c r="K186" i="5"/>
  <c r="L186" i="5" s="1"/>
  <c r="M186" i="5" s="1"/>
  <c r="N186" i="5"/>
  <c r="V186" i="5"/>
  <c r="W186" i="5" s="1"/>
  <c r="X186" i="5"/>
  <c r="AG186" i="5"/>
  <c r="AH186" i="5"/>
  <c r="AI186" i="5"/>
  <c r="K187" i="5"/>
  <c r="L187" i="5" s="1"/>
  <c r="M187" i="5" s="1"/>
  <c r="N187" i="5"/>
  <c r="V187" i="5"/>
  <c r="W187" i="5" s="1"/>
  <c r="X187" i="5"/>
  <c r="AG187" i="5"/>
  <c r="AH187" i="5" s="1"/>
  <c r="AI187" i="5"/>
  <c r="K188" i="5"/>
  <c r="L188" i="5" s="1"/>
  <c r="M188" i="5" s="1"/>
  <c r="N188" i="5"/>
  <c r="V188" i="5"/>
  <c r="W188" i="5"/>
  <c r="X188" i="5"/>
  <c r="AF188" i="5"/>
  <c r="AG188" i="5" s="1"/>
  <c r="AH188" i="5" s="1"/>
  <c r="AI188" i="5"/>
  <c r="K189" i="5"/>
  <c r="L189" i="5" s="1"/>
  <c r="M189" i="5" s="1"/>
  <c r="N189" i="5"/>
  <c r="V189" i="5"/>
  <c r="W189" i="5" s="1"/>
  <c r="X189" i="5"/>
  <c r="AG189" i="5"/>
  <c r="AH189" i="5" s="1"/>
  <c r="AI189" i="5"/>
  <c r="K192" i="5"/>
  <c r="L192" i="5" s="1"/>
  <c r="M192" i="5" s="1"/>
  <c r="N192" i="5"/>
  <c r="V192" i="5"/>
  <c r="W192" i="5" s="1"/>
  <c r="X192" i="5"/>
  <c r="AF192" i="5"/>
  <c r="AG192" i="5" s="1"/>
  <c r="AH192" i="5" s="1"/>
  <c r="AI192" i="5"/>
  <c r="L193" i="5"/>
  <c r="M193" i="5"/>
  <c r="N193" i="5"/>
  <c r="V193" i="5"/>
  <c r="W193" i="5" s="1"/>
  <c r="X193" i="5"/>
  <c r="AG193" i="5"/>
  <c r="AH193" i="5" s="1"/>
  <c r="AI193" i="5"/>
  <c r="L194" i="5"/>
  <c r="M194" i="5" s="1"/>
  <c r="N194" i="5"/>
  <c r="V194" i="5"/>
  <c r="W194" i="5" s="1"/>
  <c r="X194" i="5"/>
  <c r="AG194" i="5"/>
  <c r="AH194" i="5" s="1"/>
  <c r="AI194" i="5"/>
  <c r="K195" i="5"/>
  <c r="L195" i="5"/>
  <c r="M195" i="5" s="1"/>
  <c r="N195" i="5"/>
  <c r="V195" i="5"/>
  <c r="W195" i="5" s="1"/>
  <c r="X195" i="5"/>
  <c r="AG195" i="5"/>
  <c r="AH195" i="5" s="1"/>
  <c r="AI195" i="5"/>
  <c r="K196" i="5"/>
  <c r="L196" i="5" s="1"/>
  <c r="M196" i="5" s="1"/>
  <c r="N196" i="5"/>
  <c r="V196" i="5"/>
  <c r="W196" i="5"/>
  <c r="X196" i="5"/>
  <c r="AF196" i="5"/>
  <c r="AG196" i="5" s="1"/>
  <c r="AH196" i="5" s="1"/>
  <c r="AI196" i="5"/>
  <c r="K197" i="5"/>
  <c r="L197" i="5" s="1"/>
  <c r="M197" i="5" s="1"/>
  <c r="N197" i="5"/>
  <c r="V197" i="5"/>
  <c r="W197" i="5" s="1"/>
  <c r="X197" i="5"/>
  <c r="AG197" i="5"/>
  <c r="AH197" i="5" s="1"/>
  <c r="AI197" i="5"/>
  <c r="K198" i="5"/>
  <c r="L198" i="5" s="1"/>
  <c r="M198" i="5" s="1"/>
  <c r="N198" i="5"/>
  <c r="V198" i="5"/>
  <c r="W198" i="5" s="1"/>
  <c r="X198" i="5"/>
  <c r="AG198" i="5"/>
  <c r="AH198" i="5"/>
  <c r="AI198" i="5"/>
  <c r="K199" i="5"/>
  <c r="L199" i="5" s="1"/>
  <c r="M199" i="5" s="1"/>
  <c r="N199" i="5"/>
  <c r="V199" i="5"/>
  <c r="W199" i="5" s="1"/>
  <c r="X199" i="5"/>
  <c r="AG199" i="5"/>
  <c r="AH199" i="5" s="1"/>
  <c r="AI199" i="5"/>
  <c r="L200" i="5"/>
  <c r="M200" i="5" s="1"/>
  <c r="N200" i="5"/>
  <c r="V200" i="5"/>
  <c r="W200" i="5"/>
  <c r="X200" i="5"/>
  <c r="AG200" i="5"/>
  <c r="AH200" i="5" s="1"/>
  <c r="AI200" i="5"/>
  <c r="K201" i="5"/>
  <c r="L201" i="5" s="1"/>
  <c r="M201" i="5" s="1"/>
  <c r="N201" i="5"/>
  <c r="V201" i="5"/>
  <c r="W201" i="5"/>
  <c r="X201" i="5"/>
  <c r="AG201" i="5"/>
  <c r="AH201" i="5" s="1"/>
  <c r="AI201" i="5"/>
  <c r="K202" i="5"/>
  <c r="L202" i="5" s="1"/>
  <c r="M202" i="5" s="1"/>
  <c r="N202" i="5"/>
  <c r="V202" i="5"/>
  <c r="W202" i="5" s="1"/>
  <c r="X202" i="5"/>
  <c r="AG202" i="5"/>
  <c r="AH202" i="5" s="1"/>
  <c r="AI202" i="5"/>
  <c r="K203" i="5"/>
  <c r="L203" i="5"/>
  <c r="M203" i="5" s="1"/>
  <c r="N203" i="5"/>
  <c r="V203" i="5"/>
  <c r="W203" i="5" s="1"/>
  <c r="X203" i="5"/>
  <c r="AG203" i="5"/>
  <c r="AH203" i="5" s="1"/>
  <c r="AI203" i="5"/>
  <c r="K204" i="5"/>
  <c r="L204" i="5" s="1"/>
  <c r="M204" i="5" s="1"/>
  <c r="N204" i="5"/>
  <c r="V204" i="5"/>
  <c r="W204" i="5"/>
  <c r="X204" i="5"/>
  <c r="AG204" i="5"/>
  <c r="AH204" i="5" s="1"/>
  <c r="AI204" i="5"/>
  <c r="K205" i="5"/>
  <c r="L205" i="5" s="1"/>
  <c r="M205" i="5" s="1"/>
  <c r="N205" i="5"/>
  <c r="V205" i="5"/>
  <c r="W205" i="5"/>
  <c r="X205" i="5"/>
  <c r="AG205" i="5"/>
  <c r="AH205" i="5" s="1"/>
  <c r="AI205" i="5"/>
  <c r="K206" i="5"/>
  <c r="L206" i="5" s="1"/>
  <c r="M206" i="5" s="1"/>
  <c r="N206" i="5"/>
  <c r="V206" i="5"/>
  <c r="W206" i="5" s="1"/>
  <c r="X206" i="5"/>
  <c r="AG206" i="5"/>
  <c r="AH206" i="5" s="1"/>
  <c r="AI206" i="5"/>
  <c r="L207" i="5"/>
  <c r="M207" i="5"/>
  <c r="N207" i="5"/>
  <c r="V207" i="5"/>
  <c r="W207" i="5" s="1"/>
  <c r="X207" i="5"/>
  <c r="AG207" i="5"/>
  <c r="AH207" i="5" s="1"/>
  <c r="AI207" i="5"/>
  <c r="K208" i="5"/>
  <c r="L208" i="5" s="1"/>
  <c r="M208" i="5" s="1"/>
  <c r="N208" i="5"/>
  <c r="V208" i="5"/>
  <c r="W208" i="5" s="1"/>
  <c r="X208" i="5"/>
  <c r="AG208" i="5"/>
  <c r="AH208" i="5"/>
  <c r="AI208" i="5"/>
  <c r="L209" i="5"/>
  <c r="M209" i="5" s="1"/>
  <c r="N209" i="5"/>
  <c r="V209" i="5"/>
  <c r="W209" i="5" s="1"/>
  <c r="X209" i="5"/>
  <c r="AG209" i="5"/>
  <c r="AH209" i="5" s="1"/>
  <c r="AI209" i="5"/>
  <c r="L210" i="5"/>
  <c r="M210" i="5" s="1"/>
  <c r="N210" i="5"/>
  <c r="V210" i="5"/>
  <c r="W210" i="5"/>
  <c r="X210" i="5"/>
  <c r="AF210" i="5"/>
  <c r="AG210" i="5" s="1"/>
  <c r="AH210" i="5" s="1"/>
  <c r="AI210" i="5"/>
  <c r="K211" i="5"/>
  <c r="L211" i="5" s="1"/>
  <c r="M211" i="5" s="1"/>
  <c r="N211" i="5"/>
  <c r="V211" i="5"/>
  <c r="W211" i="5" s="1"/>
  <c r="X211" i="5"/>
  <c r="AG211" i="5"/>
  <c r="AH211" i="5"/>
  <c r="AI211" i="5"/>
  <c r="L212" i="5"/>
  <c r="M212" i="5" s="1"/>
  <c r="N212" i="5"/>
  <c r="V212" i="5"/>
  <c r="W212" i="5" s="1"/>
  <c r="X212" i="5"/>
  <c r="AG212" i="5"/>
  <c r="AH212" i="5" s="1"/>
  <c r="AI212" i="5"/>
  <c r="K213" i="5"/>
  <c r="L213" i="5" s="1"/>
  <c r="M213" i="5" s="1"/>
  <c r="N213" i="5"/>
  <c r="V213" i="5"/>
  <c r="W213" i="5"/>
  <c r="X213" i="5"/>
  <c r="AG213" i="5"/>
  <c r="AH213" i="5" s="1"/>
  <c r="AI213" i="5"/>
  <c r="K214" i="5"/>
  <c r="L214" i="5" s="1"/>
  <c r="M214" i="5" s="1"/>
  <c r="N214" i="5"/>
  <c r="V214" i="5"/>
  <c r="W214" i="5"/>
  <c r="X214" i="5"/>
  <c r="AG214" i="5"/>
  <c r="AH214" i="5" s="1"/>
  <c r="AI214" i="5"/>
  <c r="K215" i="5"/>
  <c r="L215" i="5" s="1"/>
  <c r="M215" i="5" s="1"/>
  <c r="N215" i="5"/>
  <c r="V215" i="5"/>
  <c r="W215" i="5" s="1"/>
  <c r="X215" i="5"/>
  <c r="AG215" i="5"/>
  <c r="AH215" i="5" s="1"/>
  <c r="AI215" i="5"/>
  <c r="K216" i="5"/>
  <c r="L216" i="5"/>
  <c r="M216" i="5" s="1"/>
  <c r="N216" i="5"/>
  <c r="V216" i="5"/>
  <c r="W216" i="5" s="1"/>
  <c r="X216" i="5"/>
  <c r="AG216" i="5"/>
  <c r="AH216" i="5" s="1"/>
  <c r="AI216" i="5"/>
  <c r="L217" i="5"/>
  <c r="M217" i="5" s="1"/>
  <c r="N217" i="5"/>
  <c r="V217" i="5"/>
  <c r="W217" i="5" s="1"/>
  <c r="X217" i="5"/>
  <c r="AG217" i="5"/>
  <c r="AH217" i="5"/>
  <c r="AI217" i="5"/>
  <c r="L218" i="5"/>
  <c r="V218" i="5"/>
  <c r="AG218" i="5"/>
  <c r="K220" i="5"/>
  <c r="L220" i="5"/>
  <c r="M220" i="5" s="1"/>
  <c r="N220" i="5"/>
  <c r="V220" i="5"/>
  <c r="W220" i="5" s="1"/>
  <c r="X220" i="5"/>
  <c r="AG220" i="5"/>
  <c r="AH220" i="5" s="1"/>
  <c r="AI220" i="5"/>
  <c r="K221" i="5"/>
  <c r="L221" i="5" s="1"/>
  <c r="M221" i="5" s="1"/>
  <c r="N221" i="5"/>
  <c r="V221" i="5"/>
  <c r="W221" i="5"/>
  <c r="X221" i="5"/>
  <c r="AG221" i="5"/>
  <c r="AH221" i="5" s="1"/>
  <c r="AI221" i="5"/>
  <c r="K222" i="5"/>
  <c r="L222" i="5" s="1"/>
  <c r="M222" i="5" s="1"/>
  <c r="N222" i="5"/>
  <c r="V222" i="5"/>
  <c r="W222" i="5" s="1"/>
  <c r="X222" i="5"/>
  <c r="AG222" i="5"/>
  <c r="AH222" i="5" s="1"/>
  <c r="AI222" i="5"/>
  <c r="K223" i="5"/>
  <c r="L223" i="5"/>
  <c r="M223" i="5" s="1"/>
  <c r="N223" i="5"/>
  <c r="V223" i="5"/>
  <c r="W223" i="5" s="1"/>
  <c r="X223" i="5"/>
  <c r="AG223" i="5"/>
  <c r="AH223" i="5" s="1"/>
  <c r="AI223" i="5"/>
  <c r="K224" i="5"/>
  <c r="L224" i="5"/>
  <c r="M224" i="5" s="1"/>
  <c r="N224" i="5"/>
  <c r="V224" i="5"/>
  <c r="W224" i="5" s="1"/>
  <c r="X224" i="5"/>
  <c r="AG224" i="5"/>
  <c r="AH224" i="5" s="1"/>
  <c r="AI224" i="5"/>
  <c r="K228" i="5"/>
  <c r="L228" i="5" s="1"/>
  <c r="M228" i="5" s="1"/>
  <c r="N228" i="5"/>
  <c r="V228" i="5"/>
  <c r="W228" i="5" s="1"/>
  <c r="X228" i="5"/>
  <c r="AG228" i="5"/>
  <c r="AH228" i="5" s="1"/>
  <c r="AI228" i="5"/>
  <c r="L230" i="5"/>
  <c r="M230" i="5" s="1"/>
  <c r="N230" i="5"/>
  <c r="V230" i="5"/>
  <c r="W230" i="5" s="1"/>
  <c r="X230" i="5"/>
  <c r="AF230" i="5"/>
  <c r="AG230" i="5" s="1"/>
  <c r="AH230" i="5" s="1"/>
  <c r="AI230" i="5"/>
  <c r="K231" i="5"/>
  <c r="L231" i="5" s="1"/>
  <c r="M231" i="5" s="1"/>
  <c r="N231" i="5"/>
  <c r="V231" i="5"/>
  <c r="W231" i="5"/>
  <c r="X231" i="5"/>
  <c r="AG231" i="5"/>
  <c r="AH231" i="5" s="1"/>
  <c r="AI231" i="5"/>
  <c r="K232" i="5"/>
  <c r="L232" i="5" s="1"/>
  <c r="M232" i="5" s="1"/>
  <c r="N232" i="5"/>
  <c r="V232" i="5"/>
  <c r="W232" i="5" s="1"/>
  <c r="X232" i="5"/>
  <c r="AG232" i="5"/>
  <c r="AH232" i="5" s="1"/>
  <c r="AI232" i="5"/>
  <c r="K233" i="5"/>
  <c r="L233" i="5"/>
  <c r="M233" i="5" s="1"/>
  <c r="N233" i="5"/>
  <c r="V233" i="5"/>
  <c r="W233" i="5"/>
  <c r="X233" i="5"/>
  <c r="AG233" i="5"/>
  <c r="AH233" i="5" s="1"/>
  <c r="AI233" i="5"/>
  <c r="K234" i="5"/>
  <c r="L234" i="5" s="1"/>
  <c r="M234" i="5" s="1"/>
  <c r="N234" i="5"/>
  <c r="V234" i="5"/>
  <c r="W234" i="5" s="1"/>
  <c r="X234" i="5"/>
  <c r="AG234" i="5"/>
  <c r="AH234" i="5" s="1"/>
  <c r="AI234" i="5"/>
  <c r="K235" i="5"/>
  <c r="L235" i="5"/>
  <c r="M235" i="5" s="1"/>
  <c r="N235" i="5"/>
  <c r="V235" i="5"/>
  <c r="W235" i="5" s="1"/>
  <c r="X235" i="5"/>
  <c r="AG235" i="5"/>
  <c r="AH235" i="5" s="1"/>
  <c r="AI235" i="5"/>
  <c r="K239" i="5"/>
  <c r="L239" i="5"/>
  <c r="M239" i="5" s="1"/>
  <c r="N239" i="5"/>
  <c r="V239" i="5"/>
  <c r="W239" i="5" s="1"/>
  <c r="X239" i="5"/>
  <c r="AG239" i="5"/>
  <c r="AH239" i="5" s="1"/>
  <c r="AI239" i="5"/>
  <c r="K240" i="5"/>
  <c r="L240" i="5"/>
  <c r="M240" i="5" s="1"/>
  <c r="N240" i="5"/>
  <c r="V240" i="5"/>
  <c r="W240" i="5" s="1"/>
  <c r="X240" i="5"/>
  <c r="AG240" i="5"/>
  <c r="AH240" i="5" s="1"/>
  <c r="AI240" i="5"/>
  <c r="K241" i="5"/>
  <c r="L241" i="5"/>
  <c r="M241" i="5" s="1"/>
  <c r="N241" i="5"/>
  <c r="V241" i="5"/>
  <c r="W241" i="5" s="1"/>
  <c r="X241" i="5"/>
  <c r="AG241" i="5"/>
  <c r="AH241" i="5" s="1"/>
  <c r="AI241" i="5"/>
  <c r="K242" i="5"/>
  <c r="L242" i="5"/>
  <c r="M242" i="5" s="1"/>
  <c r="N242" i="5"/>
  <c r="V242" i="5"/>
  <c r="W242" i="5" s="1"/>
  <c r="X242" i="5"/>
  <c r="AF242" i="5"/>
  <c r="AG242" i="5" s="1"/>
  <c r="AH242" i="5" s="1"/>
  <c r="AI242" i="5"/>
  <c r="K244" i="5"/>
  <c r="L244" i="5" s="1"/>
  <c r="M244" i="5" s="1"/>
  <c r="N244" i="5"/>
  <c r="V244" i="5"/>
  <c r="W244" i="5" s="1"/>
  <c r="X244" i="5"/>
  <c r="AG244" i="5"/>
  <c r="AH244" i="5"/>
  <c r="AI244" i="5"/>
  <c r="L245" i="5"/>
  <c r="M245" i="5" s="1"/>
  <c r="N245" i="5"/>
  <c r="V245" i="5"/>
  <c r="W245" i="5" s="1"/>
  <c r="X245" i="5"/>
  <c r="AG245" i="5"/>
  <c r="AH245" i="5" s="1"/>
  <c r="AI245" i="5"/>
  <c r="K246" i="5"/>
  <c r="L246" i="5"/>
  <c r="M246" i="5" s="1"/>
  <c r="N246" i="5"/>
  <c r="V246" i="5"/>
  <c r="W246" i="5" s="1"/>
  <c r="X246" i="5"/>
  <c r="AG246" i="5"/>
  <c r="AH246" i="5" s="1"/>
  <c r="AI246" i="5"/>
  <c r="K247" i="5"/>
  <c r="L247" i="5"/>
  <c r="M247" i="5" s="1"/>
  <c r="N247" i="5"/>
  <c r="V247" i="5"/>
  <c r="W247" i="5" s="1"/>
  <c r="X247" i="5"/>
  <c r="AG247" i="5"/>
  <c r="AH247" i="5" s="1"/>
  <c r="AI247" i="5"/>
  <c r="L248" i="5"/>
  <c r="M248" i="5"/>
  <c r="N248" i="5"/>
  <c r="V248" i="5"/>
  <c r="W248" i="5" s="1"/>
  <c r="X248" i="5"/>
  <c r="AG248" i="5"/>
  <c r="AH248" i="5" s="1"/>
  <c r="AI248" i="5"/>
  <c r="K249" i="5"/>
  <c r="L249" i="5" s="1"/>
  <c r="M249" i="5" s="1"/>
  <c r="N249" i="5"/>
  <c r="V249" i="5"/>
  <c r="W249" i="5" s="1"/>
  <c r="X249" i="5"/>
  <c r="AG249" i="5"/>
  <c r="AH249" i="5" s="1"/>
  <c r="AI249" i="5"/>
  <c r="K250" i="5"/>
  <c r="L250" i="5" s="1"/>
  <c r="M250" i="5" s="1"/>
  <c r="N250" i="5"/>
  <c r="V250" i="5"/>
  <c r="W250" i="5" s="1"/>
  <c r="X250" i="5"/>
  <c r="AG250" i="5"/>
  <c r="AH250" i="5"/>
  <c r="AI250" i="5"/>
  <c r="K251" i="5"/>
  <c r="L251" i="5" s="1"/>
  <c r="M251" i="5" s="1"/>
  <c r="N251" i="5"/>
  <c r="V251" i="5"/>
  <c r="W251" i="5" s="1"/>
  <c r="X251" i="5"/>
  <c r="AF251" i="5"/>
  <c r="AG251" i="5"/>
  <c r="AH251" i="5" s="1"/>
  <c r="AI251" i="5"/>
  <c r="K252" i="5"/>
  <c r="L252" i="5" s="1"/>
  <c r="M252" i="5" s="1"/>
  <c r="N252" i="5"/>
  <c r="V252" i="5"/>
  <c r="W252" i="5"/>
  <c r="X252" i="5"/>
  <c r="AF252" i="5"/>
  <c r="AG252" i="5" s="1"/>
  <c r="AH252" i="5" s="1"/>
  <c r="AI252" i="5"/>
  <c r="K253" i="5"/>
  <c r="L253" i="5" s="1"/>
  <c r="M253" i="5" s="1"/>
  <c r="N253" i="5"/>
  <c r="V253" i="5"/>
  <c r="W253" i="5" s="1"/>
  <c r="X253" i="5"/>
  <c r="AF253" i="5"/>
  <c r="AG253" i="5" s="1"/>
  <c r="AH253" i="5" s="1"/>
  <c r="AI253" i="5"/>
  <c r="L254" i="5"/>
  <c r="M254" i="5"/>
  <c r="N254" i="5"/>
  <c r="V254" i="5"/>
  <c r="W254" i="5" s="1"/>
  <c r="X254" i="5"/>
  <c r="AG254" i="5"/>
  <c r="AH254" i="5" s="1"/>
  <c r="AI254" i="5"/>
  <c r="K255" i="5"/>
  <c r="L255" i="5" s="1"/>
  <c r="M255" i="5" s="1"/>
  <c r="N255" i="5"/>
  <c r="V255" i="5"/>
  <c r="W255" i="5" s="1"/>
  <c r="X255" i="5"/>
  <c r="AG255" i="5"/>
  <c r="AH255" i="5"/>
  <c r="AI255" i="5"/>
  <c r="K256" i="5"/>
  <c r="L256" i="5" s="1"/>
  <c r="M256" i="5" s="1"/>
  <c r="N256" i="5"/>
  <c r="V256" i="5"/>
  <c r="W256" i="5" s="1"/>
  <c r="X256" i="5"/>
  <c r="AG256" i="5"/>
  <c r="AH256" i="5"/>
  <c r="AI256" i="5"/>
  <c r="K258" i="5"/>
  <c r="L258" i="5" s="1"/>
  <c r="M258" i="5" s="1"/>
  <c r="N258" i="5"/>
  <c r="V258" i="5"/>
  <c r="W258" i="5" s="1"/>
  <c r="X258" i="5"/>
  <c r="AG258" i="5"/>
  <c r="AH258" i="5" s="1"/>
  <c r="AI258" i="5"/>
  <c r="K259" i="5"/>
  <c r="L259" i="5"/>
  <c r="M259" i="5" s="1"/>
  <c r="N259" i="5"/>
  <c r="V259" i="5"/>
  <c r="W259" i="5" s="1"/>
  <c r="X259" i="5"/>
  <c r="AG259" i="5"/>
  <c r="AH259" i="5" s="1"/>
  <c r="AI259" i="5"/>
  <c r="K260" i="5"/>
  <c r="L260" i="5" s="1"/>
  <c r="M260" i="5" s="1"/>
  <c r="N260" i="5"/>
  <c r="V260" i="5"/>
  <c r="W260" i="5" s="1"/>
  <c r="X260" i="5"/>
  <c r="AG260" i="5"/>
  <c r="AH260" i="5" s="1"/>
  <c r="AI260" i="5"/>
  <c r="K261" i="5"/>
  <c r="L261" i="5" s="1"/>
  <c r="M261" i="5" s="1"/>
  <c r="N261" i="5"/>
  <c r="V261" i="5"/>
  <c r="W261" i="5" s="1"/>
  <c r="X261" i="5"/>
  <c r="AG261" i="5"/>
  <c r="AH261" i="5"/>
  <c r="AI261" i="5"/>
  <c r="K263" i="5"/>
  <c r="L263" i="5" s="1"/>
  <c r="M263" i="5" s="1"/>
  <c r="N263" i="5"/>
  <c r="V263" i="5"/>
  <c r="W263" i="5" s="1"/>
  <c r="X263" i="5"/>
  <c r="AG263" i="5"/>
  <c r="AH263" i="5"/>
  <c r="AI263" i="5"/>
  <c r="K264" i="5"/>
  <c r="L264" i="5"/>
  <c r="M264" i="5"/>
  <c r="N264" i="5"/>
  <c r="V264" i="5"/>
  <c r="W264" i="5" s="1"/>
  <c r="X264" i="5"/>
  <c r="AF264" i="5"/>
  <c r="AG264" i="5" s="1"/>
  <c r="AH264" i="5" s="1"/>
  <c r="AI264" i="5"/>
  <c r="K265" i="5"/>
  <c r="L265" i="5"/>
  <c r="M265" i="5" s="1"/>
  <c r="N265" i="5"/>
  <c r="V265" i="5"/>
  <c r="W265" i="5" s="1"/>
  <c r="X265" i="5"/>
  <c r="AG265" i="5"/>
  <c r="AH265" i="5" s="1"/>
  <c r="AI265" i="5"/>
  <c r="K266" i="5"/>
  <c r="L266" i="5" s="1"/>
  <c r="M266" i="5" s="1"/>
  <c r="N266" i="5"/>
  <c r="V266" i="5"/>
  <c r="W266" i="5"/>
  <c r="X266" i="5"/>
  <c r="AG266" i="5"/>
  <c r="AH266" i="5" s="1"/>
  <c r="AI266" i="5"/>
  <c r="K267" i="5"/>
  <c r="L267" i="5" s="1"/>
  <c r="M267" i="5" s="1"/>
  <c r="N267" i="5"/>
  <c r="V267" i="5"/>
  <c r="W267" i="5"/>
  <c r="X267" i="5"/>
  <c r="AG267" i="5"/>
  <c r="AH267" i="5" s="1"/>
  <c r="AI267" i="5"/>
  <c r="K269" i="5"/>
  <c r="L269" i="5"/>
  <c r="M269" i="5" s="1"/>
  <c r="N269" i="5"/>
  <c r="V269" i="5"/>
  <c r="W269" i="5"/>
  <c r="X269" i="5"/>
  <c r="AG269" i="5"/>
  <c r="AH269" i="5"/>
  <c r="AI269" i="5"/>
  <c r="K274" i="5"/>
  <c r="L274" i="5" s="1"/>
  <c r="M274" i="5" s="1"/>
  <c r="N274" i="5"/>
  <c r="V274" i="5"/>
  <c r="W274" i="5" s="1"/>
  <c r="X274" i="5"/>
  <c r="AG274" i="5"/>
  <c r="AH274" i="5" s="1"/>
  <c r="AI274" i="5"/>
  <c r="K275" i="5"/>
  <c r="L275" i="5"/>
  <c r="M275" i="5" s="1"/>
  <c r="N275" i="5"/>
  <c r="V275" i="5"/>
  <c r="W275" i="5" s="1"/>
  <c r="X275" i="5"/>
  <c r="AG275" i="5"/>
  <c r="AH275" i="5" s="1"/>
  <c r="AI275" i="5"/>
  <c r="K276" i="5"/>
  <c r="L276" i="5"/>
  <c r="M276" i="5" s="1"/>
  <c r="N276" i="5"/>
  <c r="V276" i="5"/>
  <c r="W276" i="5" s="1"/>
  <c r="X276" i="5"/>
  <c r="AG276" i="5"/>
  <c r="AH276" i="5" s="1"/>
  <c r="AI276" i="5"/>
  <c r="K277" i="5"/>
  <c r="L277" i="5"/>
  <c r="M277" i="5" s="1"/>
  <c r="N277" i="5"/>
  <c r="V277" i="5"/>
  <c r="W277" i="5" s="1"/>
  <c r="X277" i="5"/>
  <c r="AG277" i="5"/>
  <c r="AH277" i="5"/>
  <c r="AI277" i="5"/>
  <c r="K278" i="5"/>
  <c r="L278" i="5"/>
  <c r="M278" i="5" s="1"/>
  <c r="N278" i="5"/>
  <c r="V278" i="5"/>
  <c r="W278" i="5" s="1"/>
  <c r="X278" i="5"/>
  <c r="AG278" i="5"/>
  <c r="AH278" i="5" s="1"/>
  <c r="AI278" i="5"/>
  <c r="K279" i="5"/>
  <c r="L279" i="5"/>
  <c r="M279" i="5" s="1"/>
  <c r="N279" i="5"/>
  <c r="V279" i="5"/>
  <c r="W279" i="5" s="1"/>
  <c r="X279" i="5"/>
  <c r="AG279" i="5"/>
  <c r="AH279" i="5" s="1"/>
  <c r="AI279" i="5"/>
  <c r="K280" i="5"/>
  <c r="L280" i="5"/>
  <c r="M280" i="5" s="1"/>
  <c r="N280" i="5"/>
  <c r="V280" i="5"/>
  <c r="W280" i="5" s="1"/>
  <c r="X280" i="5"/>
  <c r="AG280" i="5"/>
  <c r="AH280" i="5" s="1"/>
  <c r="AI280" i="5"/>
  <c r="K281" i="5"/>
  <c r="L281" i="5"/>
  <c r="M281" i="5" s="1"/>
  <c r="N281" i="5"/>
  <c r="V281" i="5"/>
  <c r="W281" i="5" s="1"/>
  <c r="X281" i="5"/>
  <c r="AG281" i="5"/>
  <c r="AH281" i="5"/>
  <c r="AI281" i="5"/>
  <c r="K283" i="5"/>
  <c r="L283" i="5"/>
  <c r="M283" i="5" s="1"/>
  <c r="N283" i="5"/>
  <c r="V283" i="5"/>
  <c r="W283" i="5" s="1"/>
  <c r="X283" i="5"/>
  <c r="AG283" i="5"/>
  <c r="AH283" i="5" s="1"/>
  <c r="AI283" i="5"/>
  <c r="K284" i="5"/>
  <c r="L284" i="5"/>
  <c r="M284" i="5" s="1"/>
  <c r="N284" i="5"/>
  <c r="V284" i="5"/>
  <c r="W284" i="5" s="1"/>
  <c r="X284" i="5"/>
  <c r="AF284" i="5"/>
  <c r="AG284" i="5" s="1"/>
  <c r="AH284" i="5" s="1"/>
  <c r="AI284" i="5"/>
  <c r="K285" i="5"/>
  <c r="L285" i="5"/>
  <c r="M285" i="5"/>
  <c r="N285" i="5"/>
  <c r="V285" i="5"/>
  <c r="W285" i="5" s="1"/>
  <c r="X285" i="5"/>
  <c r="AG285" i="5"/>
  <c r="AH285" i="5" s="1"/>
  <c r="AI285" i="5"/>
  <c r="K287" i="5"/>
  <c r="L287" i="5" s="1"/>
  <c r="M287" i="5" s="1"/>
  <c r="N287" i="5"/>
  <c r="V287" i="5"/>
  <c r="W287" i="5" s="1"/>
  <c r="X287" i="5"/>
  <c r="AF287" i="5"/>
  <c r="AG287" i="5"/>
  <c r="AH287" i="5" s="1"/>
  <c r="AI287" i="5"/>
  <c r="U244" i="4"/>
  <c r="T244" i="4"/>
  <c r="S244" i="4"/>
  <c r="U125" i="4"/>
  <c r="T125" i="4"/>
  <c r="S125" i="4"/>
  <c r="X125" i="4" l="1"/>
  <c r="L38" i="5"/>
  <c r="M38" i="5" s="1"/>
  <c r="N38" i="5"/>
  <c r="I3" i="4"/>
  <c r="J3" i="4"/>
  <c r="S3" i="4"/>
  <c r="T3" i="4"/>
  <c r="U3" i="4"/>
  <c r="AF3" i="4"/>
  <c r="AG3" i="4" s="1"/>
  <c r="AH3" i="4"/>
  <c r="I4" i="4"/>
  <c r="J4" i="4"/>
  <c r="K4" i="4"/>
  <c r="S4" i="4"/>
  <c r="T4" i="4"/>
  <c r="U4" i="4"/>
  <c r="V4" i="4" s="1"/>
  <c r="W4" i="4" s="1"/>
  <c r="AC4" i="4"/>
  <c r="AD4" i="4"/>
  <c r="AE4" i="4"/>
  <c r="AF4" i="4"/>
  <c r="AG4" i="4" s="1"/>
  <c r="AH4" i="4"/>
  <c r="I5" i="4"/>
  <c r="J5" i="4"/>
  <c r="S5" i="4"/>
  <c r="V5" i="4" s="1"/>
  <c r="W5" i="4" s="1"/>
  <c r="T5" i="4"/>
  <c r="U5" i="4"/>
  <c r="AC5" i="4"/>
  <c r="AD5" i="4"/>
  <c r="AH5" i="4" s="1"/>
  <c r="AE5" i="4"/>
  <c r="I6" i="4"/>
  <c r="L6" i="4" s="1"/>
  <c r="M6" i="4" s="1"/>
  <c r="J6" i="4"/>
  <c r="N6" i="4"/>
  <c r="S6" i="4"/>
  <c r="T6" i="4"/>
  <c r="AF6" i="4"/>
  <c r="AG6" i="4"/>
  <c r="AH6" i="4"/>
  <c r="I7" i="4"/>
  <c r="J7" i="4"/>
  <c r="S7" i="4"/>
  <c r="X7" i="4" s="1"/>
  <c r="T7" i="4"/>
  <c r="U7" i="4"/>
  <c r="AC7" i="4"/>
  <c r="AF7" i="4" s="1"/>
  <c r="AG7" i="4" s="1"/>
  <c r="AD7" i="4"/>
  <c r="AE7" i="4"/>
  <c r="I8" i="4"/>
  <c r="J8" i="4"/>
  <c r="S8" i="4"/>
  <c r="X8" i="4" s="1"/>
  <c r="T8" i="4"/>
  <c r="U8" i="4"/>
  <c r="AF8" i="4"/>
  <c r="AG8" i="4" s="1"/>
  <c r="AH8" i="4"/>
  <c r="I9" i="4"/>
  <c r="J9" i="4"/>
  <c r="K9" i="4"/>
  <c r="S9" i="4"/>
  <c r="T9" i="4"/>
  <c r="X9" i="4" s="1"/>
  <c r="U9" i="4"/>
  <c r="V9" i="4" s="1"/>
  <c r="W9" i="4" s="1"/>
  <c r="AC9" i="4"/>
  <c r="AF9" i="4" s="1"/>
  <c r="AG9" i="4" s="1"/>
  <c r="AD9" i="4"/>
  <c r="AE9" i="4"/>
  <c r="AH9" i="4"/>
  <c r="I10" i="4"/>
  <c r="J10" i="4"/>
  <c r="K10" i="4"/>
  <c r="S10" i="4"/>
  <c r="X10" i="4" s="1"/>
  <c r="T10" i="4"/>
  <c r="AB10" i="4"/>
  <c r="AC10" i="4"/>
  <c r="AD10" i="4"/>
  <c r="AE10" i="4"/>
  <c r="I11" i="4"/>
  <c r="L11" i="4" s="1"/>
  <c r="M11" i="4" s="1"/>
  <c r="J11" i="4"/>
  <c r="K11" i="4"/>
  <c r="N11" i="4"/>
  <c r="S11" i="4"/>
  <c r="T11" i="4"/>
  <c r="U11" i="4"/>
  <c r="AC11" i="4"/>
  <c r="AD11" i="4"/>
  <c r="AE11" i="4"/>
  <c r="I12" i="4"/>
  <c r="N12" i="4" s="1"/>
  <c r="J12" i="4"/>
  <c r="L12" i="4" s="1"/>
  <c r="M12" i="4" s="1"/>
  <c r="S12" i="4"/>
  <c r="T12" i="4"/>
  <c r="X12" i="4" s="1"/>
  <c r="AF12" i="4"/>
  <c r="AG12" i="4" s="1"/>
  <c r="AH12" i="4"/>
  <c r="I13" i="4"/>
  <c r="L13" i="4" s="1"/>
  <c r="M13" i="4" s="1"/>
  <c r="S13" i="4"/>
  <c r="X13" i="4" s="1"/>
  <c r="T13" i="4"/>
  <c r="U13" i="4"/>
  <c r="V13" i="4"/>
  <c r="W13" i="4" s="1"/>
  <c r="AC13" i="4"/>
  <c r="AD13" i="4"/>
  <c r="AE13" i="4"/>
  <c r="AF13" i="4"/>
  <c r="AG13" i="4" s="1"/>
  <c r="AH13" i="4"/>
  <c r="I14" i="4"/>
  <c r="J14" i="4"/>
  <c r="N14" i="4"/>
  <c r="S14" i="4"/>
  <c r="T14" i="4"/>
  <c r="U14" i="4"/>
  <c r="AC14" i="4"/>
  <c r="AD14" i="4"/>
  <c r="AE14" i="4"/>
  <c r="I15" i="4"/>
  <c r="L15" i="4" s="1"/>
  <c r="M15" i="4" s="1"/>
  <c r="J15" i="4"/>
  <c r="N15" i="4"/>
  <c r="S15" i="4"/>
  <c r="V15" i="4" s="1"/>
  <c r="W15" i="4" s="1"/>
  <c r="T15" i="4"/>
  <c r="AF15" i="4"/>
  <c r="AG15" i="4"/>
  <c r="AH15" i="4"/>
  <c r="L17" i="4"/>
  <c r="M17" i="4"/>
  <c r="N17" i="4"/>
  <c r="S17" i="4"/>
  <c r="X17" i="4" s="1"/>
  <c r="T17" i="4"/>
  <c r="U17" i="4"/>
  <c r="V17" i="4"/>
  <c r="W17" i="4" s="1"/>
  <c r="AC17" i="4"/>
  <c r="AD17" i="4"/>
  <c r="AE17" i="4"/>
  <c r="I19" i="4"/>
  <c r="N19" i="4" s="1"/>
  <c r="R19" i="4"/>
  <c r="S19" i="4"/>
  <c r="V19" i="4" s="1"/>
  <c r="W19" i="4" s="1"/>
  <c r="T19" i="4"/>
  <c r="U19" i="4"/>
  <c r="X19" i="4"/>
  <c r="AF19" i="4"/>
  <c r="AG19" i="4" s="1"/>
  <c r="AH19" i="4"/>
  <c r="I20" i="4"/>
  <c r="N20" i="4" s="1"/>
  <c r="L20" i="4"/>
  <c r="M20" i="4" s="1"/>
  <c r="S20" i="4"/>
  <c r="T20" i="4"/>
  <c r="U20" i="4"/>
  <c r="AC20" i="4"/>
  <c r="AD20" i="4"/>
  <c r="AE20" i="4"/>
  <c r="L21" i="4"/>
  <c r="M21" i="4" s="1"/>
  <c r="N21" i="4"/>
  <c r="S21" i="4"/>
  <c r="V21" i="4" s="1"/>
  <c r="W21" i="4" s="1"/>
  <c r="T21" i="4"/>
  <c r="U21" i="4"/>
  <c r="AB21" i="4"/>
  <c r="AC21" i="4"/>
  <c r="AD21" i="4"/>
  <c r="AE21" i="4"/>
  <c r="I22" i="4"/>
  <c r="N22" i="4" s="1"/>
  <c r="L22" i="4"/>
  <c r="M22" i="4" s="1"/>
  <c r="S22" i="4"/>
  <c r="T22" i="4"/>
  <c r="U22" i="4"/>
  <c r="AF22" i="4"/>
  <c r="AG22" i="4" s="1"/>
  <c r="AH22" i="4"/>
  <c r="L23" i="4"/>
  <c r="M23" i="4" s="1"/>
  <c r="N23" i="4"/>
  <c r="S23" i="4"/>
  <c r="T23" i="4"/>
  <c r="X23" i="4" s="1"/>
  <c r="U23" i="4"/>
  <c r="V23" i="4" s="1"/>
  <c r="W23" i="4" s="1"/>
  <c r="AC23" i="4"/>
  <c r="AF23" i="4" s="1"/>
  <c r="AG23" i="4" s="1"/>
  <c r="AD23" i="4"/>
  <c r="AE23" i="4"/>
  <c r="AH23" i="4"/>
  <c r="L24" i="4"/>
  <c r="M24" i="4" s="1"/>
  <c r="N24" i="4"/>
  <c r="S24" i="4"/>
  <c r="T24" i="4"/>
  <c r="X24" i="4" s="1"/>
  <c r="U24" i="4"/>
  <c r="AC24" i="4"/>
  <c r="AF24" i="4" s="1"/>
  <c r="AG24" i="4" s="1"/>
  <c r="AD24" i="4"/>
  <c r="AE24" i="4"/>
  <c r="I26" i="4"/>
  <c r="L26" i="4" s="1"/>
  <c r="M26" i="4" s="1"/>
  <c r="J26" i="4"/>
  <c r="K26" i="4"/>
  <c r="S26" i="4"/>
  <c r="T26" i="4"/>
  <c r="V26" i="4" s="1"/>
  <c r="W26" i="4" s="1"/>
  <c r="U26" i="4"/>
  <c r="AC26" i="4"/>
  <c r="AD26" i="4"/>
  <c r="AH26" i="4" s="1"/>
  <c r="AE26" i="4"/>
  <c r="I27" i="4"/>
  <c r="L27" i="4" s="1"/>
  <c r="M27" i="4" s="1"/>
  <c r="J27" i="4"/>
  <c r="K27" i="4"/>
  <c r="S27" i="4"/>
  <c r="V27" i="4" s="1"/>
  <c r="W27" i="4" s="1"/>
  <c r="T27" i="4"/>
  <c r="U27" i="4"/>
  <c r="AC27" i="4"/>
  <c r="AD27" i="4"/>
  <c r="AF27" i="4" s="1"/>
  <c r="AG27" i="4" s="1"/>
  <c r="AE27" i="4"/>
  <c r="I28" i="4"/>
  <c r="J28" i="4"/>
  <c r="N28" i="4" s="1"/>
  <c r="K28" i="4"/>
  <c r="S28" i="4"/>
  <c r="V28" i="4" s="1"/>
  <c r="W28" i="4" s="1"/>
  <c r="T28" i="4"/>
  <c r="U28" i="4"/>
  <c r="AC28" i="4"/>
  <c r="AF28" i="4" s="1"/>
  <c r="AG28" i="4" s="1"/>
  <c r="AD28" i="4"/>
  <c r="AE28" i="4"/>
  <c r="I29" i="4"/>
  <c r="J29" i="4"/>
  <c r="L29" i="4" s="1"/>
  <c r="M29" i="4" s="1"/>
  <c r="K29" i="4"/>
  <c r="S29" i="4"/>
  <c r="V29" i="4" s="1"/>
  <c r="W29" i="4" s="1"/>
  <c r="T29" i="4"/>
  <c r="X29" i="4" s="1"/>
  <c r="U29" i="4"/>
  <c r="AC29" i="4"/>
  <c r="AF29" i="4" s="1"/>
  <c r="AG29" i="4" s="1"/>
  <c r="AD29" i="4"/>
  <c r="AE29" i="4"/>
  <c r="I30" i="4"/>
  <c r="L30" i="4" s="1"/>
  <c r="M30" i="4" s="1"/>
  <c r="J30" i="4"/>
  <c r="K30" i="4"/>
  <c r="S30" i="4"/>
  <c r="T30" i="4"/>
  <c r="V30" i="4" s="1"/>
  <c r="W30" i="4" s="1"/>
  <c r="U30" i="4"/>
  <c r="AC30" i="4"/>
  <c r="AD30" i="4"/>
  <c r="AH30" i="4" s="1"/>
  <c r="AE30" i="4"/>
  <c r="I32" i="4"/>
  <c r="L32" i="4" s="1"/>
  <c r="M32" i="4" s="1"/>
  <c r="J32" i="4"/>
  <c r="K32" i="4"/>
  <c r="S32" i="4"/>
  <c r="T32" i="4"/>
  <c r="U32" i="4"/>
  <c r="AC32" i="4"/>
  <c r="AD32" i="4"/>
  <c r="AH32" i="4" s="1"/>
  <c r="AE32" i="4"/>
  <c r="L33" i="4"/>
  <c r="M33" i="4"/>
  <c r="N33" i="4"/>
  <c r="S33" i="4"/>
  <c r="T33" i="4"/>
  <c r="U33" i="4"/>
  <c r="V33" i="4" s="1"/>
  <c r="W33" i="4" s="1"/>
  <c r="AC33" i="4"/>
  <c r="AD33" i="4"/>
  <c r="AE33" i="4"/>
  <c r="AF33" i="4" s="1"/>
  <c r="AG33" i="4" s="1"/>
  <c r="AH33" i="4"/>
  <c r="L34" i="4"/>
  <c r="M34" i="4" s="1"/>
  <c r="N34" i="4"/>
  <c r="S34" i="4"/>
  <c r="T34" i="4"/>
  <c r="U34" i="4"/>
  <c r="X34" i="4"/>
  <c r="AC34" i="4"/>
  <c r="AH34" i="4" s="1"/>
  <c r="AD34" i="4"/>
  <c r="AE34" i="4"/>
  <c r="AF34" i="4"/>
  <c r="AG34" i="4" s="1"/>
  <c r="I35" i="4"/>
  <c r="J35" i="4"/>
  <c r="K35" i="4"/>
  <c r="S35" i="4"/>
  <c r="T35" i="4"/>
  <c r="U35" i="4"/>
  <c r="AC35" i="4"/>
  <c r="AH35" i="4" s="1"/>
  <c r="AD35" i="4"/>
  <c r="AE35" i="4"/>
  <c r="L36" i="4"/>
  <c r="M36" i="4" s="1"/>
  <c r="V36" i="4"/>
  <c r="W36" i="4" s="1"/>
  <c r="I37" i="4"/>
  <c r="J37" i="4"/>
  <c r="L37" i="4"/>
  <c r="M37" i="4" s="1"/>
  <c r="S37" i="4"/>
  <c r="T37" i="4"/>
  <c r="U37" i="4"/>
  <c r="V37" i="4"/>
  <c r="W37" i="4" s="1"/>
  <c r="X37" i="4"/>
  <c r="AF37" i="4"/>
  <c r="AG37" i="4" s="1"/>
  <c r="AH37" i="4"/>
  <c r="L38" i="4"/>
  <c r="M38" i="4" s="1"/>
  <c r="N38" i="4"/>
  <c r="S38" i="4"/>
  <c r="T38" i="4"/>
  <c r="U38" i="4"/>
  <c r="AC38" i="4"/>
  <c r="AD38" i="4"/>
  <c r="AE38" i="4"/>
  <c r="AF38" i="4"/>
  <c r="AG38" i="4" s="1"/>
  <c r="I39" i="4"/>
  <c r="N39" i="4" s="1"/>
  <c r="S39" i="4"/>
  <c r="T39" i="4"/>
  <c r="U39" i="4"/>
  <c r="AC39" i="4"/>
  <c r="AD39" i="4"/>
  <c r="AE39" i="4"/>
  <c r="I40" i="4"/>
  <c r="J40" i="4"/>
  <c r="N40" i="4"/>
  <c r="S40" i="4"/>
  <c r="X40" i="4" s="1"/>
  <c r="AF40" i="4"/>
  <c r="AG40" i="4" s="1"/>
  <c r="AH40" i="4"/>
  <c r="I41" i="4"/>
  <c r="J41" i="4"/>
  <c r="K41" i="4"/>
  <c r="S41" i="4"/>
  <c r="X41" i="4" s="1"/>
  <c r="T41" i="4"/>
  <c r="U41" i="4"/>
  <c r="AC41" i="4"/>
  <c r="AH41" i="4" s="1"/>
  <c r="AD41" i="4"/>
  <c r="AE41" i="4"/>
  <c r="L43" i="4"/>
  <c r="M43" i="4" s="1"/>
  <c r="N43" i="4"/>
  <c r="S43" i="4"/>
  <c r="T43" i="4"/>
  <c r="U43" i="4"/>
  <c r="V43" i="4" s="1"/>
  <c r="W43" i="4" s="1"/>
  <c r="X43" i="4"/>
  <c r="AC43" i="4"/>
  <c r="AD43" i="4"/>
  <c r="AH43" i="4" s="1"/>
  <c r="AE43" i="4"/>
  <c r="I45" i="4"/>
  <c r="L45" i="4" s="1"/>
  <c r="M45" i="4" s="1"/>
  <c r="J45" i="4"/>
  <c r="S45" i="4"/>
  <c r="X45" i="4" s="1"/>
  <c r="T45" i="4"/>
  <c r="U45" i="4"/>
  <c r="V45" i="4" s="1"/>
  <c r="W45" i="4" s="1"/>
  <c r="AC45" i="4"/>
  <c r="AF45" i="4" s="1"/>
  <c r="AG45" i="4" s="1"/>
  <c r="AD45" i="4"/>
  <c r="AE45" i="4"/>
  <c r="AH45" i="4"/>
  <c r="H46" i="4"/>
  <c r="N46" i="4" s="1"/>
  <c r="I46" i="4"/>
  <c r="J46" i="4"/>
  <c r="K46" i="4"/>
  <c r="L46" i="4" s="1"/>
  <c r="S46" i="4"/>
  <c r="T46" i="4"/>
  <c r="U46" i="4"/>
  <c r="AC46" i="4"/>
  <c r="AD46" i="4"/>
  <c r="AE46" i="4"/>
  <c r="AF46" i="4"/>
  <c r="AG46" i="4" s="1"/>
  <c r="I47" i="4"/>
  <c r="J47" i="4"/>
  <c r="K47" i="4"/>
  <c r="L47" i="4"/>
  <c r="M47" i="4" s="1"/>
  <c r="N47" i="4"/>
  <c r="S47" i="4"/>
  <c r="T47" i="4"/>
  <c r="U47" i="4"/>
  <c r="V47" i="4" s="1"/>
  <c r="W47" i="4" s="1"/>
  <c r="X47" i="4"/>
  <c r="AC47" i="4"/>
  <c r="AD47" i="4"/>
  <c r="AH47" i="4" s="1"/>
  <c r="AE47" i="4"/>
  <c r="I48" i="4"/>
  <c r="N48" i="4" s="1"/>
  <c r="J48" i="4"/>
  <c r="K48" i="4"/>
  <c r="L48" i="4" s="1"/>
  <c r="M48" i="4" s="1"/>
  <c r="S48" i="4"/>
  <c r="T48" i="4"/>
  <c r="AF48" i="4"/>
  <c r="AG48" i="4" s="1"/>
  <c r="AH48" i="4"/>
  <c r="I49" i="4"/>
  <c r="L49" i="4" s="1"/>
  <c r="M49" i="4" s="1"/>
  <c r="N49" i="4"/>
  <c r="S49" i="4"/>
  <c r="T49" i="4"/>
  <c r="U49" i="4"/>
  <c r="AC49" i="4"/>
  <c r="AH49" i="4" s="1"/>
  <c r="AD49" i="4"/>
  <c r="AE49" i="4"/>
  <c r="I50" i="4"/>
  <c r="L50" i="4" s="1"/>
  <c r="M50" i="4" s="1"/>
  <c r="S50" i="4"/>
  <c r="T50" i="4"/>
  <c r="X50" i="4" s="1"/>
  <c r="U50" i="4"/>
  <c r="AC50" i="4"/>
  <c r="AH50" i="4" s="1"/>
  <c r="AD50" i="4"/>
  <c r="AE50" i="4"/>
  <c r="AF50" i="4" s="1"/>
  <c r="AG50" i="4" s="1"/>
  <c r="I51" i="4"/>
  <c r="L51" i="4" s="1"/>
  <c r="M51" i="4" s="1"/>
  <c r="N51" i="4"/>
  <c r="S51" i="4"/>
  <c r="T51" i="4"/>
  <c r="U51" i="4"/>
  <c r="AF51" i="4"/>
  <c r="AG51" i="4" s="1"/>
  <c r="AH51" i="4"/>
  <c r="L52" i="4"/>
  <c r="M52" i="4" s="1"/>
  <c r="N52" i="4"/>
  <c r="S52" i="4"/>
  <c r="X52" i="4" s="1"/>
  <c r="T52" i="4"/>
  <c r="AC52" i="4"/>
  <c r="AD52" i="4"/>
  <c r="AE52" i="4"/>
  <c r="L53" i="4"/>
  <c r="M53" i="4" s="1"/>
  <c r="V53" i="4"/>
  <c r="W53" i="4" s="1"/>
  <c r="AF53" i="4"/>
  <c r="AG53" i="4" s="1"/>
  <c r="AH53" i="4"/>
  <c r="L54" i="4"/>
  <c r="M54" i="4"/>
  <c r="V54" i="4"/>
  <c r="W54" i="4" s="1"/>
  <c r="AF54" i="4"/>
  <c r="AG54" i="4"/>
  <c r="AH54" i="4"/>
  <c r="I56" i="4"/>
  <c r="J56" i="4"/>
  <c r="L56" i="4"/>
  <c r="M56" i="4" s="1"/>
  <c r="N56" i="4"/>
  <c r="S56" i="4"/>
  <c r="T56" i="4"/>
  <c r="U56" i="4"/>
  <c r="V56" i="4" s="1"/>
  <c r="W56" i="4" s="1"/>
  <c r="X56" i="4"/>
  <c r="AC56" i="4"/>
  <c r="AD56" i="4"/>
  <c r="AH56" i="4" s="1"/>
  <c r="AE56" i="4"/>
  <c r="I57" i="4"/>
  <c r="N57" i="4" s="1"/>
  <c r="J57" i="4"/>
  <c r="S57" i="4"/>
  <c r="X57" i="4" s="1"/>
  <c r="T57" i="4"/>
  <c r="AF57" i="4"/>
  <c r="AG57" i="4" s="1"/>
  <c r="AH57" i="4"/>
  <c r="I58" i="4"/>
  <c r="L58" i="4" s="1"/>
  <c r="M58" i="4" s="1"/>
  <c r="S58" i="4"/>
  <c r="V58" i="4" s="1"/>
  <c r="W58" i="4" s="1"/>
  <c r="T58" i="4"/>
  <c r="U58" i="4"/>
  <c r="AC58" i="4"/>
  <c r="AD58" i="4"/>
  <c r="AE58" i="4"/>
  <c r="I59" i="4"/>
  <c r="J59" i="4"/>
  <c r="L59" i="4"/>
  <c r="M59" i="4" s="1"/>
  <c r="N59" i="4"/>
  <c r="S59" i="4"/>
  <c r="T59" i="4"/>
  <c r="AF59" i="4"/>
  <c r="AG59" i="4" s="1"/>
  <c r="AH59" i="4"/>
  <c r="I60" i="4"/>
  <c r="N60" i="4" s="1"/>
  <c r="S60" i="4"/>
  <c r="V60" i="4" s="1"/>
  <c r="W60" i="4" s="1"/>
  <c r="T60" i="4"/>
  <c r="U60" i="4"/>
  <c r="X60" i="4"/>
  <c r="AC60" i="4"/>
  <c r="AD60" i="4"/>
  <c r="AE60" i="4"/>
  <c r="AF60" i="4"/>
  <c r="AG60" i="4" s="1"/>
  <c r="AH60" i="4"/>
  <c r="I61" i="4"/>
  <c r="J61" i="4"/>
  <c r="S61" i="4"/>
  <c r="X61" i="4" s="1"/>
  <c r="T61" i="4"/>
  <c r="AF61" i="4"/>
  <c r="AG61" i="4" s="1"/>
  <c r="AH61" i="4"/>
  <c r="I62" i="4"/>
  <c r="L62" i="4" s="1"/>
  <c r="M62" i="4"/>
  <c r="S62" i="4"/>
  <c r="T62" i="4"/>
  <c r="U62" i="4"/>
  <c r="AC62" i="4"/>
  <c r="AD62" i="4"/>
  <c r="AE62" i="4"/>
  <c r="L63" i="4"/>
  <c r="M63" i="4" s="1"/>
  <c r="V63" i="4"/>
  <c r="W63" i="4" s="1"/>
  <c r="AF63" i="4"/>
  <c r="AG63" i="4" s="1"/>
  <c r="AH63" i="4"/>
  <c r="L65" i="4"/>
  <c r="M65" i="4"/>
  <c r="V65" i="4"/>
  <c r="W65" i="4" s="1"/>
  <c r="AC65" i="4"/>
  <c r="AD65" i="4"/>
  <c r="AE65" i="4"/>
  <c r="L67" i="4"/>
  <c r="M67" i="4"/>
  <c r="V67" i="4"/>
  <c r="W67" i="4" s="1"/>
  <c r="AF67" i="4"/>
  <c r="AG67" i="4"/>
  <c r="AH67" i="4"/>
  <c r="I68" i="4"/>
  <c r="N68" i="4" s="1"/>
  <c r="J68" i="4"/>
  <c r="K68" i="4"/>
  <c r="S68" i="4"/>
  <c r="V68" i="4" s="1"/>
  <c r="W68" i="4" s="1"/>
  <c r="T68" i="4"/>
  <c r="U68" i="4"/>
  <c r="AC68" i="4"/>
  <c r="AD68" i="4"/>
  <c r="AE68" i="4"/>
  <c r="I69" i="4"/>
  <c r="J69" i="4"/>
  <c r="K69" i="4"/>
  <c r="S69" i="4"/>
  <c r="T69" i="4"/>
  <c r="U69" i="4"/>
  <c r="AC69" i="4"/>
  <c r="AH69" i="4" s="1"/>
  <c r="AD69" i="4"/>
  <c r="AE69" i="4"/>
  <c r="I71" i="4"/>
  <c r="J71" i="4"/>
  <c r="K71" i="4"/>
  <c r="S71" i="4"/>
  <c r="T71" i="4"/>
  <c r="U71" i="4"/>
  <c r="AC71" i="4"/>
  <c r="AD71" i="4"/>
  <c r="AE71" i="4"/>
  <c r="I72" i="4"/>
  <c r="L72" i="4" s="1"/>
  <c r="M72" i="4" s="1"/>
  <c r="S72" i="4"/>
  <c r="T72" i="4"/>
  <c r="U72" i="4"/>
  <c r="AF72" i="4"/>
  <c r="AG72" i="4" s="1"/>
  <c r="AH72" i="4"/>
  <c r="L73" i="4"/>
  <c r="M73" i="4" s="1"/>
  <c r="N73" i="4"/>
  <c r="S73" i="4"/>
  <c r="T73" i="4"/>
  <c r="V73" i="4" s="1"/>
  <c r="W73" i="4" s="1"/>
  <c r="AC73" i="4"/>
  <c r="AD73" i="4"/>
  <c r="AH73" i="4" s="1"/>
  <c r="AE73" i="4"/>
  <c r="L75" i="4"/>
  <c r="M75" i="4" s="1"/>
  <c r="V75" i="4"/>
  <c r="W75" i="4" s="1"/>
  <c r="AF75" i="4"/>
  <c r="AG75" i="4" s="1"/>
  <c r="AH75" i="4"/>
  <c r="L77" i="4"/>
  <c r="M77" i="4" s="1"/>
  <c r="N77" i="4"/>
  <c r="S77" i="4"/>
  <c r="T77" i="4"/>
  <c r="U77" i="4"/>
  <c r="AC77" i="4"/>
  <c r="AD77" i="4"/>
  <c r="AE77" i="4"/>
  <c r="AF77" i="4" s="1"/>
  <c r="AG77" i="4" s="1"/>
  <c r="I78" i="4"/>
  <c r="J78" i="4"/>
  <c r="K78" i="4"/>
  <c r="L78" i="4" s="1"/>
  <c r="M78" i="4" s="1"/>
  <c r="N78" i="4"/>
  <c r="S78" i="4"/>
  <c r="T78" i="4"/>
  <c r="X78" i="4" s="1"/>
  <c r="U78" i="4"/>
  <c r="AC78" i="4"/>
  <c r="AF78" i="4" s="1"/>
  <c r="AG78" i="4" s="1"/>
  <c r="AD78" i="4"/>
  <c r="AE78" i="4"/>
  <c r="I80" i="4"/>
  <c r="L80" i="4"/>
  <c r="M80" i="4" s="1"/>
  <c r="N80" i="4"/>
  <c r="S80" i="4"/>
  <c r="T80" i="4"/>
  <c r="U80" i="4"/>
  <c r="V80" i="4" s="1"/>
  <c r="W80" i="4" s="1"/>
  <c r="X80" i="4"/>
  <c r="AC80" i="4"/>
  <c r="AD80" i="4"/>
  <c r="AH80" i="4" s="1"/>
  <c r="AE80" i="4"/>
  <c r="I81" i="4"/>
  <c r="L81" i="4" s="1"/>
  <c r="M81" i="4" s="1"/>
  <c r="N81" i="4"/>
  <c r="S81" i="4"/>
  <c r="T81" i="4"/>
  <c r="U81" i="4"/>
  <c r="V81" i="4"/>
  <c r="W81" i="4" s="1"/>
  <c r="X81" i="4"/>
  <c r="AC81" i="4"/>
  <c r="AD81" i="4"/>
  <c r="AE81" i="4"/>
  <c r="L83" i="4"/>
  <c r="M83" i="4" s="1"/>
  <c r="N83" i="4"/>
  <c r="S83" i="4"/>
  <c r="T83" i="4"/>
  <c r="U83" i="4"/>
  <c r="AC83" i="4"/>
  <c r="AD83" i="4"/>
  <c r="AE83" i="4"/>
  <c r="I84" i="4"/>
  <c r="L84" i="4" s="1"/>
  <c r="M84" i="4" s="1"/>
  <c r="S84" i="4"/>
  <c r="AF84" i="4"/>
  <c r="AG84" i="4" s="1"/>
  <c r="AH84" i="4"/>
  <c r="I85" i="4"/>
  <c r="J85" i="4"/>
  <c r="S85" i="4"/>
  <c r="V85" i="4" s="1"/>
  <c r="W85" i="4" s="1"/>
  <c r="AF85" i="4"/>
  <c r="AG85" i="4" s="1"/>
  <c r="AH85" i="4"/>
  <c r="L86" i="4"/>
  <c r="M86" i="4" s="1"/>
  <c r="N86" i="4"/>
  <c r="S86" i="4"/>
  <c r="T86" i="4"/>
  <c r="AC86" i="4"/>
  <c r="AD86" i="4"/>
  <c r="AE86" i="4"/>
  <c r="AF86" i="4"/>
  <c r="AG86" i="4" s="1"/>
  <c r="AH86" i="4"/>
  <c r="I88" i="4"/>
  <c r="J88" i="4"/>
  <c r="K88" i="4"/>
  <c r="L88" i="4" s="1"/>
  <c r="M88" i="4" s="1"/>
  <c r="N88" i="4"/>
  <c r="S88" i="4"/>
  <c r="T88" i="4"/>
  <c r="X88" i="4" s="1"/>
  <c r="U88" i="4"/>
  <c r="AC88" i="4"/>
  <c r="AH88" i="4" s="1"/>
  <c r="AD88" i="4"/>
  <c r="AE88" i="4"/>
  <c r="I89" i="4"/>
  <c r="J89" i="4"/>
  <c r="S89" i="4"/>
  <c r="T89" i="4"/>
  <c r="AF89" i="4"/>
  <c r="AG89" i="4" s="1"/>
  <c r="AH89" i="4"/>
  <c r="I91" i="4"/>
  <c r="J91" i="4"/>
  <c r="K91" i="4"/>
  <c r="S91" i="4"/>
  <c r="T91" i="4"/>
  <c r="V91" i="4" s="1"/>
  <c r="W91" i="4" s="1"/>
  <c r="AC91" i="4"/>
  <c r="AD91" i="4"/>
  <c r="AE91" i="4"/>
  <c r="AF91" i="4" s="1"/>
  <c r="AG91" i="4" s="1"/>
  <c r="AH91" i="4"/>
  <c r="I92" i="4"/>
  <c r="J92" i="4"/>
  <c r="K92" i="4"/>
  <c r="S92" i="4"/>
  <c r="T92" i="4"/>
  <c r="U92" i="4"/>
  <c r="AF92" i="4"/>
  <c r="AG92" i="4"/>
  <c r="AH92" i="4"/>
  <c r="L93" i="4"/>
  <c r="M93" i="4" s="1"/>
  <c r="N93" i="4"/>
  <c r="S93" i="4"/>
  <c r="V93" i="4" s="1"/>
  <c r="W93" i="4" s="1"/>
  <c r="T93" i="4"/>
  <c r="U93" i="4"/>
  <c r="AC93" i="4"/>
  <c r="AD93" i="4"/>
  <c r="AE93" i="4"/>
  <c r="AF93" i="4"/>
  <c r="AG93" i="4" s="1"/>
  <c r="AH93" i="4"/>
  <c r="L94" i="4"/>
  <c r="M94" i="4" s="1"/>
  <c r="N94" i="4"/>
  <c r="S94" i="4"/>
  <c r="X94" i="4" s="1"/>
  <c r="T94" i="4"/>
  <c r="U94" i="4"/>
  <c r="V94" i="4"/>
  <c r="W94" i="4" s="1"/>
  <c r="AC94" i="4"/>
  <c r="AD94" i="4"/>
  <c r="AE94" i="4"/>
  <c r="I95" i="4"/>
  <c r="J95" i="4"/>
  <c r="K95" i="4"/>
  <c r="S95" i="4"/>
  <c r="X95" i="4" s="1"/>
  <c r="T95" i="4"/>
  <c r="U95" i="4"/>
  <c r="AC95" i="4"/>
  <c r="AH95" i="4" s="1"/>
  <c r="AD95" i="4"/>
  <c r="AE95" i="4"/>
  <c r="AF95" i="4"/>
  <c r="AG95" i="4" s="1"/>
  <c r="L96" i="4"/>
  <c r="M96" i="4" s="1"/>
  <c r="N96" i="4"/>
  <c r="S96" i="4"/>
  <c r="T96" i="4"/>
  <c r="U96" i="4"/>
  <c r="V96" i="4"/>
  <c r="W96" i="4" s="1"/>
  <c r="X96" i="4"/>
  <c r="AC96" i="4"/>
  <c r="AD96" i="4"/>
  <c r="AH96" i="4" s="1"/>
  <c r="AE96" i="4"/>
  <c r="AF96" i="4" s="1"/>
  <c r="AG96" i="4" s="1"/>
  <c r="L97" i="4"/>
  <c r="M97" i="4"/>
  <c r="N97" i="4"/>
  <c r="S97" i="4"/>
  <c r="T97" i="4"/>
  <c r="U97" i="4"/>
  <c r="V97" i="4" s="1"/>
  <c r="W97" i="4" s="1"/>
  <c r="X97" i="4"/>
  <c r="AC97" i="4"/>
  <c r="AD97" i="4"/>
  <c r="AE97" i="4"/>
  <c r="L98" i="4"/>
  <c r="M98" i="4" s="1"/>
  <c r="N98" i="4"/>
  <c r="S98" i="4"/>
  <c r="T98" i="4"/>
  <c r="X98" i="4" s="1"/>
  <c r="U98" i="4"/>
  <c r="AC98" i="4"/>
  <c r="AF98" i="4" s="1"/>
  <c r="AG98" i="4" s="1"/>
  <c r="AD98" i="4"/>
  <c r="AE98" i="4"/>
  <c r="I99" i="4"/>
  <c r="L99" i="4"/>
  <c r="M99" i="4" s="1"/>
  <c r="N99" i="4"/>
  <c r="S99" i="4"/>
  <c r="T99" i="4"/>
  <c r="U99" i="4"/>
  <c r="V99" i="4"/>
  <c r="W99" i="4" s="1"/>
  <c r="AF99" i="4"/>
  <c r="AG99" i="4" s="1"/>
  <c r="AH99" i="4"/>
  <c r="L100" i="4"/>
  <c r="M100" i="4"/>
  <c r="N100" i="4"/>
  <c r="S100" i="4"/>
  <c r="T100" i="4"/>
  <c r="U100" i="4"/>
  <c r="V100" i="4" s="1"/>
  <c r="W100" i="4" s="1"/>
  <c r="AC100" i="4"/>
  <c r="AD100" i="4"/>
  <c r="AE100" i="4"/>
  <c r="AF100" i="4"/>
  <c r="AG100" i="4" s="1"/>
  <c r="AH100" i="4"/>
  <c r="L101" i="4"/>
  <c r="M101" i="4"/>
  <c r="N101" i="4"/>
  <c r="S101" i="4"/>
  <c r="X101" i="4" s="1"/>
  <c r="T101" i="4"/>
  <c r="U101" i="4"/>
  <c r="V101" i="4"/>
  <c r="W101" i="4" s="1"/>
  <c r="AC101" i="4"/>
  <c r="AD101" i="4"/>
  <c r="AE101" i="4"/>
  <c r="L102" i="4"/>
  <c r="M102" i="4" s="1"/>
  <c r="N102" i="4"/>
  <c r="S102" i="4"/>
  <c r="T102" i="4"/>
  <c r="U102" i="4"/>
  <c r="V102" i="4"/>
  <c r="W102" i="4" s="1"/>
  <c r="X102" i="4"/>
  <c r="AC102" i="4"/>
  <c r="AD102" i="4"/>
  <c r="AE102" i="4"/>
  <c r="L103" i="4"/>
  <c r="M103" i="4" s="1"/>
  <c r="N103" i="4"/>
  <c r="S103" i="4"/>
  <c r="T103" i="4"/>
  <c r="U103" i="4"/>
  <c r="AC103" i="4"/>
  <c r="AD103" i="4"/>
  <c r="AE103" i="4"/>
  <c r="I104" i="4"/>
  <c r="N104" i="4" s="1"/>
  <c r="J104" i="4"/>
  <c r="K104" i="4"/>
  <c r="S104" i="4"/>
  <c r="T104" i="4"/>
  <c r="U104" i="4"/>
  <c r="X104" i="4"/>
  <c r="AC104" i="4"/>
  <c r="AD104" i="4"/>
  <c r="AE104" i="4"/>
  <c r="L105" i="4"/>
  <c r="M105" i="4" s="1"/>
  <c r="N105" i="4"/>
  <c r="S105" i="4"/>
  <c r="T105" i="4"/>
  <c r="U105" i="4"/>
  <c r="AC105" i="4"/>
  <c r="AD105" i="4"/>
  <c r="AE105" i="4"/>
  <c r="L106" i="4"/>
  <c r="M106" i="4"/>
  <c r="N106" i="4"/>
  <c r="S106" i="4"/>
  <c r="T106" i="4"/>
  <c r="U106" i="4"/>
  <c r="AC106" i="4"/>
  <c r="AD106" i="4"/>
  <c r="AE106" i="4"/>
  <c r="I107" i="4"/>
  <c r="N107" i="4" s="1"/>
  <c r="S107" i="4"/>
  <c r="T107" i="4"/>
  <c r="U107" i="4"/>
  <c r="AC107" i="4"/>
  <c r="AH107" i="4" s="1"/>
  <c r="AD107" i="4"/>
  <c r="AE107" i="4"/>
  <c r="I108" i="4"/>
  <c r="J108" i="4"/>
  <c r="K108" i="4"/>
  <c r="N108" i="4"/>
  <c r="S108" i="4"/>
  <c r="V108" i="4" s="1"/>
  <c r="T108" i="4"/>
  <c r="U108" i="4"/>
  <c r="W108" i="4"/>
  <c r="X108" i="4"/>
  <c r="AC108" i="4"/>
  <c r="AD108" i="4"/>
  <c r="AE108" i="4"/>
  <c r="I109" i="4"/>
  <c r="L109" i="4" s="1"/>
  <c r="M109" i="4" s="1"/>
  <c r="S109" i="4"/>
  <c r="AC109" i="4"/>
  <c r="AD109" i="4"/>
  <c r="AE109" i="4"/>
  <c r="L110" i="4"/>
  <c r="M110" i="4" s="1"/>
  <c r="N110" i="4"/>
  <c r="S110" i="4"/>
  <c r="T110" i="4"/>
  <c r="V110" i="4" s="1"/>
  <c r="W110" i="4" s="1"/>
  <c r="AC110" i="4"/>
  <c r="AD110" i="4"/>
  <c r="AE110" i="4"/>
  <c r="L111" i="4"/>
  <c r="M111" i="4"/>
  <c r="N111" i="4"/>
  <c r="S111" i="4"/>
  <c r="T111" i="4"/>
  <c r="U111" i="4"/>
  <c r="AF111" i="4"/>
  <c r="AG111" i="4" s="1"/>
  <c r="AH111" i="4"/>
  <c r="L112" i="4"/>
  <c r="M112" i="4" s="1"/>
  <c r="V112" i="4"/>
  <c r="W112" i="4" s="1"/>
  <c r="AF112" i="4"/>
  <c r="AG112" i="4" s="1"/>
  <c r="I113" i="4"/>
  <c r="J113" i="4"/>
  <c r="K113" i="4"/>
  <c r="S113" i="4"/>
  <c r="V113" i="4" s="1"/>
  <c r="W113" i="4" s="1"/>
  <c r="T113" i="4"/>
  <c r="U113" i="4"/>
  <c r="X113" i="4"/>
  <c r="AC113" i="4"/>
  <c r="AD113" i="4"/>
  <c r="AE113" i="4"/>
  <c r="AH113" i="4"/>
  <c r="L114" i="4"/>
  <c r="M114" i="4" s="1"/>
  <c r="N114" i="4"/>
  <c r="S114" i="4"/>
  <c r="T114" i="4"/>
  <c r="U114" i="4"/>
  <c r="AC114" i="4"/>
  <c r="AD114" i="4"/>
  <c r="AE114" i="4"/>
  <c r="L115" i="4"/>
  <c r="M115" i="4" s="1"/>
  <c r="N115" i="4"/>
  <c r="S115" i="4"/>
  <c r="T115" i="4"/>
  <c r="U115" i="4"/>
  <c r="AC115" i="4"/>
  <c r="AD115" i="4"/>
  <c r="AE115" i="4"/>
  <c r="L116" i="4"/>
  <c r="M116" i="4"/>
  <c r="N116" i="4"/>
  <c r="S116" i="4"/>
  <c r="T116" i="4"/>
  <c r="U116" i="4"/>
  <c r="AC116" i="4"/>
  <c r="AD116" i="4"/>
  <c r="AE116" i="4"/>
  <c r="I117" i="4"/>
  <c r="J117" i="4"/>
  <c r="N117" i="4" s="1"/>
  <c r="K117" i="4"/>
  <c r="S117" i="4"/>
  <c r="V117" i="4" s="1"/>
  <c r="T117" i="4"/>
  <c r="U117" i="4"/>
  <c r="W117" i="4"/>
  <c r="X117" i="4"/>
  <c r="AC117" i="4"/>
  <c r="AD117" i="4"/>
  <c r="AE117" i="4"/>
  <c r="L118" i="4"/>
  <c r="M118" i="4" s="1"/>
  <c r="N118" i="4"/>
  <c r="S118" i="4"/>
  <c r="X118" i="4" s="1"/>
  <c r="T118" i="4"/>
  <c r="U118" i="4"/>
  <c r="AC118" i="4"/>
  <c r="AD118" i="4"/>
  <c r="AE118" i="4"/>
  <c r="I119" i="4"/>
  <c r="J119" i="4"/>
  <c r="L119" i="4"/>
  <c r="M119" i="4" s="1"/>
  <c r="N119" i="4"/>
  <c r="S119" i="4"/>
  <c r="T119" i="4"/>
  <c r="U119" i="4"/>
  <c r="AC119" i="4"/>
  <c r="AD119" i="4"/>
  <c r="AE119" i="4"/>
  <c r="L120" i="4"/>
  <c r="M120" i="4" s="1"/>
  <c r="N120" i="4"/>
  <c r="S120" i="4"/>
  <c r="T120" i="4"/>
  <c r="V120" i="4" s="1"/>
  <c r="W120" i="4" s="1"/>
  <c r="U120" i="4"/>
  <c r="AC120" i="4"/>
  <c r="AD120" i="4"/>
  <c r="AE120" i="4"/>
  <c r="L121" i="4"/>
  <c r="M121" i="4" s="1"/>
  <c r="N121" i="4"/>
  <c r="S121" i="4"/>
  <c r="T121" i="4"/>
  <c r="U121" i="4"/>
  <c r="AC121" i="4"/>
  <c r="AD121" i="4"/>
  <c r="AH121" i="4" s="1"/>
  <c r="AE121" i="4"/>
  <c r="L122" i="4"/>
  <c r="M122" i="4" s="1"/>
  <c r="N122" i="4"/>
  <c r="S122" i="4"/>
  <c r="T122" i="4"/>
  <c r="U122" i="4"/>
  <c r="AC122" i="4"/>
  <c r="AD122" i="4"/>
  <c r="AE122" i="4"/>
  <c r="L123" i="4"/>
  <c r="M123" i="4" s="1"/>
  <c r="N123" i="4"/>
  <c r="S123" i="4"/>
  <c r="T123" i="4"/>
  <c r="U123" i="4"/>
  <c r="AC123" i="4"/>
  <c r="AD123" i="4"/>
  <c r="AE123" i="4"/>
  <c r="L124" i="4"/>
  <c r="M124" i="4" s="1"/>
  <c r="N124" i="4"/>
  <c r="S124" i="4"/>
  <c r="T124" i="4"/>
  <c r="U124" i="4"/>
  <c r="AC124" i="4"/>
  <c r="AD124" i="4"/>
  <c r="AE124" i="4"/>
  <c r="K125" i="4"/>
  <c r="L125" i="4" s="1"/>
  <c r="M125" i="4"/>
  <c r="N125" i="4"/>
  <c r="AF125" i="4"/>
  <c r="AG125" i="4" s="1"/>
  <c r="AH125" i="4"/>
  <c r="L126" i="4"/>
  <c r="M126" i="4" s="1"/>
  <c r="N126" i="4"/>
  <c r="S126" i="4"/>
  <c r="T126" i="4"/>
  <c r="V126" i="4" s="1"/>
  <c r="W126" i="4" s="1"/>
  <c r="U126" i="4"/>
  <c r="X126" i="4"/>
  <c r="AC126" i="4"/>
  <c r="AD126" i="4"/>
  <c r="AE126" i="4"/>
  <c r="L127" i="4"/>
  <c r="M127" i="4" s="1"/>
  <c r="N127" i="4"/>
  <c r="S127" i="4"/>
  <c r="V127" i="4" s="1"/>
  <c r="W127" i="4" s="1"/>
  <c r="T127" i="4"/>
  <c r="X127" i="4"/>
  <c r="AC127" i="4"/>
  <c r="AD127" i="4"/>
  <c r="AE127" i="4"/>
  <c r="I128" i="4"/>
  <c r="J128" i="4"/>
  <c r="S128" i="4"/>
  <c r="T128" i="4"/>
  <c r="U128" i="4"/>
  <c r="AF128" i="4"/>
  <c r="AG128" i="4" s="1"/>
  <c r="AH128" i="4"/>
  <c r="I129" i="4"/>
  <c r="J129" i="4"/>
  <c r="N129" i="4"/>
  <c r="S129" i="4"/>
  <c r="T129" i="4"/>
  <c r="U129" i="4"/>
  <c r="AF129" i="4"/>
  <c r="AG129" i="4" s="1"/>
  <c r="AH129" i="4"/>
  <c r="I130" i="4"/>
  <c r="J130" i="4"/>
  <c r="K130" i="4"/>
  <c r="S130" i="4"/>
  <c r="V130" i="4"/>
  <c r="W130" i="4" s="1"/>
  <c r="X130" i="4"/>
  <c r="AF130" i="4"/>
  <c r="AG130" i="4" s="1"/>
  <c r="AH130" i="4"/>
  <c r="I131" i="4"/>
  <c r="N131" i="4" s="1"/>
  <c r="J131" i="4"/>
  <c r="K131" i="4"/>
  <c r="S131" i="4"/>
  <c r="T131" i="4"/>
  <c r="U131" i="4"/>
  <c r="AC131" i="4"/>
  <c r="AD131" i="4"/>
  <c r="AE131" i="4"/>
  <c r="L132" i="4"/>
  <c r="M132" i="4"/>
  <c r="N132" i="4"/>
  <c r="S132" i="4"/>
  <c r="T132" i="4"/>
  <c r="U132" i="4"/>
  <c r="X132" i="4"/>
  <c r="AC132" i="4"/>
  <c r="AH132" i="4" s="1"/>
  <c r="AD132" i="4"/>
  <c r="AE132" i="4"/>
  <c r="I133" i="4"/>
  <c r="N133" i="4" s="1"/>
  <c r="J133" i="4"/>
  <c r="K133" i="4"/>
  <c r="S133" i="4"/>
  <c r="X133" i="4" s="1"/>
  <c r="T133" i="4"/>
  <c r="U133" i="4"/>
  <c r="AB133" i="4"/>
  <c r="AC133" i="4"/>
  <c r="AD133" i="4"/>
  <c r="AH133" i="4" s="1"/>
  <c r="AE133" i="4"/>
  <c r="I134" i="4"/>
  <c r="J134" i="4"/>
  <c r="K134" i="4"/>
  <c r="S134" i="4"/>
  <c r="X134" i="4" s="1"/>
  <c r="T134" i="4"/>
  <c r="U134" i="4"/>
  <c r="AB134" i="4"/>
  <c r="AH134" i="4" s="1"/>
  <c r="AC134" i="4"/>
  <c r="AD134" i="4"/>
  <c r="AE134" i="4"/>
  <c r="AF134" i="4"/>
  <c r="L135" i="4"/>
  <c r="M135" i="4" s="1"/>
  <c r="N135" i="4"/>
  <c r="S135" i="4"/>
  <c r="X135" i="4" s="1"/>
  <c r="T135" i="4"/>
  <c r="U135" i="4"/>
  <c r="AC135" i="4"/>
  <c r="AD135" i="4"/>
  <c r="AE135" i="4"/>
  <c r="L136" i="4"/>
  <c r="M136" i="4" s="1"/>
  <c r="N136" i="4"/>
  <c r="S136" i="4"/>
  <c r="T136" i="4"/>
  <c r="U136" i="4"/>
  <c r="AC136" i="4"/>
  <c r="AH136" i="4" s="1"/>
  <c r="AD136" i="4"/>
  <c r="AE136" i="4"/>
  <c r="L137" i="4"/>
  <c r="M137" i="4" s="1"/>
  <c r="N137" i="4"/>
  <c r="S137" i="4"/>
  <c r="V137" i="4" s="1"/>
  <c r="W137" i="4" s="1"/>
  <c r="T137" i="4"/>
  <c r="AC137" i="4"/>
  <c r="AD137" i="4"/>
  <c r="AH137" i="4" s="1"/>
  <c r="AE137" i="4"/>
  <c r="I138" i="4"/>
  <c r="J138" i="4"/>
  <c r="N138" i="4"/>
  <c r="S138" i="4"/>
  <c r="X138" i="4" s="1"/>
  <c r="AC138" i="4"/>
  <c r="AD138" i="4"/>
  <c r="AH138" i="4" s="1"/>
  <c r="AE138" i="4"/>
  <c r="I139" i="4"/>
  <c r="J139" i="4"/>
  <c r="K139" i="4"/>
  <c r="S139" i="4"/>
  <c r="T139" i="4"/>
  <c r="U139" i="4"/>
  <c r="AC139" i="4"/>
  <c r="AD139" i="4"/>
  <c r="AE139" i="4"/>
  <c r="I141" i="4"/>
  <c r="L141" i="4" s="1"/>
  <c r="M141" i="4" s="1"/>
  <c r="J141" i="4"/>
  <c r="S141" i="4"/>
  <c r="V141" i="4" s="1"/>
  <c r="W141" i="4" s="1"/>
  <c r="T141" i="4"/>
  <c r="U141" i="4"/>
  <c r="AC141" i="4"/>
  <c r="AH141" i="4" s="1"/>
  <c r="AD141" i="4"/>
  <c r="AE141" i="4"/>
  <c r="I142" i="4"/>
  <c r="N142" i="4" s="1"/>
  <c r="J142" i="4"/>
  <c r="K142" i="4"/>
  <c r="S142" i="4"/>
  <c r="V142" i="4" s="1"/>
  <c r="W142" i="4" s="1"/>
  <c r="T142" i="4"/>
  <c r="U142" i="4"/>
  <c r="X142" i="4"/>
  <c r="AC142" i="4"/>
  <c r="AD142" i="4"/>
  <c r="AE142" i="4"/>
  <c r="AH142" i="4"/>
  <c r="I143" i="4"/>
  <c r="J143" i="4"/>
  <c r="S143" i="4"/>
  <c r="V143" i="4" s="1"/>
  <c r="W143" i="4" s="1"/>
  <c r="T143" i="4"/>
  <c r="X143" i="4" s="1"/>
  <c r="U143" i="4"/>
  <c r="AC143" i="4"/>
  <c r="AF143" i="4" s="1"/>
  <c r="AG143" i="4" s="1"/>
  <c r="AD143" i="4"/>
  <c r="AE143" i="4"/>
  <c r="I145" i="4"/>
  <c r="J145" i="4"/>
  <c r="K145" i="4"/>
  <c r="S145" i="4"/>
  <c r="T145" i="4"/>
  <c r="U145" i="4"/>
  <c r="AC145" i="4"/>
  <c r="AD145" i="4"/>
  <c r="AE145" i="4"/>
  <c r="AF145" i="4" s="1"/>
  <c r="AG145" i="4" s="1"/>
  <c r="AH145" i="4"/>
  <c r="I147" i="4"/>
  <c r="J147" i="4"/>
  <c r="K147" i="4"/>
  <c r="S147" i="4"/>
  <c r="T147" i="4"/>
  <c r="U147" i="4"/>
  <c r="AB147" i="4"/>
  <c r="AC147" i="4"/>
  <c r="AD147" i="4"/>
  <c r="AE147" i="4"/>
  <c r="I148" i="4"/>
  <c r="L148" i="4" s="1"/>
  <c r="M148" i="4" s="1"/>
  <c r="J148" i="4"/>
  <c r="N148" i="4" s="1"/>
  <c r="S148" i="4"/>
  <c r="X148" i="4" s="1"/>
  <c r="T148" i="4"/>
  <c r="U148" i="4"/>
  <c r="AC148" i="4"/>
  <c r="AD148" i="4"/>
  <c r="AE148" i="4"/>
  <c r="I149" i="4"/>
  <c r="L149" i="4" s="1"/>
  <c r="M149" i="4" s="1"/>
  <c r="J149" i="4"/>
  <c r="N149" i="4" s="1"/>
  <c r="R149" i="4"/>
  <c r="S149" i="4"/>
  <c r="T149" i="4"/>
  <c r="AC149" i="4"/>
  <c r="AD149" i="4"/>
  <c r="AE149" i="4"/>
  <c r="I150" i="4"/>
  <c r="J150" i="4"/>
  <c r="K150" i="4"/>
  <c r="S150" i="4"/>
  <c r="V150" i="4" s="1"/>
  <c r="W150" i="4" s="1"/>
  <c r="T150" i="4"/>
  <c r="X150" i="4" s="1"/>
  <c r="AB150" i="4"/>
  <c r="AC150" i="4"/>
  <c r="AD150" i="4"/>
  <c r="AE150" i="4"/>
  <c r="I151" i="4"/>
  <c r="J151" i="4"/>
  <c r="K151" i="4"/>
  <c r="S151" i="4"/>
  <c r="T151" i="4"/>
  <c r="U151" i="4"/>
  <c r="AF151" i="4"/>
  <c r="AG151" i="4"/>
  <c r="AH151" i="4"/>
  <c r="I153" i="4"/>
  <c r="N153" i="4" s="1"/>
  <c r="J153" i="4"/>
  <c r="K153" i="4"/>
  <c r="L153" i="4"/>
  <c r="M153" i="4" s="1"/>
  <c r="S153" i="4"/>
  <c r="T153" i="4"/>
  <c r="U153" i="4"/>
  <c r="X153" i="4"/>
  <c r="AC153" i="4"/>
  <c r="AD153" i="4"/>
  <c r="AE153" i="4"/>
  <c r="AF153" i="4"/>
  <c r="AG153" i="4" s="1"/>
  <c r="AH153" i="4"/>
  <c r="I155" i="4"/>
  <c r="J155" i="4"/>
  <c r="N155" i="4" s="1"/>
  <c r="K155" i="4"/>
  <c r="S155" i="4"/>
  <c r="T155" i="4"/>
  <c r="U155" i="4"/>
  <c r="AC155" i="4"/>
  <c r="AD155" i="4"/>
  <c r="AE155" i="4"/>
  <c r="I157" i="4"/>
  <c r="N157" i="4" s="1"/>
  <c r="J157" i="4"/>
  <c r="S157" i="4"/>
  <c r="T157" i="4"/>
  <c r="U157" i="4"/>
  <c r="AF157" i="4"/>
  <c r="AG157" i="4" s="1"/>
  <c r="AH157" i="4"/>
  <c r="I158" i="4"/>
  <c r="N158" i="4" s="1"/>
  <c r="J158" i="4"/>
  <c r="K158" i="4"/>
  <c r="S158" i="4"/>
  <c r="T158" i="4"/>
  <c r="U158" i="4"/>
  <c r="AC158" i="4"/>
  <c r="AH158" i="4" s="1"/>
  <c r="AD158" i="4"/>
  <c r="AE158" i="4"/>
  <c r="I159" i="4"/>
  <c r="L159" i="4" s="1"/>
  <c r="M159" i="4" s="1"/>
  <c r="J159" i="4"/>
  <c r="N159" i="4" s="1"/>
  <c r="K159" i="4"/>
  <c r="S159" i="4"/>
  <c r="T159" i="4"/>
  <c r="U159" i="4"/>
  <c r="AC159" i="4"/>
  <c r="AD159" i="4"/>
  <c r="AE159" i="4"/>
  <c r="I160" i="4"/>
  <c r="L160" i="4"/>
  <c r="M160" i="4"/>
  <c r="N160" i="4"/>
  <c r="S160" i="4"/>
  <c r="T160" i="4"/>
  <c r="V160" i="4" s="1"/>
  <c r="W160" i="4" s="1"/>
  <c r="AF160" i="4"/>
  <c r="AG160" i="4" s="1"/>
  <c r="AH160" i="4"/>
  <c r="I161" i="4"/>
  <c r="J161" i="4"/>
  <c r="N161" i="4" s="1"/>
  <c r="K161" i="4"/>
  <c r="S161" i="4"/>
  <c r="T161" i="4"/>
  <c r="U161" i="4"/>
  <c r="AF161" i="4"/>
  <c r="AG161" i="4" s="1"/>
  <c r="AH161" i="4"/>
  <c r="I163" i="4"/>
  <c r="J163" i="4"/>
  <c r="K163" i="4"/>
  <c r="S163" i="4"/>
  <c r="T163" i="4"/>
  <c r="U163" i="4"/>
  <c r="AC163" i="4"/>
  <c r="AD163" i="4"/>
  <c r="AH163" i="4" s="1"/>
  <c r="AE163" i="4"/>
  <c r="AF163" i="4" s="1"/>
  <c r="AG163" i="4" s="1"/>
  <c r="I164" i="4"/>
  <c r="J164" i="4"/>
  <c r="S164" i="4"/>
  <c r="T164" i="4"/>
  <c r="U164" i="4"/>
  <c r="AC164" i="4"/>
  <c r="AD164" i="4"/>
  <c r="AE164" i="4"/>
  <c r="I165" i="4"/>
  <c r="J165" i="4"/>
  <c r="L165" i="4" s="1"/>
  <c r="M165" i="4" s="1"/>
  <c r="K165" i="4"/>
  <c r="N165" i="4"/>
  <c r="S165" i="4"/>
  <c r="T165" i="4"/>
  <c r="U165" i="4"/>
  <c r="AC165" i="4"/>
  <c r="AF165" i="4" s="1"/>
  <c r="AG165" i="4" s="1"/>
  <c r="AD165" i="4"/>
  <c r="AE165" i="4"/>
  <c r="I166" i="4"/>
  <c r="J166" i="4"/>
  <c r="K166" i="4"/>
  <c r="S166" i="4"/>
  <c r="T166" i="4"/>
  <c r="V166" i="4" s="1"/>
  <c r="W166" i="4" s="1"/>
  <c r="U166" i="4"/>
  <c r="X166" i="4"/>
  <c r="AC166" i="4"/>
  <c r="AH166" i="4" s="1"/>
  <c r="AD166" i="4"/>
  <c r="AE166" i="4"/>
  <c r="I167" i="4"/>
  <c r="N167" i="4" s="1"/>
  <c r="J167" i="4"/>
  <c r="K167" i="4"/>
  <c r="S167" i="4"/>
  <c r="V167" i="4" s="1"/>
  <c r="W167" i="4" s="1"/>
  <c r="T167" i="4"/>
  <c r="U167" i="4"/>
  <c r="X167" i="4"/>
  <c r="AC167" i="4"/>
  <c r="AD167" i="4"/>
  <c r="AE167" i="4"/>
  <c r="AF167" i="4" s="1"/>
  <c r="AG167" i="4" s="1"/>
  <c r="AH167" i="4"/>
  <c r="I168" i="4"/>
  <c r="J168" i="4"/>
  <c r="S168" i="4"/>
  <c r="T168" i="4"/>
  <c r="U168" i="4"/>
  <c r="AC168" i="4"/>
  <c r="AD168" i="4"/>
  <c r="AE168" i="4"/>
  <c r="I169" i="4"/>
  <c r="J169" i="4"/>
  <c r="K169" i="4"/>
  <c r="N169" i="4"/>
  <c r="S169" i="4"/>
  <c r="T169" i="4"/>
  <c r="U169" i="4"/>
  <c r="AC169" i="4"/>
  <c r="AD169" i="4"/>
  <c r="AE169" i="4"/>
  <c r="AH169" i="4"/>
  <c r="I170" i="4"/>
  <c r="J170" i="4"/>
  <c r="K170" i="4"/>
  <c r="L170" i="4"/>
  <c r="M170" i="4" s="1"/>
  <c r="S170" i="4"/>
  <c r="T170" i="4"/>
  <c r="V170" i="4" s="1"/>
  <c r="W170" i="4" s="1"/>
  <c r="U170" i="4"/>
  <c r="AC170" i="4"/>
  <c r="AD170" i="4"/>
  <c r="AH170" i="4" s="1"/>
  <c r="AE170" i="4"/>
  <c r="AF170" i="4" s="1"/>
  <c r="AG170" i="4" s="1"/>
  <c r="I171" i="4"/>
  <c r="J171" i="4"/>
  <c r="S171" i="4"/>
  <c r="V171" i="4" s="1"/>
  <c r="W171" i="4" s="1"/>
  <c r="T171" i="4"/>
  <c r="AC171" i="4"/>
  <c r="AD171" i="4"/>
  <c r="AH171" i="4" s="1"/>
  <c r="AE171" i="4"/>
  <c r="I172" i="4"/>
  <c r="J172" i="4"/>
  <c r="K172" i="4"/>
  <c r="S172" i="4"/>
  <c r="T172" i="4"/>
  <c r="V172" i="4" s="1"/>
  <c r="W172" i="4" s="1"/>
  <c r="U172" i="4"/>
  <c r="AB172" i="4"/>
  <c r="AC172" i="4"/>
  <c r="AF172" i="4" s="1"/>
  <c r="AG172" i="4" s="1"/>
  <c r="AD172" i="4"/>
  <c r="AE172" i="4"/>
  <c r="AH172" i="4"/>
  <c r="I173" i="4"/>
  <c r="J173" i="4"/>
  <c r="K173" i="4"/>
  <c r="N173" i="4"/>
  <c r="S173" i="4"/>
  <c r="T173" i="4"/>
  <c r="U173" i="4"/>
  <c r="AC173" i="4"/>
  <c r="AH173" i="4" s="1"/>
  <c r="AD173" i="4"/>
  <c r="AE173" i="4"/>
  <c r="I174" i="4"/>
  <c r="L174" i="4" s="1"/>
  <c r="M174" i="4" s="1"/>
  <c r="J174" i="4"/>
  <c r="K174" i="4"/>
  <c r="S174" i="4"/>
  <c r="T174" i="4"/>
  <c r="U174" i="4"/>
  <c r="AC174" i="4"/>
  <c r="AH174" i="4" s="1"/>
  <c r="AD174" i="4"/>
  <c r="AE174" i="4"/>
  <c r="AF174" i="4"/>
  <c r="AG174" i="4" s="1"/>
  <c r="I175" i="4"/>
  <c r="J175" i="4"/>
  <c r="K175" i="4"/>
  <c r="L175" i="4"/>
  <c r="M175" i="4" s="1"/>
  <c r="N175" i="4"/>
  <c r="S175" i="4"/>
  <c r="T175" i="4"/>
  <c r="X175" i="4" s="1"/>
  <c r="U175" i="4"/>
  <c r="AC175" i="4"/>
  <c r="AD175" i="4"/>
  <c r="AE175" i="4"/>
  <c r="I177" i="4"/>
  <c r="J177" i="4"/>
  <c r="N177" i="4" s="1"/>
  <c r="K177" i="4"/>
  <c r="S177" i="4"/>
  <c r="T177" i="4"/>
  <c r="V177" i="4" s="1"/>
  <c r="W177" i="4" s="1"/>
  <c r="U177" i="4"/>
  <c r="X177" i="4"/>
  <c r="AC177" i="4"/>
  <c r="AD177" i="4"/>
  <c r="AE177" i="4"/>
  <c r="I178" i="4"/>
  <c r="J178" i="4"/>
  <c r="K178" i="4"/>
  <c r="S178" i="4"/>
  <c r="T178" i="4"/>
  <c r="X178" i="4" s="1"/>
  <c r="U178" i="4"/>
  <c r="AC178" i="4"/>
  <c r="AF178" i="4" s="1"/>
  <c r="AG178" i="4" s="1"/>
  <c r="AD178" i="4"/>
  <c r="AE178" i="4"/>
  <c r="AH178" i="4"/>
  <c r="I179" i="4"/>
  <c r="J179" i="4"/>
  <c r="S179" i="4"/>
  <c r="V179" i="4" s="1"/>
  <c r="W179" i="4" s="1"/>
  <c r="T179" i="4"/>
  <c r="U179" i="4"/>
  <c r="AC179" i="4"/>
  <c r="AH179" i="4" s="1"/>
  <c r="AD179" i="4"/>
  <c r="AE179" i="4"/>
  <c r="I180" i="4"/>
  <c r="S180" i="4"/>
  <c r="T180" i="4"/>
  <c r="U180" i="4"/>
  <c r="AC180" i="4"/>
  <c r="AD180" i="4"/>
  <c r="AE180" i="4"/>
  <c r="I181" i="4"/>
  <c r="J181" i="4"/>
  <c r="N181" i="4" s="1"/>
  <c r="K181" i="4"/>
  <c r="L181" i="4" s="1"/>
  <c r="M181" i="4" s="1"/>
  <c r="S181" i="4"/>
  <c r="X181" i="4" s="1"/>
  <c r="T181" i="4"/>
  <c r="U181" i="4"/>
  <c r="AC181" i="4"/>
  <c r="AD181" i="4"/>
  <c r="AE181" i="4"/>
  <c r="I182" i="4"/>
  <c r="J182" i="4"/>
  <c r="N182" i="4" s="1"/>
  <c r="K182" i="4"/>
  <c r="S182" i="4"/>
  <c r="T182" i="4"/>
  <c r="V182" i="4" s="1"/>
  <c r="W182" i="4" s="1"/>
  <c r="U182" i="4"/>
  <c r="X182" i="4"/>
  <c r="AC182" i="4"/>
  <c r="AD182" i="4"/>
  <c r="AE182" i="4"/>
  <c r="I183" i="4"/>
  <c r="J183" i="4"/>
  <c r="K183" i="4"/>
  <c r="S183" i="4"/>
  <c r="V183" i="4" s="1"/>
  <c r="W183" i="4" s="1"/>
  <c r="T183" i="4"/>
  <c r="X183" i="4" s="1"/>
  <c r="U183" i="4"/>
  <c r="AF183" i="4"/>
  <c r="AG183" i="4" s="1"/>
  <c r="AH183" i="4"/>
  <c r="I184" i="4"/>
  <c r="J184" i="4"/>
  <c r="N184" i="4" s="1"/>
  <c r="K184" i="4"/>
  <c r="L184" i="4" s="1"/>
  <c r="M184" i="4" s="1"/>
  <c r="S184" i="4"/>
  <c r="T184" i="4"/>
  <c r="U184" i="4"/>
  <c r="AC184" i="4"/>
  <c r="AD184" i="4"/>
  <c r="AE184" i="4"/>
  <c r="I185" i="4"/>
  <c r="N185" i="4" s="1"/>
  <c r="J185" i="4"/>
  <c r="K185" i="4"/>
  <c r="S185" i="4"/>
  <c r="V185" i="4" s="1"/>
  <c r="W185" i="4" s="1"/>
  <c r="T185" i="4"/>
  <c r="U185" i="4"/>
  <c r="X185" i="4"/>
  <c r="AC185" i="4"/>
  <c r="AD185" i="4"/>
  <c r="AE185" i="4"/>
  <c r="I186" i="4"/>
  <c r="J186" i="4"/>
  <c r="K186" i="4"/>
  <c r="S186" i="4"/>
  <c r="T186" i="4"/>
  <c r="U186" i="4"/>
  <c r="AF186" i="4"/>
  <c r="AG186" i="4"/>
  <c r="AH186" i="4"/>
  <c r="I187" i="4"/>
  <c r="N187" i="4" s="1"/>
  <c r="J187" i="4"/>
  <c r="S187" i="4"/>
  <c r="X187" i="4" s="1"/>
  <c r="T187" i="4"/>
  <c r="U187" i="4"/>
  <c r="AF187" i="4"/>
  <c r="AG187" i="4" s="1"/>
  <c r="AH187" i="4"/>
  <c r="I188" i="4"/>
  <c r="L188" i="4" s="1"/>
  <c r="M188" i="4" s="1"/>
  <c r="N188" i="4"/>
  <c r="S188" i="4"/>
  <c r="T188" i="4"/>
  <c r="AF188" i="4"/>
  <c r="AG188" i="4" s="1"/>
  <c r="AH188" i="4"/>
  <c r="I189" i="4"/>
  <c r="J189" i="4"/>
  <c r="S189" i="4"/>
  <c r="T189" i="4"/>
  <c r="U189" i="4"/>
  <c r="AC189" i="4"/>
  <c r="AF189" i="4" s="1"/>
  <c r="AG189" i="4" s="1"/>
  <c r="AD189" i="4"/>
  <c r="AH189" i="4" s="1"/>
  <c r="AE189" i="4"/>
  <c r="L190" i="4"/>
  <c r="M190" i="4" s="1"/>
  <c r="V190" i="4"/>
  <c r="W190" i="4" s="1"/>
  <c r="AF190" i="4"/>
  <c r="AG190" i="4"/>
  <c r="AH190" i="4"/>
  <c r="I192" i="4"/>
  <c r="J192" i="4"/>
  <c r="S192" i="4"/>
  <c r="T192" i="4"/>
  <c r="AF192" i="4"/>
  <c r="AG192" i="4" s="1"/>
  <c r="AH192" i="4"/>
  <c r="I193" i="4"/>
  <c r="L193" i="4" s="1"/>
  <c r="M193" i="4" s="1"/>
  <c r="J193" i="4"/>
  <c r="S193" i="4"/>
  <c r="T193" i="4"/>
  <c r="V193" i="4" s="1"/>
  <c r="W193" i="4" s="1"/>
  <c r="X193" i="4"/>
  <c r="AF193" i="4"/>
  <c r="AG193" i="4" s="1"/>
  <c r="AH193" i="4"/>
  <c r="I194" i="4"/>
  <c r="N194" i="4" s="1"/>
  <c r="J194" i="4"/>
  <c r="S194" i="4"/>
  <c r="T194" i="4"/>
  <c r="U194" i="4"/>
  <c r="AC194" i="4"/>
  <c r="AD194" i="4"/>
  <c r="AE194" i="4"/>
  <c r="I195" i="4"/>
  <c r="J195" i="4"/>
  <c r="N195" i="4" s="1"/>
  <c r="L195" i="4"/>
  <c r="M195" i="4" s="1"/>
  <c r="S195" i="4"/>
  <c r="X195" i="4" s="1"/>
  <c r="T195" i="4"/>
  <c r="U195" i="4"/>
  <c r="AF195" i="4"/>
  <c r="AG195" i="4" s="1"/>
  <c r="AH195" i="4"/>
  <c r="I196" i="4"/>
  <c r="L196" i="4" s="1"/>
  <c r="M196" i="4" s="1"/>
  <c r="J196" i="4"/>
  <c r="S196" i="4"/>
  <c r="V196" i="4" s="1"/>
  <c r="W196" i="4" s="1"/>
  <c r="T196" i="4"/>
  <c r="AC196" i="4"/>
  <c r="AF196" i="4" s="1"/>
  <c r="AG196" i="4"/>
  <c r="I197" i="4"/>
  <c r="J197" i="4"/>
  <c r="L197" i="4" s="1"/>
  <c r="M197" i="4" s="1"/>
  <c r="S197" i="4"/>
  <c r="X197" i="4" s="1"/>
  <c r="T197" i="4"/>
  <c r="U197" i="4"/>
  <c r="AF197" i="4"/>
  <c r="AG197" i="4" s="1"/>
  <c r="AH197" i="4"/>
  <c r="I198" i="4"/>
  <c r="N198" i="4" s="1"/>
  <c r="L198" i="4"/>
  <c r="M198" i="4" s="1"/>
  <c r="S198" i="4"/>
  <c r="T198" i="4"/>
  <c r="U198" i="4"/>
  <c r="AC198" i="4"/>
  <c r="AD198" i="4"/>
  <c r="AE198" i="4"/>
  <c r="I199" i="4"/>
  <c r="J199" i="4"/>
  <c r="S199" i="4"/>
  <c r="X199" i="4" s="1"/>
  <c r="T199" i="4"/>
  <c r="U199" i="4"/>
  <c r="V199" i="4"/>
  <c r="W199" i="4" s="1"/>
  <c r="AC199" i="4"/>
  <c r="AH199" i="4" s="1"/>
  <c r="AD199" i="4"/>
  <c r="AE199" i="4"/>
  <c r="I200" i="4"/>
  <c r="J200" i="4"/>
  <c r="S200" i="4"/>
  <c r="T200" i="4"/>
  <c r="U200" i="4"/>
  <c r="V200" i="4"/>
  <c r="W200" i="4" s="1"/>
  <c r="X200" i="4"/>
  <c r="AF200" i="4"/>
  <c r="AG200" i="4" s="1"/>
  <c r="AH200" i="4"/>
  <c r="I201" i="4"/>
  <c r="N201" i="4" s="1"/>
  <c r="J201" i="4"/>
  <c r="K201" i="4"/>
  <c r="S201" i="4"/>
  <c r="V201" i="4" s="1"/>
  <c r="W201" i="4" s="1"/>
  <c r="T201" i="4"/>
  <c r="U201" i="4"/>
  <c r="X201" i="4"/>
  <c r="AC201" i="4"/>
  <c r="AD201" i="4"/>
  <c r="AE201" i="4"/>
  <c r="I202" i="4"/>
  <c r="N202" i="4" s="1"/>
  <c r="J202" i="4"/>
  <c r="K202" i="4"/>
  <c r="S202" i="4"/>
  <c r="X202" i="4" s="1"/>
  <c r="T202" i="4"/>
  <c r="U202" i="4"/>
  <c r="AC202" i="4"/>
  <c r="AF202" i="4" s="1"/>
  <c r="AG202" i="4" s="1"/>
  <c r="AD202" i="4"/>
  <c r="AE202" i="4"/>
  <c r="AH202" i="4"/>
  <c r="I203" i="4"/>
  <c r="J203" i="4"/>
  <c r="S203" i="4"/>
  <c r="T203" i="4"/>
  <c r="U203" i="4"/>
  <c r="AB203" i="4"/>
  <c r="AC203" i="4"/>
  <c r="AD203" i="4"/>
  <c r="AE203" i="4"/>
  <c r="I204" i="4"/>
  <c r="J204" i="4"/>
  <c r="L204" i="4" s="1"/>
  <c r="M204" i="4"/>
  <c r="S204" i="4"/>
  <c r="T204" i="4"/>
  <c r="V204" i="4" s="1"/>
  <c r="W204" i="4" s="1"/>
  <c r="AF204" i="4"/>
  <c r="AG204" i="4" s="1"/>
  <c r="AH204" i="4"/>
  <c r="I205" i="4"/>
  <c r="J205" i="4"/>
  <c r="K205" i="4"/>
  <c r="S205" i="4"/>
  <c r="T205" i="4"/>
  <c r="U205" i="4"/>
  <c r="AC205" i="4"/>
  <c r="AD205" i="4"/>
  <c r="AE205" i="4"/>
  <c r="AF205" i="4"/>
  <c r="AG205" i="4" s="1"/>
  <c r="AH205" i="4"/>
  <c r="I206" i="4"/>
  <c r="J206" i="4"/>
  <c r="N206" i="4" s="1"/>
  <c r="K206" i="4"/>
  <c r="S206" i="4"/>
  <c r="T206" i="4"/>
  <c r="U206" i="4"/>
  <c r="AC206" i="4"/>
  <c r="AD206" i="4"/>
  <c r="AF206" i="4" s="1"/>
  <c r="AG206" i="4" s="1"/>
  <c r="AE206" i="4"/>
  <c r="I207" i="4"/>
  <c r="J207" i="4"/>
  <c r="N207" i="4" s="1"/>
  <c r="L207" i="4"/>
  <c r="M207" i="4" s="1"/>
  <c r="S207" i="4"/>
  <c r="T207" i="4"/>
  <c r="AC207" i="4"/>
  <c r="AD207" i="4"/>
  <c r="AE207" i="4"/>
  <c r="I208" i="4"/>
  <c r="L208" i="4" s="1"/>
  <c r="M208" i="4" s="1"/>
  <c r="J208" i="4"/>
  <c r="S208" i="4"/>
  <c r="T208" i="4"/>
  <c r="U208" i="4"/>
  <c r="AC208" i="4"/>
  <c r="AD208" i="4"/>
  <c r="AE208" i="4"/>
  <c r="I209" i="4"/>
  <c r="N209" i="4" s="1"/>
  <c r="J209" i="4"/>
  <c r="K209" i="4"/>
  <c r="S209" i="4"/>
  <c r="V209" i="4" s="1"/>
  <c r="W209" i="4" s="1"/>
  <c r="T209" i="4"/>
  <c r="X209" i="4" s="1"/>
  <c r="U209" i="4"/>
  <c r="AF209" i="4"/>
  <c r="AG209" i="4" s="1"/>
  <c r="AH209" i="4"/>
  <c r="I210" i="4"/>
  <c r="N210" i="4" s="1"/>
  <c r="J210" i="4"/>
  <c r="K210" i="4"/>
  <c r="S210" i="4"/>
  <c r="T210" i="4"/>
  <c r="X210" i="4" s="1"/>
  <c r="U210" i="4"/>
  <c r="AF210" i="4"/>
  <c r="AG210" i="4" s="1"/>
  <c r="AH210" i="4"/>
  <c r="I211" i="4"/>
  <c r="L211" i="4" s="1"/>
  <c r="M211" i="4" s="1"/>
  <c r="J211" i="4"/>
  <c r="K211" i="4"/>
  <c r="N211" i="4"/>
  <c r="S211" i="4"/>
  <c r="T211" i="4"/>
  <c r="U211" i="4"/>
  <c r="X211" i="4"/>
  <c r="AB211" i="4"/>
  <c r="AC211" i="4"/>
  <c r="AD211" i="4"/>
  <c r="AE211" i="4"/>
  <c r="I212" i="4"/>
  <c r="J212" i="4"/>
  <c r="N212" i="4"/>
  <c r="S212" i="4"/>
  <c r="V212" i="4" s="1"/>
  <c r="W212" i="4" s="1"/>
  <c r="T212" i="4"/>
  <c r="U212" i="4"/>
  <c r="X212" i="4"/>
  <c r="AF212" i="4"/>
  <c r="AG212" i="4" s="1"/>
  <c r="AH212" i="4"/>
  <c r="I213" i="4"/>
  <c r="N213" i="4" s="1"/>
  <c r="J213" i="4"/>
  <c r="K213" i="4"/>
  <c r="S213" i="4"/>
  <c r="V213" i="4" s="1"/>
  <c r="W213" i="4" s="1"/>
  <c r="T213" i="4"/>
  <c r="U213" i="4"/>
  <c r="X213" i="4"/>
  <c r="AC213" i="4"/>
  <c r="AD213" i="4"/>
  <c r="AE213" i="4"/>
  <c r="I214" i="4"/>
  <c r="J214" i="4"/>
  <c r="S214" i="4"/>
  <c r="T214" i="4"/>
  <c r="X214" i="4" s="1"/>
  <c r="U214" i="4"/>
  <c r="AB214" i="4"/>
  <c r="AC214" i="4"/>
  <c r="AF214" i="4" s="1"/>
  <c r="AD214" i="4"/>
  <c r="AE214" i="4"/>
  <c r="I215" i="4"/>
  <c r="L215" i="4" s="1"/>
  <c r="M215" i="4" s="1"/>
  <c r="J215" i="4"/>
  <c r="S215" i="4"/>
  <c r="T215" i="4"/>
  <c r="X215" i="4" s="1"/>
  <c r="V215" i="4"/>
  <c r="W215" i="4" s="1"/>
  <c r="AF215" i="4"/>
  <c r="AG215" i="4" s="1"/>
  <c r="AH215" i="4"/>
  <c r="I216" i="4"/>
  <c r="J216" i="4"/>
  <c r="S216" i="4"/>
  <c r="T216" i="4"/>
  <c r="U216" i="4"/>
  <c r="AC216" i="4"/>
  <c r="AF216" i="4" s="1"/>
  <c r="AG216" i="4" s="1"/>
  <c r="AD216" i="4"/>
  <c r="AE216" i="4"/>
  <c r="I217" i="4"/>
  <c r="J217" i="4"/>
  <c r="K217" i="4"/>
  <c r="S217" i="4"/>
  <c r="T217" i="4"/>
  <c r="X217" i="4" s="1"/>
  <c r="U217" i="4"/>
  <c r="AF217" i="4"/>
  <c r="AG217" i="4" s="1"/>
  <c r="AH217" i="4"/>
  <c r="L218" i="4"/>
  <c r="M218" i="4" s="1"/>
  <c r="V218" i="4"/>
  <c r="W218" i="4" s="1"/>
  <c r="AF218" i="4"/>
  <c r="AG218" i="4" s="1"/>
  <c r="AH218" i="4"/>
  <c r="I220" i="4"/>
  <c r="L220" i="4" s="1"/>
  <c r="M220" i="4" s="1"/>
  <c r="J220" i="4"/>
  <c r="N220" i="4" s="1"/>
  <c r="K220" i="4"/>
  <c r="S220" i="4"/>
  <c r="V220" i="4" s="1"/>
  <c r="W220" i="4" s="1"/>
  <c r="T220" i="4"/>
  <c r="U220" i="4"/>
  <c r="AC220" i="4"/>
  <c r="AD220" i="4"/>
  <c r="AH220" i="4" s="1"/>
  <c r="AE220" i="4"/>
  <c r="I221" i="4"/>
  <c r="J221" i="4"/>
  <c r="K221" i="4"/>
  <c r="S221" i="4"/>
  <c r="T221" i="4"/>
  <c r="U221" i="4"/>
  <c r="V221" i="4"/>
  <c r="W221" i="4" s="1"/>
  <c r="X221" i="4"/>
  <c r="AC221" i="4"/>
  <c r="AD221" i="4"/>
  <c r="AH221" i="4" s="1"/>
  <c r="AE221" i="4"/>
  <c r="H222" i="4"/>
  <c r="I222" i="4"/>
  <c r="J222" i="4"/>
  <c r="K222" i="4"/>
  <c r="S222" i="4"/>
  <c r="T222" i="4"/>
  <c r="U222" i="4"/>
  <c r="AC222" i="4"/>
  <c r="AD222" i="4"/>
  <c r="AH222" i="4" s="1"/>
  <c r="AE222" i="4"/>
  <c r="I223" i="4"/>
  <c r="N223" i="4" s="1"/>
  <c r="J223" i="4"/>
  <c r="K223" i="4"/>
  <c r="L223" i="4"/>
  <c r="M223" i="4" s="1"/>
  <c r="S223" i="4"/>
  <c r="T223" i="4"/>
  <c r="U223" i="4"/>
  <c r="AC223" i="4"/>
  <c r="AD223" i="4"/>
  <c r="AE223" i="4"/>
  <c r="I224" i="4"/>
  <c r="J224" i="4"/>
  <c r="N224" i="4" s="1"/>
  <c r="K224" i="4"/>
  <c r="S224" i="4"/>
  <c r="T224" i="4"/>
  <c r="X224" i="4" s="1"/>
  <c r="U224" i="4"/>
  <c r="AC224" i="4"/>
  <c r="AD224" i="4"/>
  <c r="AE224" i="4"/>
  <c r="L226" i="4"/>
  <c r="M226" i="4" s="1"/>
  <c r="V226" i="4"/>
  <c r="W226" i="4" s="1"/>
  <c r="AF226" i="4"/>
  <c r="AG226" i="4" s="1"/>
  <c r="AH226" i="4"/>
  <c r="I228" i="4"/>
  <c r="J228" i="4"/>
  <c r="K228" i="4"/>
  <c r="S228" i="4"/>
  <c r="T228" i="4"/>
  <c r="X228" i="4" s="1"/>
  <c r="U228" i="4"/>
  <c r="AC228" i="4"/>
  <c r="AD228" i="4"/>
  <c r="AH228" i="4" s="1"/>
  <c r="AE228" i="4"/>
  <c r="I230" i="4"/>
  <c r="J230" i="4"/>
  <c r="K230" i="4"/>
  <c r="S230" i="4"/>
  <c r="X230" i="4" s="1"/>
  <c r="T230" i="4"/>
  <c r="AF230" i="4"/>
  <c r="AG230" i="4"/>
  <c r="AH230" i="4"/>
  <c r="I231" i="4"/>
  <c r="J231" i="4"/>
  <c r="K231" i="4"/>
  <c r="S231" i="4"/>
  <c r="T231" i="4"/>
  <c r="U231" i="4"/>
  <c r="V231" i="4"/>
  <c r="W231" i="4" s="1"/>
  <c r="AC231" i="4"/>
  <c r="AD231" i="4"/>
  <c r="AE231" i="4"/>
  <c r="AF231" i="4"/>
  <c r="AG231" i="4" s="1"/>
  <c r="AH231" i="4"/>
  <c r="I232" i="4"/>
  <c r="J232" i="4"/>
  <c r="K232" i="4"/>
  <c r="S232" i="4"/>
  <c r="T232" i="4"/>
  <c r="U232" i="4"/>
  <c r="AC232" i="4"/>
  <c r="AF232" i="4" s="1"/>
  <c r="AG232" i="4" s="1"/>
  <c r="AD232" i="4"/>
  <c r="AE232" i="4"/>
  <c r="AH232" i="4"/>
  <c r="H233" i="4"/>
  <c r="I233" i="4"/>
  <c r="J233" i="4"/>
  <c r="K233" i="4"/>
  <c r="L233" i="4"/>
  <c r="M233" i="4" s="1"/>
  <c r="S233" i="4"/>
  <c r="X233" i="4" s="1"/>
  <c r="T233" i="4"/>
  <c r="U233" i="4"/>
  <c r="AC233" i="4"/>
  <c r="AD233" i="4"/>
  <c r="AE233" i="4"/>
  <c r="AF233" i="4"/>
  <c r="AG233" i="4" s="1"/>
  <c r="AH233" i="4"/>
  <c r="I234" i="4"/>
  <c r="J234" i="4"/>
  <c r="K234" i="4"/>
  <c r="S234" i="4"/>
  <c r="T234" i="4"/>
  <c r="U234" i="4"/>
  <c r="V234" i="4"/>
  <c r="W234" i="4" s="1"/>
  <c r="AC234" i="4"/>
  <c r="AD234" i="4"/>
  <c r="AE234" i="4"/>
  <c r="AH234" i="4"/>
  <c r="I235" i="4"/>
  <c r="L235" i="4" s="1"/>
  <c r="M235" i="4" s="1"/>
  <c r="J235" i="4"/>
  <c r="S235" i="4"/>
  <c r="T235" i="4"/>
  <c r="AC235" i="4"/>
  <c r="AD235" i="4"/>
  <c r="AF235" i="4"/>
  <c r="AG235" i="4"/>
  <c r="AH235" i="4"/>
  <c r="L237" i="4"/>
  <c r="M237" i="4"/>
  <c r="V237" i="4"/>
  <c r="W237" i="4" s="1"/>
  <c r="AF237" i="4"/>
  <c r="AG237" i="4"/>
  <c r="AH237" i="4"/>
  <c r="I239" i="4"/>
  <c r="J239" i="4"/>
  <c r="K239" i="4"/>
  <c r="S239" i="4"/>
  <c r="X239" i="4" s="1"/>
  <c r="T239" i="4"/>
  <c r="U239" i="4"/>
  <c r="AC239" i="4"/>
  <c r="AF239" i="4" s="1"/>
  <c r="AG239" i="4" s="1"/>
  <c r="AD239" i="4"/>
  <c r="AE239" i="4"/>
  <c r="AH239" i="4"/>
  <c r="I240" i="4"/>
  <c r="J240" i="4"/>
  <c r="K240" i="4"/>
  <c r="N240" i="4"/>
  <c r="S240" i="4"/>
  <c r="T240" i="4"/>
  <c r="U240" i="4"/>
  <c r="AC240" i="4"/>
  <c r="AH240" i="4" s="1"/>
  <c r="AD240" i="4"/>
  <c r="AE240" i="4"/>
  <c r="I241" i="4"/>
  <c r="L241" i="4" s="1"/>
  <c r="M241" i="4" s="1"/>
  <c r="J241" i="4"/>
  <c r="N241" i="4" s="1"/>
  <c r="K241" i="4"/>
  <c r="S241" i="4"/>
  <c r="V241" i="4" s="1"/>
  <c r="W241" i="4" s="1"/>
  <c r="T241" i="4"/>
  <c r="U241" i="4"/>
  <c r="X241" i="4"/>
  <c r="AC241" i="4"/>
  <c r="AF241" i="4" s="1"/>
  <c r="AG241" i="4" s="1"/>
  <c r="AD241" i="4"/>
  <c r="AE241" i="4"/>
  <c r="I242" i="4"/>
  <c r="J242" i="4"/>
  <c r="L242" i="4" s="1"/>
  <c r="M242" i="4" s="1"/>
  <c r="K242" i="4"/>
  <c r="S242" i="4"/>
  <c r="V242" i="4" s="1"/>
  <c r="W242" i="4" s="1"/>
  <c r="T242" i="4"/>
  <c r="U242" i="4"/>
  <c r="AC242" i="4"/>
  <c r="AF242" i="4" s="1"/>
  <c r="AG242" i="4" s="1"/>
  <c r="AD242" i="4"/>
  <c r="AE242" i="4"/>
  <c r="I244" i="4"/>
  <c r="L244" i="4" s="1"/>
  <c r="M244" i="4" s="1"/>
  <c r="J244" i="4"/>
  <c r="K244" i="4"/>
  <c r="X244" i="4"/>
  <c r="V244" i="4"/>
  <c r="W244" i="4" s="1"/>
  <c r="AB244" i="4"/>
  <c r="AC244" i="4"/>
  <c r="AD244" i="4"/>
  <c r="AH244" i="4" s="1"/>
  <c r="AE244" i="4"/>
  <c r="I245" i="4"/>
  <c r="J245" i="4"/>
  <c r="L245" i="4" s="1"/>
  <c r="M245" i="4" s="1"/>
  <c r="K245" i="4"/>
  <c r="N245" i="4"/>
  <c r="S245" i="4"/>
  <c r="T245" i="4"/>
  <c r="AF245" i="4"/>
  <c r="AG245" i="4"/>
  <c r="AH245" i="4"/>
  <c r="I246" i="4"/>
  <c r="J246" i="4"/>
  <c r="K246" i="4"/>
  <c r="S246" i="4"/>
  <c r="X246" i="4" s="1"/>
  <c r="T246" i="4"/>
  <c r="U246" i="4"/>
  <c r="AC246" i="4"/>
  <c r="AH246" i="4" s="1"/>
  <c r="AD246" i="4"/>
  <c r="AE246" i="4"/>
  <c r="I247" i="4"/>
  <c r="L247" i="4" s="1"/>
  <c r="M247" i="4" s="1"/>
  <c r="J247" i="4"/>
  <c r="S247" i="4"/>
  <c r="T247" i="4"/>
  <c r="V247" i="4" s="1"/>
  <c r="W247" i="4" s="1"/>
  <c r="AB247" i="4"/>
  <c r="AC247" i="4"/>
  <c r="AD247" i="4"/>
  <c r="AF247" i="4" s="1"/>
  <c r="AG247" i="4" s="1"/>
  <c r="AE247" i="4"/>
  <c r="I248" i="4"/>
  <c r="J248" i="4"/>
  <c r="N248" i="4" s="1"/>
  <c r="L248" i="4"/>
  <c r="M248" i="4" s="1"/>
  <c r="S248" i="4"/>
  <c r="T248" i="4"/>
  <c r="AF248" i="4"/>
  <c r="AG248" i="4" s="1"/>
  <c r="AH248" i="4"/>
  <c r="I249" i="4"/>
  <c r="J249" i="4"/>
  <c r="S249" i="4"/>
  <c r="T249" i="4"/>
  <c r="U249" i="4"/>
  <c r="AC249" i="4"/>
  <c r="AD249" i="4"/>
  <c r="AE249" i="4"/>
  <c r="AF249" i="4"/>
  <c r="AG249" i="4" s="1"/>
  <c r="AH249" i="4"/>
  <c r="I250" i="4"/>
  <c r="J250" i="4"/>
  <c r="K250" i="4"/>
  <c r="S250" i="4"/>
  <c r="T250" i="4"/>
  <c r="U250" i="4"/>
  <c r="AC250" i="4"/>
  <c r="AD250" i="4"/>
  <c r="AE250" i="4"/>
  <c r="I251" i="4"/>
  <c r="L251" i="4" s="1"/>
  <c r="M251" i="4" s="1"/>
  <c r="J251" i="4"/>
  <c r="N251" i="4" s="1"/>
  <c r="K251" i="4"/>
  <c r="S251" i="4"/>
  <c r="T251" i="4"/>
  <c r="AF251" i="4"/>
  <c r="AG251" i="4" s="1"/>
  <c r="AH251" i="4"/>
  <c r="I252" i="4"/>
  <c r="L252" i="4" s="1"/>
  <c r="M252" i="4" s="1"/>
  <c r="J252" i="4"/>
  <c r="K252" i="4"/>
  <c r="S252" i="4"/>
  <c r="T252" i="4"/>
  <c r="U252" i="4"/>
  <c r="AF252" i="4"/>
  <c r="AG252" i="4"/>
  <c r="AH252" i="4"/>
  <c r="I253" i="4"/>
  <c r="J253" i="4"/>
  <c r="K253" i="4"/>
  <c r="S253" i="4"/>
  <c r="X253" i="4" s="1"/>
  <c r="T253" i="4"/>
  <c r="AF253" i="4"/>
  <c r="AG253" i="4" s="1"/>
  <c r="AH253" i="4"/>
  <c r="I254" i="4"/>
  <c r="N254" i="4" s="1"/>
  <c r="J254" i="4"/>
  <c r="S254" i="4"/>
  <c r="V254" i="4" s="1"/>
  <c r="W254" i="4" s="1"/>
  <c r="T254" i="4"/>
  <c r="AF254" i="4"/>
  <c r="AG254" i="4" s="1"/>
  <c r="AH254" i="4"/>
  <c r="I255" i="4"/>
  <c r="L255" i="4" s="1"/>
  <c r="M255" i="4" s="1"/>
  <c r="J255" i="4"/>
  <c r="S255" i="4"/>
  <c r="T255" i="4"/>
  <c r="U255" i="4"/>
  <c r="AC255" i="4"/>
  <c r="AD255" i="4"/>
  <c r="AE255" i="4"/>
  <c r="I256" i="4"/>
  <c r="L256" i="4" s="1"/>
  <c r="M256" i="4" s="1"/>
  <c r="J256" i="4"/>
  <c r="S256" i="4"/>
  <c r="T256" i="4"/>
  <c r="AC256" i="4"/>
  <c r="AH256" i="4" s="1"/>
  <c r="AD256" i="4"/>
  <c r="AF256" i="4"/>
  <c r="AG256" i="4" s="1"/>
  <c r="I258" i="4"/>
  <c r="L258" i="4" s="1"/>
  <c r="M258" i="4" s="1"/>
  <c r="J258" i="4"/>
  <c r="N258" i="4"/>
  <c r="S258" i="4"/>
  <c r="T258" i="4"/>
  <c r="AF258" i="4"/>
  <c r="AG258" i="4"/>
  <c r="AH258" i="4"/>
  <c r="I259" i="4"/>
  <c r="J259" i="4"/>
  <c r="K259" i="4"/>
  <c r="S259" i="4"/>
  <c r="X259" i="4" s="1"/>
  <c r="T259" i="4"/>
  <c r="U259" i="4"/>
  <c r="AC259" i="4"/>
  <c r="AH259" i="4" s="1"/>
  <c r="AD259" i="4"/>
  <c r="AE259" i="4"/>
  <c r="I260" i="4"/>
  <c r="N260" i="4" s="1"/>
  <c r="J260" i="4"/>
  <c r="K260" i="4"/>
  <c r="S260" i="4"/>
  <c r="T260" i="4"/>
  <c r="U260" i="4"/>
  <c r="AC260" i="4"/>
  <c r="AH260" i="4" s="1"/>
  <c r="AD260" i="4"/>
  <c r="AE260" i="4"/>
  <c r="I261" i="4"/>
  <c r="N261" i="4" s="1"/>
  <c r="J261" i="4"/>
  <c r="K261" i="4"/>
  <c r="S261" i="4"/>
  <c r="X261" i="4" s="1"/>
  <c r="T261" i="4"/>
  <c r="U261" i="4"/>
  <c r="AC261" i="4"/>
  <c r="AD261" i="4"/>
  <c r="AE261" i="4"/>
  <c r="L263" i="4"/>
  <c r="M263" i="4" s="1"/>
  <c r="N263" i="4"/>
  <c r="S263" i="4"/>
  <c r="T263" i="4"/>
  <c r="U263" i="4"/>
  <c r="AC263" i="4"/>
  <c r="AD263" i="4"/>
  <c r="AE263" i="4"/>
  <c r="I264" i="4"/>
  <c r="J264" i="4"/>
  <c r="N264" i="4"/>
  <c r="S264" i="4"/>
  <c r="V264" i="4" s="1"/>
  <c r="W264" i="4" s="1"/>
  <c r="T264" i="4"/>
  <c r="X264" i="4"/>
  <c r="AF264" i="4"/>
  <c r="AG264" i="4" s="1"/>
  <c r="AH264" i="4"/>
  <c r="L265" i="4"/>
  <c r="M265" i="4"/>
  <c r="N265" i="4"/>
  <c r="S265" i="4"/>
  <c r="T265" i="4"/>
  <c r="U265" i="4"/>
  <c r="AC265" i="4"/>
  <c r="AD265" i="4"/>
  <c r="AE265" i="4"/>
  <c r="AF265" i="4"/>
  <c r="AG265" i="4" s="1"/>
  <c r="AH265" i="4"/>
  <c r="L266" i="4"/>
  <c r="M266" i="4" s="1"/>
  <c r="N266" i="4"/>
  <c r="S266" i="4"/>
  <c r="X266" i="4" s="1"/>
  <c r="T266" i="4"/>
  <c r="U266" i="4"/>
  <c r="AC266" i="4"/>
  <c r="AF266" i="4" s="1"/>
  <c r="AG266" i="4" s="1"/>
  <c r="AD266" i="4"/>
  <c r="AE266" i="4"/>
  <c r="L267" i="4"/>
  <c r="M267" i="4" s="1"/>
  <c r="N267" i="4"/>
  <c r="S267" i="4"/>
  <c r="V267" i="4" s="1"/>
  <c r="W267" i="4" s="1"/>
  <c r="T267" i="4"/>
  <c r="U267" i="4"/>
  <c r="X267" i="4"/>
  <c r="AC267" i="4"/>
  <c r="AD267" i="4"/>
  <c r="AE267" i="4"/>
  <c r="I269" i="4"/>
  <c r="J269" i="4"/>
  <c r="K269" i="4"/>
  <c r="S269" i="4"/>
  <c r="T269" i="4"/>
  <c r="V269" i="4" s="1"/>
  <c r="W269" i="4" s="1"/>
  <c r="U269" i="4"/>
  <c r="AC269" i="4"/>
  <c r="AD269" i="4"/>
  <c r="AF269" i="4" s="1"/>
  <c r="AG269" i="4" s="1"/>
  <c r="AE269" i="4"/>
  <c r="L271" i="4"/>
  <c r="M271" i="4" s="1"/>
  <c r="V271" i="4"/>
  <c r="W271" i="4" s="1"/>
  <c r="AF271" i="4"/>
  <c r="AG271" i="4" s="1"/>
  <c r="AH271" i="4"/>
  <c r="L272" i="4"/>
  <c r="M272" i="4" s="1"/>
  <c r="V272" i="4"/>
  <c r="W272" i="4" s="1"/>
  <c r="AF272" i="4"/>
  <c r="AG272" i="4"/>
  <c r="AH272" i="4"/>
  <c r="I274" i="4"/>
  <c r="J274" i="4"/>
  <c r="K274" i="4"/>
  <c r="S274" i="4"/>
  <c r="T274" i="4"/>
  <c r="U274" i="4"/>
  <c r="AC274" i="4"/>
  <c r="AH274" i="4" s="1"/>
  <c r="AD274" i="4"/>
  <c r="AE274" i="4"/>
  <c r="I275" i="4"/>
  <c r="J275" i="4"/>
  <c r="K275" i="4"/>
  <c r="S275" i="4"/>
  <c r="T275" i="4"/>
  <c r="U275" i="4"/>
  <c r="AB275" i="4"/>
  <c r="AC275" i="4"/>
  <c r="AH275" i="4" s="1"/>
  <c r="AD275" i="4"/>
  <c r="AE275" i="4"/>
  <c r="I276" i="4"/>
  <c r="N276" i="4" s="1"/>
  <c r="J276" i="4"/>
  <c r="K276" i="4"/>
  <c r="S276" i="4"/>
  <c r="V276" i="4" s="1"/>
  <c r="W276" i="4" s="1"/>
  <c r="T276" i="4"/>
  <c r="U276" i="4"/>
  <c r="X276" i="4"/>
  <c r="AC276" i="4"/>
  <c r="AD276" i="4"/>
  <c r="AE276" i="4"/>
  <c r="I277" i="4"/>
  <c r="N277" i="4" s="1"/>
  <c r="J277" i="4"/>
  <c r="S277" i="4"/>
  <c r="V277" i="4" s="1"/>
  <c r="W277" i="4" s="1"/>
  <c r="T277" i="4"/>
  <c r="X277" i="4" s="1"/>
  <c r="U277" i="4"/>
  <c r="AC277" i="4"/>
  <c r="AF277" i="4" s="1"/>
  <c r="AG277" i="4" s="1"/>
  <c r="AD277" i="4"/>
  <c r="AE277" i="4"/>
  <c r="I278" i="4"/>
  <c r="N278" i="4" s="1"/>
  <c r="J278" i="4"/>
  <c r="S278" i="4"/>
  <c r="T278" i="4"/>
  <c r="X278" i="4" s="1"/>
  <c r="U278" i="4"/>
  <c r="AC278" i="4"/>
  <c r="AD278" i="4"/>
  <c r="AF278" i="4" s="1"/>
  <c r="AG278" i="4" s="1"/>
  <c r="AE278" i="4"/>
  <c r="AH278" i="4"/>
  <c r="I279" i="4"/>
  <c r="J279" i="4"/>
  <c r="S279" i="4"/>
  <c r="T279" i="4"/>
  <c r="U279" i="4"/>
  <c r="AC279" i="4"/>
  <c r="AD279" i="4"/>
  <c r="AE279" i="4"/>
  <c r="AF279" i="4"/>
  <c r="AG279" i="4" s="1"/>
  <c r="AH279" i="4"/>
  <c r="I280" i="4"/>
  <c r="J280" i="4"/>
  <c r="N280" i="4" s="1"/>
  <c r="K280" i="4"/>
  <c r="S280" i="4"/>
  <c r="T280" i="4"/>
  <c r="U280" i="4"/>
  <c r="AC280" i="4"/>
  <c r="AD280" i="4"/>
  <c r="AE280" i="4"/>
  <c r="I281" i="4"/>
  <c r="L281" i="4" s="1"/>
  <c r="M281" i="4" s="1"/>
  <c r="J281" i="4"/>
  <c r="K281" i="4"/>
  <c r="N281" i="4"/>
  <c r="S281" i="4"/>
  <c r="T281" i="4"/>
  <c r="U281" i="4"/>
  <c r="X281" i="4"/>
  <c r="AC281" i="4"/>
  <c r="AD281" i="4"/>
  <c r="AE281" i="4"/>
  <c r="I283" i="4"/>
  <c r="N283" i="4" s="1"/>
  <c r="J283" i="4"/>
  <c r="K283" i="4"/>
  <c r="S283" i="4"/>
  <c r="V283" i="4" s="1"/>
  <c r="W283" i="4" s="1"/>
  <c r="T283" i="4"/>
  <c r="U283" i="4"/>
  <c r="AC283" i="4"/>
  <c r="AD283" i="4"/>
  <c r="AE283" i="4"/>
  <c r="AH283" i="4"/>
  <c r="I284" i="4"/>
  <c r="N284" i="4" s="1"/>
  <c r="J284" i="4"/>
  <c r="L284" i="4"/>
  <c r="M284" i="4" s="1"/>
  <c r="S284" i="4"/>
  <c r="V284" i="4" s="1"/>
  <c r="W284" i="4" s="1"/>
  <c r="T284" i="4"/>
  <c r="AC284" i="4"/>
  <c r="L285" i="4"/>
  <c r="M285" i="4" s="1"/>
  <c r="N285" i="4"/>
  <c r="S285" i="4"/>
  <c r="T285" i="4"/>
  <c r="U285" i="4"/>
  <c r="AC285" i="4"/>
  <c r="AD285" i="4"/>
  <c r="AE285" i="4"/>
  <c r="I287" i="4"/>
  <c r="L287" i="4"/>
  <c r="M287" i="4"/>
  <c r="N287" i="4"/>
  <c r="S287" i="4"/>
  <c r="X287" i="4" s="1"/>
  <c r="V287" i="4"/>
  <c r="W287" i="4" s="1"/>
  <c r="AF287" i="4"/>
  <c r="AG287" i="4" s="1"/>
  <c r="AH287" i="4"/>
  <c r="X283" i="4" l="1"/>
  <c r="AH285" i="4"/>
  <c r="X284" i="4"/>
  <c r="AH277" i="4"/>
  <c r="N252" i="4"/>
  <c r="X242" i="4"/>
  <c r="N242" i="4"/>
  <c r="L283" i="4"/>
  <c r="M283" i="4" s="1"/>
  <c r="AF274" i="4"/>
  <c r="AG274" i="4" s="1"/>
  <c r="V265" i="4"/>
  <c r="W265" i="4" s="1"/>
  <c r="V263" i="4"/>
  <c r="W263" i="4" s="1"/>
  <c r="L260" i="4"/>
  <c r="M260" i="4" s="1"/>
  <c r="AH255" i="4"/>
  <c r="N255" i="4"/>
  <c r="V249" i="4"/>
  <c r="W249" i="4" s="1"/>
  <c r="V246" i="4"/>
  <c r="W246" i="4" s="1"/>
  <c r="AH242" i="4"/>
  <c r="AF280" i="4"/>
  <c r="AG280" i="4" s="1"/>
  <c r="L280" i="4"/>
  <c r="M280" i="4" s="1"/>
  <c r="X279" i="4"/>
  <c r="L277" i="4"/>
  <c r="M277" i="4" s="1"/>
  <c r="V274" i="4"/>
  <c r="W274" i="4" s="1"/>
  <c r="AH269" i="4"/>
  <c r="X263" i="4"/>
  <c r="N256" i="4"/>
  <c r="AF255" i="4"/>
  <c r="AG255" i="4" s="1"/>
  <c r="L250" i="4"/>
  <c r="M250" i="4" s="1"/>
  <c r="AH247" i="4"/>
  <c r="N247" i="4"/>
  <c r="V279" i="4"/>
  <c r="W279" i="4" s="1"/>
  <c r="V261" i="4"/>
  <c r="W261" i="4" s="1"/>
  <c r="X254" i="4"/>
  <c r="AF285" i="4"/>
  <c r="AG285" i="4" s="1"/>
  <c r="AF283" i="4"/>
  <c r="AG283" i="4" s="1"/>
  <c r="V281" i="4"/>
  <c r="W281" i="4" s="1"/>
  <c r="L278" i="4"/>
  <c r="M278" i="4" s="1"/>
  <c r="L275" i="4"/>
  <c r="M275" i="4" s="1"/>
  <c r="AF267" i="4"/>
  <c r="AG267" i="4" s="1"/>
  <c r="AH266" i="4"/>
  <c r="AF250" i="4"/>
  <c r="AG250" i="4" s="1"/>
  <c r="AF246" i="4"/>
  <c r="AG246" i="4" s="1"/>
  <c r="AF240" i="4"/>
  <c r="AG240" i="4" s="1"/>
  <c r="V240" i="4"/>
  <c r="W240" i="4" s="1"/>
  <c r="L240" i="4"/>
  <c r="M240" i="4" s="1"/>
  <c r="V239" i="4"/>
  <c r="W239" i="4" s="1"/>
  <c r="L239" i="4"/>
  <c r="M239" i="4" s="1"/>
  <c r="V232" i="4"/>
  <c r="W232" i="4" s="1"/>
  <c r="L232" i="4"/>
  <c r="M232" i="4" s="1"/>
  <c r="X231" i="4"/>
  <c r="N230" i="4"/>
  <c r="V228" i="4"/>
  <c r="W228" i="4" s="1"/>
  <c r="V224" i="4"/>
  <c r="W224" i="4" s="1"/>
  <c r="V222" i="4"/>
  <c r="W222" i="4" s="1"/>
  <c r="V217" i="4"/>
  <c r="W217" i="4" s="1"/>
  <c r="AH216" i="4"/>
  <c r="V214" i="4"/>
  <c r="W214" i="4" s="1"/>
  <c r="N214" i="4"/>
  <c r="AF213" i="4"/>
  <c r="AG213" i="4" s="1"/>
  <c r="L210" i="4"/>
  <c r="M210" i="4" s="1"/>
  <c r="N204" i="4"/>
  <c r="V198" i="4"/>
  <c r="W198" i="4" s="1"/>
  <c r="V197" i="4"/>
  <c r="W197" i="4" s="1"/>
  <c r="AH196" i="4"/>
  <c r="L194" i="4"/>
  <c r="M194" i="4" s="1"/>
  <c r="V187" i="4"/>
  <c r="W187" i="4" s="1"/>
  <c r="AF185" i="4"/>
  <c r="AG185" i="4" s="1"/>
  <c r="AF180" i="4"/>
  <c r="AG180" i="4" s="1"/>
  <c r="V178" i="4"/>
  <c r="W178" i="4" s="1"/>
  <c r="L178" i="4"/>
  <c r="M178" i="4" s="1"/>
  <c r="N174" i="4"/>
  <c r="AF173" i="4"/>
  <c r="AG173" i="4" s="1"/>
  <c r="L173" i="4"/>
  <c r="M173" i="4" s="1"/>
  <c r="AF171" i="4"/>
  <c r="AG171" i="4" s="1"/>
  <c r="L169" i="4"/>
  <c r="M169" i="4" s="1"/>
  <c r="X165" i="4"/>
  <c r="X159" i="4"/>
  <c r="AF150" i="4"/>
  <c r="AG150" i="4" s="1"/>
  <c r="AF138" i="4"/>
  <c r="AG138" i="4" s="1"/>
  <c r="V136" i="4"/>
  <c r="W136" i="4" s="1"/>
  <c r="X136" i="4"/>
  <c r="AH135" i="4"/>
  <c r="V129" i="4"/>
  <c r="W129" i="4" s="1"/>
  <c r="X129" i="4"/>
  <c r="V128" i="4"/>
  <c r="W128" i="4" s="1"/>
  <c r="X128" i="4"/>
  <c r="AH126" i="4"/>
  <c r="V147" i="4"/>
  <c r="W147" i="4" s="1"/>
  <c r="X147" i="4"/>
  <c r="X122" i="4"/>
  <c r="V122" i="4"/>
  <c r="W122" i="4" s="1"/>
  <c r="AF228" i="4"/>
  <c r="AG228" i="4" s="1"/>
  <c r="AF224" i="4"/>
  <c r="AG224" i="4" s="1"/>
  <c r="AH223" i="4"/>
  <c r="V223" i="4"/>
  <c r="W223" i="4" s="1"/>
  <c r="X222" i="4"/>
  <c r="AG214" i="4"/>
  <c r="V210" i="4"/>
  <c r="W210" i="4" s="1"/>
  <c r="AH208" i="4"/>
  <c r="N208" i="4"/>
  <c r="L205" i="4"/>
  <c r="M205" i="4" s="1"/>
  <c r="X196" i="4"/>
  <c r="X189" i="4"/>
  <c r="L185" i="4"/>
  <c r="M185" i="4" s="1"/>
  <c r="N183" i="4"/>
  <c r="L182" i="4"/>
  <c r="M182" i="4" s="1"/>
  <c r="AH180" i="4"/>
  <c r="N178" i="4"/>
  <c r="L177" i="4"/>
  <c r="M177" i="4" s="1"/>
  <c r="L167" i="4"/>
  <c r="M167" i="4" s="1"/>
  <c r="L157" i="4"/>
  <c r="M157" i="4" s="1"/>
  <c r="V149" i="4"/>
  <c r="W149" i="4" s="1"/>
  <c r="AF141" i="4"/>
  <c r="AG141" i="4" s="1"/>
  <c r="X141" i="4"/>
  <c r="N141" i="4"/>
  <c r="X137" i="4"/>
  <c r="V135" i="4"/>
  <c r="W135" i="4" s="1"/>
  <c r="V133" i="4"/>
  <c r="W133" i="4" s="1"/>
  <c r="AF131" i="4"/>
  <c r="AG131" i="4" s="1"/>
  <c r="AF122" i="4"/>
  <c r="AG122" i="4" s="1"/>
  <c r="AH122" i="4"/>
  <c r="AF121" i="4"/>
  <c r="AG121" i="4" s="1"/>
  <c r="X121" i="4"/>
  <c r="X115" i="4"/>
  <c r="X105" i="4"/>
  <c r="V105" i="4"/>
  <c r="W105" i="4" s="1"/>
  <c r="V98" i="4"/>
  <c r="W98" i="4" s="1"/>
  <c r="X93" i="4"/>
  <c r="AF234" i="4"/>
  <c r="AG234" i="4" s="1"/>
  <c r="X234" i="4"/>
  <c r="V233" i="4"/>
  <c r="W233" i="4" s="1"/>
  <c r="N233" i="4"/>
  <c r="N232" i="4"/>
  <c r="X223" i="4"/>
  <c r="AF221" i="4"/>
  <c r="AG221" i="4" s="1"/>
  <c r="L213" i="4"/>
  <c r="M213" i="4" s="1"/>
  <c r="AF208" i="4"/>
  <c r="AG208" i="4" s="1"/>
  <c r="AH206" i="4"/>
  <c r="L206" i="4"/>
  <c r="M206" i="4" s="1"/>
  <c r="AH201" i="4"/>
  <c r="V189" i="4"/>
  <c r="W189" i="4" s="1"/>
  <c r="L183" i="4"/>
  <c r="M183" i="4" s="1"/>
  <c r="V175" i="4"/>
  <c r="W175" i="4" s="1"/>
  <c r="X172" i="4"/>
  <c r="X170" i="4"/>
  <c r="N170" i="4"/>
  <c r="V169" i="4"/>
  <c r="W169" i="4" s="1"/>
  <c r="V139" i="4"/>
  <c r="W139" i="4" s="1"/>
  <c r="L138" i="4"/>
  <c r="M138" i="4" s="1"/>
  <c r="V134" i="4"/>
  <c r="W134" i="4" s="1"/>
  <c r="AF133" i="4"/>
  <c r="L131" i="4"/>
  <c r="M131" i="4" s="1"/>
  <c r="L129" i="4"/>
  <c r="M129" i="4" s="1"/>
  <c r="L117" i="4"/>
  <c r="M117" i="4" s="1"/>
  <c r="AH115" i="4"/>
  <c r="N109" i="4"/>
  <c r="L107" i="4"/>
  <c r="M107" i="4" s="1"/>
  <c r="N92" i="4"/>
  <c r="L92" i="4"/>
  <c r="M92" i="4" s="1"/>
  <c r="V123" i="4"/>
  <c r="W123" i="4" s="1"/>
  <c r="X123" i="4"/>
  <c r="V119" i="4"/>
  <c r="W119" i="4" s="1"/>
  <c r="X119" i="4"/>
  <c r="V116" i="4"/>
  <c r="W116" i="4" s="1"/>
  <c r="V106" i="4"/>
  <c r="W106" i="4" s="1"/>
  <c r="X106" i="4"/>
  <c r="AF102" i="4"/>
  <c r="AG102" i="4" s="1"/>
  <c r="X99" i="4"/>
  <c r="L89" i="4"/>
  <c r="M89" i="4" s="1"/>
  <c r="AF81" i="4"/>
  <c r="AG81" i="4" s="1"/>
  <c r="V78" i="4"/>
  <c r="W78" i="4" s="1"/>
  <c r="X73" i="4"/>
  <c r="N72" i="4"/>
  <c r="AH71" i="4"/>
  <c r="X69" i="4"/>
  <c r="V61" i="4"/>
  <c r="W61" i="4" s="1"/>
  <c r="V57" i="4"/>
  <c r="W57" i="4" s="1"/>
  <c r="V52" i="4"/>
  <c r="W52" i="4" s="1"/>
  <c r="X51" i="4"/>
  <c r="N50" i="4"/>
  <c r="X49" i="4"/>
  <c r="AH46" i="4"/>
  <c r="AF43" i="4"/>
  <c r="AG43" i="4" s="1"/>
  <c r="V41" i="4"/>
  <c r="W41" i="4" s="1"/>
  <c r="V40" i="4"/>
  <c r="W40" i="4" s="1"/>
  <c r="L40" i="4"/>
  <c r="M40" i="4" s="1"/>
  <c r="L39" i="4"/>
  <c r="M39" i="4" s="1"/>
  <c r="AH38" i="4"/>
  <c r="V38" i="4"/>
  <c r="W38" i="4" s="1"/>
  <c r="N37" i="4"/>
  <c r="V35" i="4"/>
  <c r="W35" i="4" s="1"/>
  <c r="X33" i="4"/>
  <c r="AF30" i="4"/>
  <c r="AG30" i="4" s="1"/>
  <c r="L28" i="4"/>
  <c r="M28" i="4" s="1"/>
  <c r="AF26" i="4"/>
  <c r="AG26" i="4" s="1"/>
  <c r="V24" i="4"/>
  <c r="W24" i="4" s="1"/>
  <c r="AF20" i="4"/>
  <c r="AG20" i="4" s="1"/>
  <c r="AF14" i="4"/>
  <c r="AG14" i="4" s="1"/>
  <c r="L14" i="4"/>
  <c r="M14" i="4" s="1"/>
  <c r="AF10" i="4"/>
  <c r="AG10" i="4" s="1"/>
  <c r="V10" i="4"/>
  <c r="W10" i="4" s="1"/>
  <c r="V7" i="4"/>
  <c r="W7" i="4" s="1"/>
  <c r="L7" i="4"/>
  <c r="M7" i="4" s="1"/>
  <c r="L5" i="4"/>
  <c r="M5" i="4" s="1"/>
  <c r="L3" i="4"/>
  <c r="M3" i="4" s="1"/>
  <c r="AH98" i="4"/>
  <c r="X92" i="4"/>
  <c r="AH78" i="4"/>
  <c r="AF41" i="4"/>
  <c r="AG41" i="4" s="1"/>
  <c r="AF39" i="4"/>
  <c r="AG39" i="4" s="1"/>
  <c r="AF32" i="4"/>
  <c r="AG32" i="4" s="1"/>
  <c r="AH14" i="4"/>
  <c r="AH10" i="4"/>
  <c r="AH7" i="4"/>
  <c r="AF5" i="4"/>
  <c r="AG5" i="4" s="1"/>
  <c r="X4" i="4"/>
  <c r="V39" i="4"/>
  <c r="W39" i="4" s="1"/>
  <c r="X39" i="4"/>
  <c r="V32" i="4"/>
  <c r="W32" i="4" s="1"/>
  <c r="X32" i="4"/>
  <c r="X120" i="4"/>
  <c r="AF114" i="4"/>
  <c r="AG114" i="4" s="1"/>
  <c r="V111" i="4"/>
  <c r="W111" i="4" s="1"/>
  <c r="X111" i="4"/>
  <c r="L108" i="4"/>
  <c r="M108" i="4" s="1"/>
  <c r="X107" i="4"/>
  <c r="V104" i="4"/>
  <c r="W104" i="4" s="1"/>
  <c r="AH102" i="4"/>
  <c r="X100" i="4"/>
  <c r="V95" i="4"/>
  <c r="W95" i="4" s="1"/>
  <c r="X91" i="4"/>
  <c r="AF88" i="4"/>
  <c r="AG88" i="4" s="1"/>
  <c r="V88" i="4"/>
  <c r="W88" i="4" s="1"/>
  <c r="AH81" i="4"/>
  <c r="AF69" i="4"/>
  <c r="AG69" i="4" s="1"/>
  <c r="L60" i="4"/>
  <c r="M60" i="4" s="1"/>
  <c r="AH58" i="4"/>
  <c r="L57" i="4"/>
  <c r="M57" i="4" s="1"/>
  <c r="AF56" i="4"/>
  <c r="AG56" i="4" s="1"/>
  <c r="V50" i="4"/>
  <c r="W50" i="4" s="1"/>
  <c r="AF49" i="4"/>
  <c r="AG49" i="4" s="1"/>
  <c r="V48" i="4"/>
  <c r="W48" i="4" s="1"/>
  <c r="AF47" i="4"/>
  <c r="AG47" i="4" s="1"/>
  <c r="X46" i="4"/>
  <c r="AH39" i="4"/>
  <c r="AF35" i="4"/>
  <c r="AG35" i="4" s="1"/>
  <c r="V34" i="4"/>
  <c r="W34" i="4" s="1"/>
  <c r="N32" i="4"/>
  <c r="X30" i="4"/>
  <c r="AH29" i="4"/>
  <c r="N29" i="4"/>
  <c r="X28" i="4"/>
  <c r="AH27" i="4"/>
  <c r="N27" i="4"/>
  <c r="X26" i="4"/>
  <c r="AH24" i="4"/>
  <c r="V12" i="4"/>
  <c r="W12" i="4" s="1"/>
  <c r="L9" i="4"/>
  <c r="M9" i="4" s="1"/>
  <c r="V8" i="4"/>
  <c r="W8" i="4" s="1"/>
  <c r="AF276" i="4"/>
  <c r="AG276" i="4" s="1"/>
  <c r="AH276" i="4"/>
  <c r="AF284" i="4"/>
  <c r="AG284" i="4" s="1"/>
  <c r="AH284" i="4"/>
  <c r="AF281" i="4"/>
  <c r="AG281" i="4" s="1"/>
  <c r="X274" i="4"/>
  <c r="V258" i="4"/>
  <c r="W258" i="4" s="1"/>
  <c r="X258" i="4"/>
  <c r="L253" i="4"/>
  <c r="M253" i="4" s="1"/>
  <c r="N253" i="4"/>
  <c r="AH250" i="4"/>
  <c r="V248" i="4"/>
  <c r="W248" i="4" s="1"/>
  <c r="X248" i="4"/>
  <c r="L180" i="4"/>
  <c r="M180" i="4" s="1"/>
  <c r="N180" i="4"/>
  <c r="X158" i="4"/>
  <c r="V158" i="4"/>
  <c r="W158" i="4" s="1"/>
  <c r="V280" i="4"/>
  <c r="W280" i="4" s="1"/>
  <c r="L279" i="4"/>
  <c r="M279" i="4" s="1"/>
  <c r="N279" i="4"/>
  <c r="L276" i="4"/>
  <c r="M276" i="4" s="1"/>
  <c r="X269" i="4"/>
  <c r="V266" i="4"/>
  <c r="W266" i="4" s="1"/>
  <c r="L261" i="4"/>
  <c r="M261" i="4" s="1"/>
  <c r="V260" i="4"/>
  <c r="W260" i="4" s="1"/>
  <c r="X260" i="4"/>
  <c r="X249" i="4"/>
  <c r="L234" i="4"/>
  <c r="M234" i="4" s="1"/>
  <c r="X205" i="4"/>
  <c r="V205" i="4"/>
  <c r="W205" i="4" s="1"/>
  <c r="N200" i="4"/>
  <c r="L200" i="4"/>
  <c r="M200" i="4" s="1"/>
  <c r="V184" i="4"/>
  <c r="W184" i="4" s="1"/>
  <c r="X184" i="4"/>
  <c r="AH159" i="4"/>
  <c r="AF159" i="4"/>
  <c r="AG159" i="4" s="1"/>
  <c r="V278" i="4"/>
  <c r="W278" i="4" s="1"/>
  <c r="AF275" i="4"/>
  <c r="AG275" i="4" s="1"/>
  <c r="N275" i="4"/>
  <c r="L274" i="4"/>
  <c r="M274" i="4" s="1"/>
  <c r="L264" i="4"/>
  <c r="M264" i="4" s="1"/>
  <c r="AF260" i="4"/>
  <c r="AG260" i="4" s="1"/>
  <c r="AF259" i="4"/>
  <c r="AG259" i="4" s="1"/>
  <c r="L259" i="4"/>
  <c r="M259" i="4" s="1"/>
  <c r="N259" i="4"/>
  <c r="V256" i="4"/>
  <c r="W256" i="4" s="1"/>
  <c r="X256" i="4"/>
  <c r="V253" i="4"/>
  <c r="W253" i="4" s="1"/>
  <c r="V250" i="4"/>
  <c r="W250" i="4" s="1"/>
  <c r="L249" i="4"/>
  <c r="M249" i="4" s="1"/>
  <c r="N249" i="4"/>
  <c r="AH224" i="4"/>
  <c r="N193" i="4"/>
  <c r="X155" i="4"/>
  <c r="V155" i="4"/>
  <c r="W155" i="4" s="1"/>
  <c r="AH116" i="4"/>
  <c r="AF116" i="4"/>
  <c r="AG116" i="4" s="1"/>
  <c r="V275" i="4"/>
  <c r="W275" i="4" s="1"/>
  <c r="V245" i="4"/>
  <c r="W245" i="4" s="1"/>
  <c r="X245" i="4"/>
  <c r="X161" i="4"/>
  <c r="V161" i="4"/>
  <c r="W161" i="4" s="1"/>
  <c r="V285" i="4"/>
  <c r="W285" i="4" s="1"/>
  <c r="X285" i="4"/>
  <c r="L269" i="4"/>
  <c r="M269" i="4" s="1"/>
  <c r="N250" i="4"/>
  <c r="AF244" i="4"/>
  <c r="AG244" i="4" s="1"/>
  <c r="X235" i="4"/>
  <c r="V235" i="4"/>
  <c r="W235" i="4" s="1"/>
  <c r="X203" i="4"/>
  <c r="V203" i="4"/>
  <c r="W203" i="4" s="1"/>
  <c r="L166" i="4"/>
  <c r="M166" i="4" s="1"/>
  <c r="N166" i="4"/>
  <c r="AH148" i="4"/>
  <c r="AF148" i="4"/>
  <c r="AG148" i="4" s="1"/>
  <c r="AH267" i="4"/>
  <c r="V259" i="4"/>
  <c r="W259" i="4" s="1"/>
  <c r="L254" i="4"/>
  <c r="M254" i="4" s="1"/>
  <c r="L246" i="4"/>
  <c r="M246" i="4" s="1"/>
  <c r="N246" i="4"/>
  <c r="V216" i="4"/>
  <c r="W216" i="4" s="1"/>
  <c r="X216" i="4"/>
  <c r="AH261" i="4"/>
  <c r="AF261" i="4"/>
  <c r="AG261" i="4" s="1"/>
  <c r="N231" i="4"/>
  <c r="L231" i="4"/>
  <c r="M231" i="4" s="1"/>
  <c r="N217" i="4"/>
  <c r="L217" i="4"/>
  <c r="M217" i="4" s="1"/>
  <c r="V208" i="4"/>
  <c r="W208" i="4" s="1"/>
  <c r="X208" i="4"/>
  <c r="L147" i="4"/>
  <c r="M147" i="4" s="1"/>
  <c r="N147" i="4"/>
  <c r="AH280" i="4"/>
  <c r="X265" i="4"/>
  <c r="AF263" i="4"/>
  <c r="AG263" i="4" s="1"/>
  <c r="V255" i="4"/>
  <c r="W255" i="4" s="1"/>
  <c r="X255" i="4"/>
  <c r="V252" i="4"/>
  <c r="W252" i="4" s="1"/>
  <c r="X251" i="4"/>
  <c r="V251" i="4"/>
  <c r="W251" i="4" s="1"/>
  <c r="X247" i="4"/>
  <c r="L216" i="4"/>
  <c r="M216" i="4" s="1"/>
  <c r="N216" i="4"/>
  <c r="X173" i="4"/>
  <c r="V173" i="4"/>
  <c r="W173" i="4" s="1"/>
  <c r="X171" i="4"/>
  <c r="N228" i="4"/>
  <c r="AF222" i="4"/>
  <c r="AG222" i="4" s="1"/>
  <c r="L222" i="4"/>
  <c r="M222" i="4" s="1"/>
  <c r="N221" i="4"/>
  <c r="V206" i="4"/>
  <c r="W206" i="4" s="1"/>
  <c r="X204" i="4"/>
  <c r="AF203" i="4"/>
  <c r="AG203" i="4" s="1"/>
  <c r="L199" i="4"/>
  <c r="M199" i="4" s="1"/>
  <c r="AH194" i="4"/>
  <c r="X186" i="4"/>
  <c r="AF182" i="4"/>
  <c r="AG182" i="4" s="1"/>
  <c r="AH182" i="4"/>
  <c r="X180" i="4"/>
  <c r="V180" i="4"/>
  <c r="W180" i="4" s="1"/>
  <c r="AF177" i="4"/>
  <c r="AG177" i="4" s="1"/>
  <c r="V174" i="4"/>
  <c r="W174" i="4" s="1"/>
  <c r="X174" i="4"/>
  <c r="AH168" i="4"/>
  <c r="AF168" i="4"/>
  <c r="AG168" i="4" s="1"/>
  <c r="AF164" i="4"/>
  <c r="AG164" i="4" s="1"/>
  <c r="X160" i="4"/>
  <c r="N150" i="4"/>
  <c r="L150" i="4"/>
  <c r="M150" i="4" s="1"/>
  <c r="V121" i="4"/>
  <c r="W121" i="4" s="1"/>
  <c r="L230" i="4"/>
  <c r="M230" i="4" s="1"/>
  <c r="AF211" i="4"/>
  <c r="AG211" i="4" s="1"/>
  <c r="AH207" i="4"/>
  <c r="L203" i="4"/>
  <c r="M203" i="4" s="1"/>
  <c r="N203" i="4"/>
  <c r="V192" i="4"/>
  <c r="W192" i="4" s="1"/>
  <c r="V188" i="4"/>
  <c r="W188" i="4" s="1"/>
  <c r="X188" i="4"/>
  <c r="L172" i="4"/>
  <c r="M172" i="4" s="1"/>
  <c r="L163" i="4"/>
  <c r="M163" i="4" s="1"/>
  <c r="N163" i="4"/>
  <c r="AH118" i="4"/>
  <c r="AF118" i="4"/>
  <c r="AG118" i="4" s="1"/>
  <c r="X232" i="4"/>
  <c r="V207" i="4"/>
  <c r="W207" i="4" s="1"/>
  <c r="X207" i="4"/>
  <c r="V202" i="4"/>
  <c r="W202" i="4" s="1"/>
  <c r="AF198" i="4"/>
  <c r="AG198" i="4" s="1"/>
  <c r="L192" i="4"/>
  <c r="M192" i="4" s="1"/>
  <c r="N192" i="4"/>
  <c r="L186" i="4"/>
  <c r="M186" i="4" s="1"/>
  <c r="AH147" i="4"/>
  <c r="AF147" i="4"/>
  <c r="AG147" i="4" s="1"/>
  <c r="L139" i="4"/>
  <c r="M139" i="4" s="1"/>
  <c r="N139" i="4"/>
  <c r="AF135" i="4"/>
  <c r="AG135" i="4" s="1"/>
  <c r="AG134" i="4"/>
  <c r="N130" i="4"/>
  <c r="L130" i="4"/>
  <c r="M130" i="4" s="1"/>
  <c r="L113" i="4"/>
  <c r="M113" i="4" s="1"/>
  <c r="N113" i="4"/>
  <c r="L10" i="4"/>
  <c r="M10" i="4" s="1"/>
  <c r="N10" i="4"/>
  <c r="V6" i="4"/>
  <c r="W6" i="4" s="1"/>
  <c r="N128" i="4"/>
  <c r="L128" i="4"/>
  <c r="M128" i="4" s="1"/>
  <c r="N234" i="4"/>
  <c r="V194" i="4"/>
  <c r="W194" i="4" s="1"/>
  <c r="L161" i="4"/>
  <c r="M161" i="4" s="1"/>
  <c r="AH281" i="4"/>
  <c r="X280" i="4"/>
  <c r="X275" i="4"/>
  <c r="N274" i="4"/>
  <c r="N269" i="4"/>
  <c r="AH263" i="4"/>
  <c r="X252" i="4"/>
  <c r="X250" i="4"/>
  <c r="N244" i="4"/>
  <c r="AH241" i="4"/>
  <c r="X240" i="4"/>
  <c r="N239" i="4"/>
  <c r="X220" i="4"/>
  <c r="N215" i="4"/>
  <c r="L214" i="4"/>
  <c r="M214" i="4" s="1"/>
  <c r="AF201" i="4"/>
  <c r="AG201" i="4" s="1"/>
  <c r="X198" i="4"/>
  <c r="L189" i="4"/>
  <c r="M189" i="4" s="1"/>
  <c r="N189" i="4"/>
  <c r="AH185" i="4"/>
  <c r="L171" i="4"/>
  <c r="M171" i="4" s="1"/>
  <c r="N171" i="4"/>
  <c r="X168" i="4"/>
  <c r="V168" i="4"/>
  <c r="W168" i="4" s="1"/>
  <c r="X164" i="4"/>
  <c r="V164" i="4"/>
  <c r="W164" i="4" s="1"/>
  <c r="X149" i="4"/>
  <c r="V131" i="4"/>
  <c r="W131" i="4" s="1"/>
  <c r="X131" i="4"/>
  <c r="AF120" i="4"/>
  <c r="AG120" i="4" s="1"/>
  <c r="AH120" i="4"/>
  <c r="V118" i="4"/>
  <c r="W118" i="4" s="1"/>
  <c r="AF105" i="4"/>
  <c r="AG105" i="4" s="1"/>
  <c r="AH105" i="4"/>
  <c r="V92" i="4"/>
  <c r="W92" i="4" s="1"/>
  <c r="L91" i="4"/>
  <c r="M91" i="4" s="1"/>
  <c r="N91" i="4"/>
  <c r="V77" i="4"/>
  <c r="W77" i="4" s="1"/>
  <c r="X77" i="4"/>
  <c r="AF65" i="4"/>
  <c r="AG65" i="4" s="1"/>
  <c r="AH65" i="4"/>
  <c r="L228" i="4"/>
  <c r="M228" i="4" s="1"/>
  <c r="L224" i="4"/>
  <c r="M224" i="4" s="1"/>
  <c r="N222" i="4"/>
  <c r="L221" i="4"/>
  <c r="M221" i="4" s="1"/>
  <c r="AH214" i="4"/>
  <c r="AH203" i="4"/>
  <c r="L202" i="4"/>
  <c r="M202" i="4" s="1"/>
  <c r="N199" i="4"/>
  <c r="AF194" i="4"/>
  <c r="AG194" i="4" s="1"/>
  <c r="V186" i="4"/>
  <c r="W186" i="4" s="1"/>
  <c r="AF184" i="4"/>
  <c r="AG184" i="4" s="1"/>
  <c r="AH177" i="4"/>
  <c r="L168" i="4"/>
  <c r="M168" i="4" s="1"/>
  <c r="N168" i="4"/>
  <c r="AH139" i="4"/>
  <c r="AF139" i="4"/>
  <c r="AG139" i="4" s="1"/>
  <c r="AH123" i="4"/>
  <c r="AF123" i="4"/>
  <c r="AG123" i="4" s="1"/>
  <c r="V114" i="4"/>
  <c r="W114" i="4" s="1"/>
  <c r="X114" i="4"/>
  <c r="AF220" i="4"/>
  <c r="AG220" i="4" s="1"/>
  <c r="N235" i="4"/>
  <c r="V230" i="4"/>
  <c r="W230" i="4" s="1"/>
  <c r="AF223" i="4"/>
  <c r="AG223" i="4" s="1"/>
  <c r="L212" i="4"/>
  <c r="M212" i="4" s="1"/>
  <c r="V211" i="4"/>
  <c r="W211" i="4" s="1"/>
  <c r="L209" i="4"/>
  <c r="M209" i="4" s="1"/>
  <c r="AF207" i="4"/>
  <c r="AG207" i="4" s="1"/>
  <c r="L201" i="4"/>
  <c r="M201" i="4" s="1"/>
  <c r="AF199" i="4"/>
  <c r="AG199" i="4" s="1"/>
  <c r="N197" i="4"/>
  <c r="N196" i="4"/>
  <c r="V195" i="4"/>
  <c r="W195" i="4" s="1"/>
  <c r="X192" i="4"/>
  <c r="L187" i="4"/>
  <c r="M187" i="4" s="1"/>
  <c r="AF179" i="4"/>
  <c r="AG179" i="4" s="1"/>
  <c r="AF175" i="4"/>
  <c r="AG175" i="4" s="1"/>
  <c r="AH164" i="4"/>
  <c r="L164" i="4"/>
  <c r="M164" i="4" s="1"/>
  <c r="N164" i="4"/>
  <c r="AF155" i="4"/>
  <c r="AG155" i="4" s="1"/>
  <c r="AH155" i="4"/>
  <c r="N134" i="4"/>
  <c r="L134" i="4"/>
  <c r="M134" i="4" s="1"/>
  <c r="AH127" i="4"/>
  <c r="AF127" i="4"/>
  <c r="AG127" i="4" s="1"/>
  <c r="AF126" i="4"/>
  <c r="AG126" i="4" s="1"/>
  <c r="AH110" i="4"/>
  <c r="AF110" i="4"/>
  <c r="AG110" i="4" s="1"/>
  <c r="AH109" i="4"/>
  <c r="AF109" i="4"/>
  <c r="AG109" i="4" s="1"/>
  <c r="AF104" i="4"/>
  <c r="AG104" i="4" s="1"/>
  <c r="AH104" i="4"/>
  <c r="AH181" i="4"/>
  <c r="L179" i="4"/>
  <c r="M179" i="4" s="1"/>
  <c r="V165" i="4"/>
  <c r="W165" i="4" s="1"/>
  <c r="X151" i="4"/>
  <c r="V151" i="4"/>
  <c r="W151" i="4" s="1"/>
  <c r="X145" i="4"/>
  <c r="V145" i="4"/>
  <c r="W145" i="4" s="1"/>
  <c r="N143" i="4"/>
  <c r="L143" i="4"/>
  <c r="M143" i="4" s="1"/>
  <c r="V124" i="4"/>
  <c r="W124" i="4" s="1"/>
  <c r="AF117" i="4"/>
  <c r="AG117" i="4" s="1"/>
  <c r="X86" i="4"/>
  <c r="V86" i="4"/>
  <c r="W86" i="4" s="1"/>
  <c r="AF68" i="4"/>
  <c r="AG68" i="4" s="1"/>
  <c r="AH68" i="4"/>
  <c r="V62" i="4"/>
  <c r="W62" i="4" s="1"/>
  <c r="X62" i="4"/>
  <c r="V46" i="4"/>
  <c r="W46" i="4" s="1"/>
  <c r="AH213" i="4"/>
  <c r="AH211" i="4"/>
  <c r="X206" i="4"/>
  <c r="N205" i="4"/>
  <c r="AH198" i="4"/>
  <c r="X194" i="4"/>
  <c r="N186" i="4"/>
  <c r="AH184" i="4"/>
  <c r="N172" i="4"/>
  <c r="AF169" i="4"/>
  <c r="AG169" i="4" s="1"/>
  <c r="V159" i="4"/>
  <c r="W159" i="4" s="1"/>
  <c r="V157" i="4"/>
  <c r="W157" i="4" s="1"/>
  <c r="L155" i="4"/>
  <c r="M155" i="4" s="1"/>
  <c r="L151" i="4"/>
  <c r="M151" i="4" s="1"/>
  <c r="L145" i="4"/>
  <c r="M145" i="4" s="1"/>
  <c r="AG133" i="4"/>
  <c r="L133" i="4"/>
  <c r="M133" i="4" s="1"/>
  <c r="AH119" i="4"/>
  <c r="AF119" i="4"/>
  <c r="AG119" i="4" s="1"/>
  <c r="X110" i="4"/>
  <c r="V84" i="4"/>
  <c r="W84" i="4" s="1"/>
  <c r="X84" i="4"/>
  <c r="V83" i="4"/>
  <c r="W83" i="4" s="1"/>
  <c r="X83" i="4"/>
  <c r="V20" i="4"/>
  <c r="W20" i="4" s="1"/>
  <c r="X20" i="4"/>
  <c r="X179" i="4"/>
  <c r="AH175" i="4"/>
  <c r="X169" i="4"/>
  <c r="AH165" i="4"/>
  <c r="X163" i="4"/>
  <c r="V163" i="4"/>
  <c r="W163" i="4" s="1"/>
  <c r="AF158" i="4"/>
  <c r="AG158" i="4" s="1"/>
  <c r="V153" i="4"/>
  <c r="W153" i="4" s="1"/>
  <c r="AH150" i="4"/>
  <c r="AH143" i="4"/>
  <c r="AF142" i="4"/>
  <c r="AG142" i="4" s="1"/>
  <c r="V132" i="4"/>
  <c r="W132" i="4" s="1"/>
  <c r="V115" i="4"/>
  <c r="W115" i="4" s="1"/>
  <c r="AF17" i="4"/>
  <c r="AG17" i="4" s="1"/>
  <c r="AH17" i="4"/>
  <c r="AF181" i="4"/>
  <c r="AG181" i="4" s="1"/>
  <c r="V181" i="4"/>
  <c r="W181" i="4" s="1"/>
  <c r="N179" i="4"/>
  <c r="AF166" i="4"/>
  <c r="AG166" i="4" s="1"/>
  <c r="L158" i="4"/>
  <c r="M158" i="4" s="1"/>
  <c r="AF149" i="4"/>
  <c r="AG149" i="4" s="1"/>
  <c r="V148" i="4"/>
  <c r="W148" i="4" s="1"/>
  <c r="L142" i="4"/>
  <c r="M142" i="4" s="1"/>
  <c r="AF137" i="4"/>
  <c r="AG137" i="4" s="1"/>
  <c r="AF136" i="4"/>
  <c r="AG136" i="4" s="1"/>
  <c r="AF132" i="4"/>
  <c r="AG132" i="4" s="1"/>
  <c r="V125" i="4"/>
  <c r="W125" i="4" s="1"/>
  <c r="AH124" i="4"/>
  <c r="AF124" i="4"/>
  <c r="AG124" i="4" s="1"/>
  <c r="AF115" i="4"/>
  <c r="AG115" i="4" s="1"/>
  <c r="AF113" i="4"/>
  <c r="AG113" i="4" s="1"/>
  <c r="AF106" i="4"/>
  <c r="AG106" i="4" s="1"/>
  <c r="L69" i="4"/>
  <c r="M69" i="4" s="1"/>
  <c r="N69" i="4"/>
  <c r="AF62" i="4"/>
  <c r="AG62" i="4" s="1"/>
  <c r="AH62" i="4"/>
  <c r="V138" i="4"/>
  <c r="W138" i="4" s="1"/>
  <c r="AF94" i="4"/>
  <c r="AG94" i="4" s="1"/>
  <c r="AH94" i="4"/>
  <c r="V89" i="4"/>
  <c r="W89" i="4" s="1"/>
  <c r="X89" i="4"/>
  <c r="L85" i="4"/>
  <c r="M85" i="4" s="1"/>
  <c r="AF83" i="4"/>
  <c r="AG83" i="4" s="1"/>
  <c r="AH83" i="4"/>
  <c r="V72" i="4"/>
  <c r="W72" i="4" s="1"/>
  <c r="X72" i="4"/>
  <c r="V51" i="4"/>
  <c r="W51" i="4" s="1"/>
  <c r="V109" i="4"/>
  <c r="W109" i="4" s="1"/>
  <c r="X109" i="4"/>
  <c r="AF108" i="4"/>
  <c r="AG108" i="4" s="1"/>
  <c r="AH108" i="4"/>
  <c r="V103" i="4"/>
  <c r="W103" i="4" s="1"/>
  <c r="X103" i="4"/>
  <c r="AF101" i="4"/>
  <c r="AG101" i="4" s="1"/>
  <c r="AH101" i="4"/>
  <c r="V71" i="4"/>
  <c r="W71" i="4" s="1"/>
  <c r="X71" i="4"/>
  <c r="L41" i="4"/>
  <c r="M41" i="4" s="1"/>
  <c r="L35" i="4"/>
  <c r="M35" i="4" s="1"/>
  <c r="N35" i="4"/>
  <c r="V11" i="4"/>
  <c r="W11" i="4" s="1"/>
  <c r="X11" i="4"/>
  <c r="L8" i="4"/>
  <c r="M8" i="4" s="1"/>
  <c r="N8" i="4"/>
  <c r="X157" i="4"/>
  <c r="N151" i="4"/>
  <c r="AH149" i="4"/>
  <c r="N145" i="4"/>
  <c r="X139" i="4"/>
  <c r="AH131" i="4"/>
  <c r="X124" i="4"/>
  <c r="AH117" i="4"/>
  <c r="X116" i="4"/>
  <c r="AH114" i="4"/>
  <c r="V107" i="4"/>
  <c r="W107" i="4" s="1"/>
  <c r="AH106" i="4"/>
  <c r="AF97" i="4"/>
  <c r="AG97" i="4" s="1"/>
  <c r="AH97" i="4"/>
  <c r="AF80" i="4"/>
  <c r="AG80" i="4" s="1"/>
  <c r="AF73" i="4"/>
  <c r="AG73" i="4" s="1"/>
  <c r="L71" i="4"/>
  <c r="M71" i="4" s="1"/>
  <c r="N71" i="4"/>
  <c r="V49" i="4"/>
  <c r="W49" i="4" s="1"/>
  <c r="M46" i="4"/>
  <c r="V3" i="4"/>
  <c r="W3" i="4" s="1"/>
  <c r="L95" i="4"/>
  <c r="M95" i="4" s="1"/>
  <c r="N95" i="4"/>
  <c r="AH77" i="4"/>
  <c r="L61" i="4"/>
  <c r="M61" i="4" s="1"/>
  <c r="V59" i="4"/>
  <c r="W59" i="4" s="1"/>
  <c r="AF52" i="4"/>
  <c r="AG52" i="4" s="1"/>
  <c r="AH52" i="4"/>
  <c r="AF21" i="4"/>
  <c r="AG21" i="4" s="1"/>
  <c r="V14" i="4"/>
  <c r="W14" i="4" s="1"/>
  <c r="AF107" i="4"/>
  <c r="AG107" i="4" s="1"/>
  <c r="AF103" i="4"/>
  <c r="AG103" i="4" s="1"/>
  <c r="AH103" i="4"/>
  <c r="V22" i="4"/>
  <c r="W22" i="4" s="1"/>
  <c r="X22" i="4"/>
  <c r="AF11" i="4"/>
  <c r="AG11" i="4" s="1"/>
  <c r="L4" i="4"/>
  <c r="M4" i="4" s="1"/>
  <c r="L104" i="4"/>
  <c r="M104" i="4" s="1"/>
  <c r="N89" i="4"/>
  <c r="X85" i="4"/>
  <c r="N84" i="4"/>
  <c r="AF71" i="4"/>
  <c r="AG71" i="4" s="1"/>
  <c r="V69" i="4"/>
  <c r="W69" i="4" s="1"/>
  <c r="X68" i="4"/>
  <c r="L68" i="4"/>
  <c r="M68" i="4" s="1"/>
  <c r="N62" i="4"/>
  <c r="AF58" i="4"/>
  <c r="AG58" i="4" s="1"/>
  <c r="X48" i="4"/>
  <c r="L19" i="4"/>
  <c r="M19" i="4" s="1"/>
  <c r="N58" i="4"/>
  <c r="N3" i="4"/>
  <c r="X38" i="4"/>
  <c r="N30" i="4"/>
  <c r="AH28" i="4"/>
  <c r="X27" i="4"/>
  <c r="N26" i="4"/>
  <c r="X21" i="4"/>
  <c r="N13" i="4"/>
  <c r="N85" i="4"/>
  <c r="N61" i="4"/>
  <c r="X59" i="4"/>
  <c r="X58" i="4"/>
  <c r="N45" i="4"/>
  <c r="N41" i="4"/>
  <c r="X35" i="4"/>
  <c r="AH21" i="4"/>
  <c r="AH20" i="4"/>
  <c r="X15" i="4"/>
  <c r="X14" i="4"/>
  <c r="AH11" i="4"/>
  <c r="N9" i="4"/>
  <c r="X6" i="4"/>
  <c r="X5" i="4"/>
  <c r="X3" i="4"/>
</calcChain>
</file>

<file path=xl/sharedStrings.xml><?xml version="1.0" encoding="utf-8"?>
<sst xmlns="http://schemas.openxmlformats.org/spreadsheetml/2006/main" count="2048" uniqueCount="676">
  <si>
    <t>Alabama</t>
  </si>
  <si>
    <t>Eufaula</t>
  </si>
  <si>
    <t>Barbour</t>
  </si>
  <si>
    <t>Selma</t>
  </si>
  <si>
    <t>Dallas</t>
  </si>
  <si>
    <t>Gadsden</t>
  </si>
  <si>
    <t>Etowah</t>
  </si>
  <si>
    <t>Greensboro</t>
  </si>
  <si>
    <t>Hale</t>
  </si>
  <si>
    <t>Birmingham</t>
  </si>
  <si>
    <t>Jefferson</t>
  </si>
  <si>
    <t>Tuskegee</t>
  </si>
  <si>
    <t>Macon</t>
  </si>
  <si>
    <t>Mobile</t>
  </si>
  <si>
    <t>Monroe</t>
  </si>
  <si>
    <t>Montgomery</t>
  </si>
  <si>
    <t>York</t>
  </si>
  <si>
    <t>Sumter</t>
  </si>
  <si>
    <t>Talladega</t>
  </si>
  <si>
    <t>Tuscaloosa</t>
  </si>
  <si>
    <t>George</t>
  </si>
  <si>
    <t>NA</t>
  </si>
  <si>
    <t>Arizona</t>
  </si>
  <si>
    <t>Phoenix</t>
  </si>
  <si>
    <t>Maricopa</t>
  </si>
  <si>
    <t>Arkansas</t>
  </si>
  <si>
    <t>Osceola</t>
  </si>
  <si>
    <t>Mississippi County</t>
  </si>
  <si>
    <t>Helena</t>
  </si>
  <si>
    <t>Phillips</t>
  </si>
  <si>
    <t>Wabash</t>
  </si>
  <si>
    <t>Helena-West Helena</t>
  </si>
  <si>
    <t>Little Rock</t>
  </si>
  <si>
    <t>Pulaski</t>
  </si>
  <si>
    <t>Fort Smith</t>
  </si>
  <si>
    <t>Sebastian</t>
  </si>
  <si>
    <t>California</t>
  </si>
  <si>
    <t>Oakland</t>
  </si>
  <si>
    <t>Alameda</t>
  </si>
  <si>
    <t>Los Angeles</t>
  </si>
  <si>
    <t>Riverside</t>
  </si>
  <si>
    <t>Santa Barbara</t>
  </si>
  <si>
    <t>San Jose</t>
  </si>
  <si>
    <t>Santa Clara</t>
  </si>
  <si>
    <t>Connecticut</t>
  </si>
  <si>
    <t>Greenwich</t>
  </si>
  <si>
    <t>Fairfield</t>
  </si>
  <si>
    <t>Norwalk</t>
  </si>
  <si>
    <t>Stamford</t>
  </si>
  <si>
    <t>Fairfeild</t>
  </si>
  <si>
    <t>Hartford</t>
  </si>
  <si>
    <t>Sharon</t>
  </si>
  <si>
    <t>Litchfield</t>
  </si>
  <si>
    <t>New Haven</t>
  </si>
  <si>
    <t>Stafford Springs</t>
  </si>
  <si>
    <t>Tolland</t>
  </si>
  <si>
    <t>District Of Columbia</t>
  </si>
  <si>
    <t>Washington</t>
  </si>
  <si>
    <t>Florida</t>
  </si>
  <si>
    <t>Fort Lauderdale</t>
  </si>
  <si>
    <t xml:space="preserve">Broward </t>
  </si>
  <si>
    <t>Hollywood</t>
  </si>
  <si>
    <t>Jacksonville</t>
  </si>
  <si>
    <t>Duval</t>
  </si>
  <si>
    <t>Quincy</t>
  </si>
  <si>
    <t>Coral Gables</t>
  </si>
  <si>
    <t>Miami-Dade</t>
  </si>
  <si>
    <t>Miami</t>
  </si>
  <si>
    <t>Palm Beach</t>
  </si>
  <si>
    <t>Clearwater</t>
  </si>
  <si>
    <t>Pinellas</t>
  </si>
  <si>
    <t>Baglay City</t>
  </si>
  <si>
    <t>Wakemond</t>
  </si>
  <si>
    <t>Georgia</t>
  </si>
  <si>
    <t>Bainbridge</t>
  </si>
  <si>
    <t>Decatur</t>
  </si>
  <si>
    <t>Blakely</t>
  </si>
  <si>
    <t>Early</t>
  </si>
  <si>
    <t>Atlanta</t>
  </si>
  <si>
    <t>Fulton</t>
  </si>
  <si>
    <t>Perry</t>
  </si>
  <si>
    <t>Houston</t>
  </si>
  <si>
    <t>Macon-Bibb</t>
  </si>
  <si>
    <t>Cuthbert</t>
  </si>
  <si>
    <t>Randolph</t>
  </si>
  <si>
    <t>Augusta</t>
  </si>
  <si>
    <t xml:space="preserve">Richmond </t>
  </si>
  <si>
    <t>Evilova</t>
  </si>
  <si>
    <t>Hawaii</t>
  </si>
  <si>
    <t>Honolulu</t>
  </si>
  <si>
    <t>Illinois</t>
  </si>
  <si>
    <t>Chicago</t>
  </si>
  <si>
    <t>Cook</t>
  </si>
  <si>
    <t>Oak Park</t>
  </si>
  <si>
    <t>Indiana</t>
  </si>
  <si>
    <t>Gary</t>
  </si>
  <si>
    <t>Lake</t>
  </si>
  <si>
    <t>Lagrange</t>
  </si>
  <si>
    <t>Lafayette</t>
  </si>
  <si>
    <t>Tippecanoe</t>
  </si>
  <si>
    <t>Kansas</t>
  </si>
  <si>
    <t>Kentucky</t>
  </si>
  <si>
    <t>Lexington</t>
  </si>
  <si>
    <t>Fayette</t>
  </si>
  <si>
    <t>Louisville</t>
  </si>
  <si>
    <t>Louisiana</t>
  </si>
  <si>
    <t>Shreveport</t>
  </si>
  <si>
    <t>Caddo</t>
  </si>
  <si>
    <t>New Orleans</t>
  </si>
  <si>
    <t>Orleans</t>
  </si>
  <si>
    <t>Maine</t>
  </si>
  <si>
    <t>Portland</t>
  </si>
  <si>
    <t>Cumberland</t>
  </si>
  <si>
    <t>Farmington</t>
  </si>
  <si>
    <t>Franklin</t>
  </si>
  <si>
    <t>Norway</t>
  </si>
  <si>
    <t>Oxford</t>
  </si>
  <si>
    <t>Bath</t>
  </si>
  <si>
    <t>Sagadahoc</t>
  </si>
  <si>
    <t>Maryland</t>
  </si>
  <si>
    <t>Baltimore</t>
  </si>
  <si>
    <t>Aberdeen</t>
  </si>
  <si>
    <t>Harford</t>
  </si>
  <si>
    <t>Massachusetts</t>
  </si>
  <si>
    <t>Falmouth</t>
  </si>
  <si>
    <t>Barnstable</t>
  </si>
  <si>
    <t>Hyannis</t>
  </si>
  <si>
    <t>North Adams</t>
  </si>
  <si>
    <t>Berkshire</t>
  </si>
  <si>
    <t>Pittsfield</t>
  </si>
  <si>
    <t>New Bedford</t>
  </si>
  <si>
    <t>Bristol</t>
  </si>
  <si>
    <t>Taunton</t>
  </si>
  <si>
    <t>Gloucester</t>
  </si>
  <si>
    <t>Essex</t>
  </si>
  <si>
    <t>Lynn</t>
  </si>
  <si>
    <t>Lynnfield</t>
  </si>
  <si>
    <t>Methuen</t>
  </si>
  <si>
    <t>Salem</t>
  </si>
  <si>
    <t>Greenfield</t>
  </si>
  <si>
    <t>Holyoke</t>
  </si>
  <si>
    <t>Hampden</t>
  </si>
  <si>
    <t>Springfield</t>
  </si>
  <si>
    <t>Northampton</t>
  </si>
  <si>
    <t>Hampshire</t>
  </si>
  <si>
    <t>Arlington</t>
  </si>
  <si>
    <t>Middlesex</t>
  </si>
  <si>
    <t>Burlington</t>
  </si>
  <si>
    <t>Cambridge</t>
  </si>
  <si>
    <t>Concord</t>
  </si>
  <si>
    <t>Everett</t>
  </si>
  <si>
    <t>Framingham</t>
  </si>
  <si>
    <t>Lockheed</t>
  </si>
  <si>
    <t>Lowell</t>
  </si>
  <si>
    <t>Malden</t>
  </si>
  <si>
    <t>Medford</t>
  </si>
  <si>
    <t>Newton</t>
  </si>
  <si>
    <t>Somerville</t>
  </si>
  <si>
    <t>Stoneham</t>
  </si>
  <si>
    <t>Tewksbury</t>
  </si>
  <si>
    <t>Waltham</t>
  </si>
  <si>
    <t>Brookline</t>
  </si>
  <si>
    <t>Norfolk</t>
  </si>
  <si>
    <t>Milton</t>
  </si>
  <si>
    <t>Norwood</t>
  </si>
  <si>
    <t>Weymouth</t>
  </si>
  <si>
    <t>Brockton</t>
  </si>
  <si>
    <t>Plymouth</t>
  </si>
  <si>
    <t>Plympton</t>
  </si>
  <si>
    <t>Rochester</t>
  </si>
  <si>
    <t>Wareham</t>
  </si>
  <si>
    <t>Boston</t>
  </si>
  <si>
    <t>Suffolk</t>
  </si>
  <si>
    <t>Chelsea</t>
  </si>
  <si>
    <t>Roslindale</t>
  </si>
  <si>
    <t>Roxbury</t>
  </si>
  <si>
    <t>Winthrop</t>
  </si>
  <si>
    <t>Clinton</t>
  </si>
  <si>
    <t>Worcester</t>
  </si>
  <si>
    <t>Gardner</t>
  </si>
  <si>
    <t>Holden</t>
  </si>
  <si>
    <t>Michigan</t>
  </si>
  <si>
    <t>Warren</t>
  </si>
  <si>
    <t>Macomb</t>
  </si>
  <si>
    <t>Detroit</t>
  </si>
  <si>
    <t>Wayne</t>
  </si>
  <si>
    <t>Wyandotte</t>
  </si>
  <si>
    <t>Minnesota</t>
  </si>
  <si>
    <t>Minneapolis</t>
  </si>
  <si>
    <t>Hennepin</t>
  </si>
  <si>
    <t>Mississippi</t>
  </si>
  <si>
    <t>DeSoto</t>
  </si>
  <si>
    <t>Jackson</t>
  </si>
  <si>
    <t>Hinds</t>
  </si>
  <si>
    <t>Laurel</t>
  </si>
  <si>
    <t>Jones</t>
  </si>
  <si>
    <t>Darling</t>
  </si>
  <si>
    <t>Quitman</t>
  </si>
  <si>
    <t>Rolling Fork</t>
  </si>
  <si>
    <t>Sharkey</t>
  </si>
  <si>
    <t>Missouri</t>
  </si>
  <si>
    <t>St. Louis</t>
  </si>
  <si>
    <t>Nebraska</t>
  </si>
  <si>
    <t>Omaha</t>
  </si>
  <si>
    <t>Douglas</t>
  </si>
  <si>
    <t>New Hampshire</t>
  </si>
  <si>
    <t>Hanover</t>
  </si>
  <si>
    <t>Grafton</t>
  </si>
  <si>
    <t>Nashua</t>
  </si>
  <si>
    <t>Hillsborough</t>
  </si>
  <si>
    <t>Merrimack</t>
  </si>
  <si>
    <t>New London</t>
  </si>
  <si>
    <t>Portsmouth</t>
  </si>
  <si>
    <t>Rockingham</t>
  </si>
  <si>
    <t>New Jersey</t>
  </si>
  <si>
    <t>Englewood</t>
  </si>
  <si>
    <t>Bergen</t>
  </si>
  <si>
    <t>Camden</t>
  </si>
  <si>
    <t>Newark</t>
  </si>
  <si>
    <t>Jersey City</t>
  </si>
  <si>
    <t>Hudson</t>
  </si>
  <si>
    <t>Princeton</t>
  </si>
  <si>
    <t>Mercer</t>
  </si>
  <si>
    <t>Trenton</t>
  </si>
  <si>
    <t>New Brunswick</t>
  </si>
  <si>
    <t>Point Pleasant</t>
  </si>
  <si>
    <t>Ocean</t>
  </si>
  <si>
    <t>Passaic</t>
  </si>
  <si>
    <t>Elizabeth</t>
  </si>
  <si>
    <t>Union</t>
  </si>
  <si>
    <t>Plainfield</t>
  </si>
  <si>
    <t>New York</t>
  </si>
  <si>
    <t>Albany</t>
  </si>
  <si>
    <t>East Rockaway</t>
  </si>
  <si>
    <t xml:space="preserve">Nassau </t>
  </si>
  <si>
    <t>New York City</t>
  </si>
  <si>
    <t>Syracuse</t>
  </si>
  <si>
    <t>Onondaga</t>
  </si>
  <si>
    <t>Middetown</t>
  </si>
  <si>
    <t>Orange</t>
  </si>
  <si>
    <t>Far Rockaway</t>
  </si>
  <si>
    <t>Queens</t>
  </si>
  <si>
    <t>Troy</t>
  </si>
  <si>
    <t>Rensselaer</t>
  </si>
  <si>
    <t>Schenectady</t>
  </si>
  <si>
    <t>Islip</t>
  </si>
  <si>
    <t>Mount Kisco</t>
  </si>
  <si>
    <t>Westchester</t>
  </si>
  <si>
    <t>White Plains</t>
  </si>
  <si>
    <t>Keith Count</t>
  </si>
  <si>
    <t>North Carolina</t>
  </si>
  <si>
    <t>Beaufort</t>
  </si>
  <si>
    <t>Elizabethtown</t>
  </si>
  <si>
    <t>Bladen</t>
  </si>
  <si>
    <t>Lenoir</t>
  </si>
  <si>
    <t>Caldwell</t>
  </si>
  <si>
    <t>Caswell</t>
  </si>
  <si>
    <t>Edenton</t>
  </si>
  <si>
    <t xml:space="preserve">Chowan </t>
  </si>
  <si>
    <t>Winston-salem</t>
  </si>
  <si>
    <t>Forsyth</t>
  </si>
  <si>
    <t>Castoria</t>
  </si>
  <si>
    <t>Greene</t>
  </si>
  <si>
    <t>Snow Hill</t>
  </si>
  <si>
    <t>Guilford</t>
  </si>
  <si>
    <t>High Point</t>
  </si>
  <si>
    <t>Halifax</t>
  </si>
  <si>
    <t>Lillington</t>
  </si>
  <si>
    <t>Harnett</t>
  </si>
  <si>
    <t>Charlotte</t>
  </si>
  <si>
    <t>Mecklenburg</t>
  </si>
  <si>
    <t>Wilmington</t>
  </si>
  <si>
    <t>New Hanover</t>
  </si>
  <si>
    <t>Onslow</t>
  </si>
  <si>
    <t>Chapel Hill</t>
  </si>
  <si>
    <t xml:space="preserve"> Orange</t>
  </si>
  <si>
    <t>Red Springs</t>
  </si>
  <si>
    <t>Robeson</t>
  </si>
  <si>
    <t>Laurinburg</t>
  </si>
  <si>
    <t>Scotland</t>
  </si>
  <si>
    <t>Scotland County</t>
  </si>
  <si>
    <t>Raleigh</t>
  </si>
  <si>
    <t>Wake</t>
  </si>
  <si>
    <t>Warren County</t>
  </si>
  <si>
    <t>Warrenton</t>
  </si>
  <si>
    <t>Goldsboro</t>
  </si>
  <si>
    <t>Wilson</t>
  </si>
  <si>
    <t>Wilson County</t>
  </si>
  <si>
    <t>Eaton</t>
  </si>
  <si>
    <t>Ohio</t>
  </si>
  <si>
    <t>Cleveland</t>
  </si>
  <si>
    <t>Cuyahoga</t>
  </si>
  <si>
    <t>Cincinnati</t>
  </si>
  <si>
    <t>Hamilton</t>
  </si>
  <si>
    <t>Youngstown</t>
  </si>
  <si>
    <t>Mahoning</t>
  </si>
  <si>
    <t>Dayton</t>
  </si>
  <si>
    <t>Akron</t>
  </si>
  <si>
    <t>Summit</t>
  </si>
  <si>
    <t>Oklahoma</t>
  </si>
  <si>
    <t>Oregon</t>
  </si>
  <si>
    <t>Multnomah</t>
  </si>
  <si>
    <t>Pennsylvania</t>
  </si>
  <si>
    <t>East Pittsburgh</t>
  </si>
  <si>
    <t>Allegheny</t>
  </si>
  <si>
    <t>Pittsburgh</t>
  </si>
  <si>
    <t>Harrisburg</t>
  </si>
  <si>
    <t>Dauphin</t>
  </si>
  <si>
    <t>Bethlehem</t>
  </si>
  <si>
    <t>Lehigh</t>
  </si>
  <si>
    <t>Philadelphia</t>
  </si>
  <si>
    <t>Latrobe</t>
  </si>
  <si>
    <t>Westmoreland</t>
  </si>
  <si>
    <t>Puerto Rico</t>
  </si>
  <si>
    <t>Rhode Island</t>
  </si>
  <si>
    <t>Newport</t>
  </si>
  <si>
    <t>Providence</t>
  </si>
  <si>
    <t>Woonsocket</t>
  </si>
  <si>
    <t>Westerly</t>
  </si>
  <si>
    <t>South Carolina</t>
  </si>
  <si>
    <t>Anderson</t>
  </si>
  <si>
    <t>Moncks Corner</t>
  </si>
  <si>
    <t>Berkeley</t>
  </si>
  <si>
    <t>Charleston</t>
  </si>
  <si>
    <t>Williams</t>
  </si>
  <si>
    <t>Colleton</t>
  </si>
  <si>
    <t>St. George</t>
  </si>
  <si>
    <t>Dorchester</t>
  </si>
  <si>
    <t>Florence</t>
  </si>
  <si>
    <t>Greenville</t>
  </si>
  <si>
    <t>Conway</t>
  </si>
  <si>
    <t>Horry</t>
  </si>
  <si>
    <t>Marion</t>
  </si>
  <si>
    <t>Bennettsville</t>
  </si>
  <si>
    <t>Marlboro</t>
  </si>
  <si>
    <t>Holly Hill</t>
  </si>
  <si>
    <t>Orangeburg</t>
  </si>
  <si>
    <t>Tennessee</t>
  </si>
  <si>
    <t>Sewanee</t>
  </si>
  <si>
    <t>Chattanooga</t>
  </si>
  <si>
    <t>Knoxville</t>
  </si>
  <si>
    <t>Knox</t>
  </si>
  <si>
    <t>Memphis</t>
  </si>
  <si>
    <t>Shelby</t>
  </si>
  <si>
    <t>Texas</t>
  </si>
  <si>
    <t>Brownsville</t>
  </si>
  <si>
    <t>Cameron</t>
  </si>
  <si>
    <t>Hillsboro</t>
  </si>
  <si>
    <t>Hill</t>
  </si>
  <si>
    <t>Harris</t>
  </si>
  <si>
    <t>Albaleen</t>
  </si>
  <si>
    <t>Taylor &amp; Jones</t>
  </si>
  <si>
    <t>Austin</t>
  </si>
  <si>
    <t>Travis</t>
  </si>
  <si>
    <t>Vermont</t>
  </si>
  <si>
    <t>Chittenden</t>
  </si>
  <si>
    <t>Virgin Islands</t>
  </si>
  <si>
    <t>Ankroid</t>
  </si>
  <si>
    <t>Saint Croix</t>
  </si>
  <si>
    <t>Virginia</t>
  </si>
  <si>
    <t>Petersburg</t>
  </si>
  <si>
    <t>Dinwiddie</t>
  </si>
  <si>
    <t>Chesapeake</t>
  </si>
  <si>
    <t>Nansemond</t>
  </si>
  <si>
    <t>Newport News</t>
  </si>
  <si>
    <t>Warwick</t>
  </si>
  <si>
    <t>Lynchburg</t>
  </si>
  <si>
    <t>Richmond</t>
  </si>
  <si>
    <t>West Virginia</t>
  </si>
  <si>
    <t>Kanawha</t>
  </si>
  <si>
    <t>Welch</t>
  </si>
  <si>
    <t>McDowell</t>
  </si>
  <si>
    <t>Wheeling</t>
  </si>
  <si>
    <t>Ohio &amp; Marshall</t>
  </si>
  <si>
    <t>Wisconsin</t>
  </si>
  <si>
    <t>Elk Horn</t>
  </si>
  <si>
    <t>Walworth</t>
  </si>
  <si>
    <t>STATE</t>
  </si>
  <si>
    <t>CITY/TOWN</t>
  </si>
  <si>
    <t>COUNTY</t>
  </si>
  <si>
    <t>TOTAL</t>
  </si>
  <si>
    <t>WHITE</t>
  </si>
  <si>
    <t>NEGRO</t>
  </si>
  <si>
    <t>TABLE_SOURCE</t>
  </si>
  <si>
    <t>SOURCE_NAME</t>
  </si>
  <si>
    <t>Elkhorn city</t>
  </si>
  <si>
    <t>Charleston district</t>
  </si>
  <si>
    <t>CHECK</t>
  </si>
  <si>
    <t>OTHER</t>
  </si>
  <si>
    <t>DIFF</t>
  </si>
  <si>
    <t>Wheeling city</t>
  </si>
  <si>
    <t>Petersburg city</t>
  </si>
  <si>
    <t>Norfolk city</t>
  </si>
  <si>
    <t>Suffolk city</t>
  </si>
  <si>
    <t>Newport News city</t>
  </si>
  <si>
    <t>Lynchburg city</t>
  </si>
  <si>
    <t>Portsmouth city</t>
  </si>
  <si>
    <t>Richmond city</t>
  </si>
  <si>
    <t>Burlington city</t>
  </si>
  <si>
    <t>Brownsville city</t>
  </si>
  <si>
    <t>Austin city</t>
  </si>
  <si>
    <t>C-36</t>
  </si>
  <si>
    <t>City of Houston</t>
  </si>
  <si>
    <t>Abilene city</t>
  </si>
  <si>
    <t>Hillsboro Incorporated</t>
  </si>
  <si>
    <t>Chattanoogga City</t>
  </si>
  <si>
    <t>Knoxville city</t>
  </si>
  <si>
    <t>Memphis city</t>
  </si>
  <si>
    <t>Anderson township</t>
  </si>
  <si>
    <t>Charleston city</t>
  </si>
  <si>
    <t>George Township</t>
  </si>
  <si>
    <t>Florence township</t>
  </si>
  <si>
    <t>Greenville township</t>
  </si>
  <si>
    <t>Conway township</t>
  </si>
  <si>
    <t>Marion township</t>
  </si>
  <si>
    <t>Holly Hill township</t>
  </si>
  <si>
    <t>Sumter township</t>
  </si>
  <si>
    <t>Dist. 10 Bennetsville</t>
  </si>
  <si>
    <t>Newport city</t>
  </si>
  <si>
    <t>Providence city</t>
  </si>
  <si>
    <t>Woonsocket city</t>
  </si>
  <si>
    <t>Westerly town</t>
  </si>
  <si>
    <t>East Pittsburgh borough</t>
  </si>
  <si>
    <t>Latrobe borough</t>
  </si>
  <si>
    <t>Pittsburgh city</t>
  </si>
  <si>
    <t>Harrisburg city</t>
  </si>
  <si>
    <t>Bethlehem city</t>
  </si>
  <si>
    <t>Philadelphia city</t>
  </si>
  <si>
    <t>Portland city</t>
  </si>
  <si>
    <t>Cleveland city</t>
  </si>
  <si>
    <t>Cincinnati city</t>
  </si>
  <si>
    <t>Youngstown city</t>
  </si>
  <si>
    <t>Dayton city</t>
  </si>
  <si>
    <t>Akron city</t>
  </si>
  <si>
    <t>Washington township</t>
  </si>
  <si>
    <t>Edenton township</t>
  </si>
  <si>
    <t>Snow Hill township</t>
  </si>
  <si>
    <t>Lillington township</t>
  </si>
  <si>
    <t>Wilmington township</t>
  </si>
  <si>
    <t>Jacksonville township</t>
  </si>
  <si>
    <t>Chapel Hill township</t>
  </si>
  <si>
    <t>Red Springs township</t>
  </si>
  <si>
    <t>Raleigh township</t>
  </si>
  <si>
    <t>Warrenton township</t>
  </si>
  <si>
    <t>Goldsboro township</t>
  </si>
  <si>
    <t>Wilson township</t>
  </si>
  <si>
    <t>Elizabeth township</t>
  </si>
  <si>
    <t>Lenoit township</t>
  </si>
  <si>
    <t>High point township</t>
  </si>
  <si>
    <t>Winston-salem district</t>
  </si>
  <si>
    <t>Charlotte, township 1</t>
  </si>
  <si>
    <t>Norwich</t>
  </si>
  <si>
    <t>West Haven</t>
  </si>
  <si>
    <t>Williams (Ci)</t>
  </si>
  <si>
    <t>Carrs</t>
  </si>
  <si>
    <t>Sand Hill</t>
  </si>
  <si>
    <t>Durham</t>
  </si>
  <si>
    <t>Carr township</t>
  </si>
  <si>
    <t>Sand Hill township</t>
  </si>
  <si>
    <t>Stewartville township</t>
  </si>
  <si>
    <t>Franklin county</t>
  </si>
  <si>
    <t>Colleton county</t>
  </si>
  <si>
    <t>Berkeley county</t>
  </si>
  <si>
    <t>Morehead township</t>
  </si>
  <si>
    <t>Scotland county</t>
  </si>
  <si>
    <t>Warren county</t>
  </si>
  <si>
    <t>Albany city</t>
  </si>
  <si>
    <t>Rochester city</t>
  </si>
  <si>
    <t>Syracuse city</t>
  </si>
  <si>
    <t>Troy city</t>
  </si>
  <si>
    <t>Schenectady city</t>
  </si>
  <si>
    <t>White Plains city</t>
  </si>
  <si>
    <t>East Rockaway village</t>
  </si>
  <si>
    <t>Mount Kisco village</t>
  </si>
  <si>
    <t>C-35</t>
  </si>
  <si>
    <t>City of New York</t>
  </si>
  <si>
    <t>Middletown city</t>
  </si>
  <si>
    <t>Queens county</t>
  </si>
  <si>
    <t>Isilp town</t>
  </si>
  <si>
    <t>Hartford town</t>
  </si>
  <si>
    <t>?Keith County Nebraska ?</t>
  </si>
  <si>
    <t>Englewood city</t>
  </si>
  <si>
    <t>Camden city</t>
  </si>
  <si>
    <t>Newark city</t>
  </si>
  <si>
    <t>Trenton city</t>
  </si>
  <si>
    <t>New Brunswick city</t>
  </si>
  <si>
    <t>Passaic city</t>
  </si>
  <si>
    <t>Elizabeth city</t>
  </si>
  <si>
    <t>Plainfield city</t>
  </si>
  <si>
    <t>Jersey city</t>
  </si>
  <si>
    <t>Princeton township</t>
  </si>
  <si>
    <t>Point Pleasant borough</t>
  </si>
  <si>
    <t>Hanover town</t>
  </si>
  <si>
    <t>Nashua city</t>
  </si>
  <si>
    <t>Concord city</t>
  </si>
  <si>
    <t>New London town</t>
  </si>
  <si>
    <t>Postsmouth city</t>
  </si>
  <si>
    <t>Omaha city</t>
  </si>
  <si>
    <t>St. Louis city</t>
  </si>
  <si>
    <t xml:space="preserve"> DeSoto county</t>
  </si>
  <si>
    <t>Hinds county</t>
  </si>
  <si>
    <t>Quitman county</t>
  </si>
  <si>
    <t>Beat 1 , Laurel</t>
  </si>
  <si>
    <t>Rolling Fork town</t>
  </si>
  <si>
    <t>Minneapolis city</t>
  </si>
  <si>
    <t>Warren township</t>
  </si>
  <si>
    <t>Detroit city</t>
  </si>
  <si>
    <t>Wyendotte city</t>
  </si>
  <si>
    <t>Falmouth town</t>
  </si>
  <si>
    <t>Lynnfield town</t>
  </si>
  <si>
    <t>Greenfield town</t>
  </si>
  <si>
    <t>Arlington town</t>
  </si>
  <si>
    <t>Burlington town</t>
  </si>
  <si>
    <t>Concord town</t>
  </si>
  <si>
    <t>Framingham town</t>
  </si>
  <si>
    <t>Stoneham town</t>
  </si>
  <si>
    <t>Tewksbury town</t>
  </si>
  <si>
    <t>Brookline town</t>
  </si>
  <si>
    <t>Milton town</t>
  </si>
  <si>
    <t>Norwood town</t>
  </si>
  <si>
    <t>Weymouth town</t>
  </si>
  <si>
    <t>Barnstable county</t>
  </si>
  <si>
    <t>North adams city</t>
  </si>
  <si>
    <t>Pittsfield city</t>
  </si>
  <si>
    <t>New Bedford city</t>
  </si>
  <si>
    <t>Taunton city</t>
  </si>
  <si>
    <t>Gloucester city</t>
  </si>
  <si>
    <t>Salem city</t>
  </si>
  <si>
    <t>Holyoke city</t>
  </si>
  <si>
    <t>Springfield city</t>
  </si>
  <si>
    <t>Northampton city</t>
  </si>
  <si>
    <t>Cambridge city</t>
  </si>
  <si>
    <t>Everett city</t>
  </si>
  <si>
    <t>Lowell city</t>
  </si>
  <si>
    <t>Malden city</t>
  </si>
  <si>
    <t>Medford city</t>
  </si>
  <si>
    <t>Newton city</t>
  </si>
  <si>
    <t>Somerville city</t>
  </si>
  <si>
    <t>Waltham city</t>
  </si>
  <si>
    <t>Quincy city</t>
  </si>
  <si>
    <t>Metheun town</t>
  </si>
  <si>
    <t>Boston city</t>
  </si>
  <si>
    <t>Worcester city</t>
  </si>
  <si>
    <t>Plymouth town</t>
  </si>
  <si>
    <t>Plympton town</t>
  </si>
  <si>
    <t>Rochester town</t>
  </si>
  <si>
    <t>Wareham town</t>
  </si>
  <si>
    <t>Winthrop town</t>
  </si>
  <si>
    <t>Clinton town</t>
  </si>
  <si>
    <t>Gardner town</t>
  </si>
  <si>
    <t>Holden town</t>
  </si>
  <si>
    <t>Suffolk county</t>
  </si>
  <si>
    <t>Baltimore city</t>
  </si>
  <si>
    <t>Aberdeen town</t>
  </si>
  <si>
    <t>Norway town</t>
  </si>
  <si>
    <t>Farmington town</t>
  </si>
  <si>
    <t xml:space="preserve">Portland </t>
  </si>
  <si>
    <t>Shreveport district</t>
  </si>
  <si>
    <t>New Orleans district</t>
  </si>
  <si>
    <t>Lafayette city</t>
  </si>
  <si>
    <t>Lagrange town</t>
  </si>
  <si>
    <t>Gary city</t>
  </si>
  <si>
    <t>Chicago city</t>
  </si>
  <si>
    <t>Oak park township</t>
  </si>
  <si>
    <t>Bainbridge, Dist 513</t>
  </si>
  <si>
    <t>Blakely, Dist 865</t>
  </si>
  <si>
    <t>Cuthbert, Dist 718</t>
  </si>
  <si>
    <t>Perry city</t>
  </si>
  <si>
    <t>Macon city</t>
  </si>
  <si>
    <t>Atlanta district</t>
  </si>
  <si>
    <t>Augusta district</t>
  </si>
  <si>
    <t>Fort Lauderdale, Prec 4</t>
  </si>
  <si>
    <t>Hollywood, Prec 11&amp;11A</t>
  </si>
  <si>
    <t>Jacksonville, Prec 1A to 16B</t>
  </si>
  <si>
    <t>Quincy, Prec 1</t>
  </si>
  <si>
    <t>Palm Beach town</t>
  </si>
  <si>
    <t>Miami Beach</t>
  </si>
  <si>
    <t>DC</t>
  </si>
  <si>
    <t>Greenwich town</t>
  </si>
  <si>
    <t>Sharon town</t>
  </si>
  <si>
    <t>West Haven town</t>
  </si>
  <si>
    <t>Norwich town</t>
  </si>
  <si>
    <t>Stafford town</t>
  </si>
  <si>
    <t>New haven district</t>
  </si>
  <si>
    <t>Oakland township</t>
  </si>
  <si>
    <t>Riverside city</t>
  </si>
  <si>
    <t>San Jose city</t>
  </si>
  <si>
    <t>Los Angeles district</t>
  </si>
  <si>
    <t>Helena, Inc Place</t>
  </si>
  <si>
    <t>Osceola, Inc place</t>
  </si>
  <si>
    <t>West Helena, Inc place</t>
  </si>
  <si>
    <t>Little Rock city</t>
  </si>
  <si>
    <t>Fort Smith city</t>
  </si>
  <si>
    <t>Georgiana town</t>
  </si>
  <si>
    <t>Birmingham city</t>
  </si>
  <si>
    <t>Mobile city</t>
  </si>
  <si>
    <t>Montgomery city</t>
  </si>
  <si>
    <t>Tuscaloosa city</t>
  </si>
  <si>
    <t>Monroe County</t>
  </si>
  <si>
    <t>Tuskegee, Prec 1</t>
  </si>
  <si>
    <t>York, Prec. 6</t>
  </si>
  <si>
    <t>Talladega Inc Place</t>
  </si>
  <si>
    <t>Gadsden city</t>
  </si>
  <si>
    <t>Selma city</t>
  </si>
  <si>
    <t>ICE_race</t>
  </si>
  <si>
    <t>Lynn city</t>
  </si>
  <si>
    <t>Butler</t>
  </si>
  <si>
    <t>Georgiana</t>
  </si>
  <si>
    <t xml:space="preserve">New Haven </t>
  </si>
  <si>
    <t>Essex county</t>
  </si>
  <si>
    <t>Middlesex county</t>
  </si>
  <si>
    <t>Norfolk county</t>
  </si>
  <si>
    <t>Plymouth county</t>
  </si>
  <si>
    <t>Worcester county</t>
  </si>
  <si>
    <t>Gastonia</t>
  </si>
  <si>
    <t xml:space="preserve"> </t>
  </si>
  <si>
    <t>Anderson twp</t>
  </si>
  <si>
    <t>Wilson twp</t>
  </si>
  <si>
    <t>Sand Hill Twp</t>
  </si>
  <si>
    <t>*missing tables</t>
  </si>
  <si>
    <t xml:space="preserve">Norfolk </t>
  </si>
  <si>
    <t xml:space="preserve">Anderson </t>
  </si>
  <si>
    <t>Caswell county</t>
  </si>
  <si>
    <t>Greene county</t>
  </si>
  <si>
    <t>Halifax county</t>
  </si>
  <si>
    <t>Gastonia township</t>
  </si>
  <si>
    <t>Ocean County</t>
  </si>
  <si>
    <t>Litchfield county</t>
  </si>
  <si>
    <t>Fairfield county</t>
  </si>
  <si>
    <t>Phillips county</t>
  </si>
  <si>
    <t>AREAKEY</t>
  </si>
  <si>
    <t>CENSUS PLACE</t>
  </si>
  <si>
    <t>Eden? 370797</t>
  </si>
  <si>
    <t>Union township</t>
  </si>
  <si>
    <t>OWN</t>
  </si>
  <si>
    <t>RENT</t>
  </si>
  <si>
    <t>VACANT</t>
  </si>
  <si>
    <t>TOTAL DWELLING UNITS</t>
  </si>
  <si>
    <t>Elizabethtown township</t>
  </si>
  <si>
    <t>Moncks Corner town</t>
  </si>
  <si>
    <t>NON-RES</t>
  </si>
  <si>
    <t>San Fran-Oakland</t>
  </si>
  <si>
    <t>Dade County</t>
  </si>
  <si>
    <t xml:space="preserve"> Laurel</t>
  </si>
  <si>
    <t>Bennetsville</t>
  </si>
  <si>
    <t>West Helena</t>
  </si>
  <si>
    <t>Charlotte township</t>
  </si>
  <si>
    <t>4=Urban Place, Wards of Cities of 10,000 Inhabitants or More</t>
  </si>
  <si>
    <t>5=Counties, by MCD, and Incorporated Places of 1,000 or More</t>
  </si>
  <si>
    <t>6=Minor Civil Divisions</t>
  </si>
  <si>
    <t>28=Minor Civil Divisions by County</t>
  </si>
  <si>
    <t>29=Incorporated Places of 1,000 -- 2,500</t>
  </si>
  <si>
    <t>30=Incorporated Places 2,500 -- 10,000</t>
  </si>
  <si>
    <t>31/32=Cities of 10,000 -- 100,000</t>
  </si>
  <si>
    <t>34=Cities of 50,000+</t>
  </si>
  <si>
    <t>35=City</t>
  </si>
  <si>
    <t>52=Metropolitan District</t>
  </si>
  <si>
    <t>34=Standard Metropolitan Areas, Urbanized Areas, and Urban Places of 10,000+</t>
  </si>
  <si>
    <t>38=Urban Places of 2,500-10,000</t>
  </si>
  <si>
    <t>40-Places of 1,000 - 2,500</t>
  </si>
  <si>
    <t>41/42=Counties</t>
  </si>
  <si>
    <t>Level/County</t>
  </si>
  <si>
    <t>Holden-Jefferson</t>
  </si>
  <si>
    <t>25/26=Counties</t>
  </si>
  <si>
    <t>22=Urban Places of 2,500 - 10,000</t>
  </si>
  <si>
    <t>17=Standard Metropolitan Areas and Parts, Urbanized Areas, and Urban Places of 10,000+</t>
  </si>
  <si>
    <t>21=Standard Metropolitan Statistical Areas, Urbanized Areas, and Urban Places of 10,000+</t>
  </si>
  <si>
    <t>22=Urban Places of 2,500 -- 10,000</t>
  </si>
  <si>
    <t>23=Places of 1,000 - 2,500</t>
  </si>
  <si>
    <t>25= Minor Civil Divisions</t>
  </si>
  <si>
    <t>12=SMSAs, Counties, Places of 50,000+</t>
  </si>
  <si>
    <t>18=Places of 25,000 - 50,000</t>
  </si>
  <si>
    <t>25=Places of 2,500 - 10,000</t>
  </si>
  <si>
    <t>28=Counties Outside SMSAs</t>
  </si>
  <si>
    <t>31=Counties</t>
  </si>
  <si>
    <t>1970 AREAKEY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</si>
</sst>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5"/>
  <sheetViews>
    <sheetView zoomScaleNormal="100" workbookViewId="0">
      <pane xSplit="4" ySplit="2" topLeftCell="J3" activePane="bottomRight" state="frozen"/>
      <selection pane="topRight" activeCell="D1" sqref="D1"/>
      <selection pane="bottomLeft" activeCell="A2" sqref="A2"/>
      <selection pane="bottomRight" activeCell="X4" sqref="X4"/>
    </sheetView>
  </sheetViews>
  <sheetFormatPr baseColWidth="10" defaultColWidth="8.83203125" defaultRowHeight="15" x14ac:dyDescent="0.2"/>
  <cols>
    <col min="1" max="1" width="15" customWidth="1"/>
    <col min="2" max="2" width="10.6640625" customWidth="1"/>
    <col min="3" max="3" width="14.83203125" customWidth="1"/>
    <col min="4" max="4" width="12.5" customWidth="1"/>
    <col min="5" max="5" width="14.33203125" style="3" customWidth="1"/>
    <col min="6" max="6" width="26.6640625" customWidth="1"/>
    <col min="15" max="15" width="12.5" customWidth="1"/>
    <col min="16" max="16" width="16.33203125" customWidth="1"/>
    <col min="19" max="19" width="11" bestFit="1" customWidth="1"/>
  </cols>
  <sheetData>
    <row r="1" spans="1:34" x14ac:dyDescent="0.2">
      <c r="A1" t="s">
        <v>631</v>
      </c>
      <c r="E1" s="11">
        <v>1940</v>
      </c>
      <c r="F1" s="11"/>
      <c r="G1" s="11"/>
      <c r="H1" s="11"/>
      <c r="I1" s="11"/>
      <c r="J1" s="11"/>
      <c r="K1" s="11"/>
      <c r="L1" s="11"/>
      <c r="M1" s="11"/>
      <c r="N1" s="12"/>
      <c r="O1" s="13">
        <v>1950</v>
      </c>
      <c r="P1" s="14"/>
      <c r="Q1" s="14"/>
      <c r="R1" s="14"/>
      <c r="S1" s="14"/>
      <c r="T1" s="14"/>
      <c r="U1" s="14"/>
      <c r="V1" s="14"/>
      <c r="W1" s="14"/>
      <c r="X1" s="14"/>
      <c r="Y1" s="13">
        <v>1960</v>
      </c>
      <c r="Z1" s="14"/>
      <c r="AA1" s="14"/>
      <c r="AB1" s="14"/>
      <c r="AC1" s="14"/>
      <c r="AD1" s="14"/>
      <c r="AE1" s="14"/>
      <c r="AF1" s="14"/>
      <c r="AG1" s="14"/>
      <c r="AH1" s="14"/>
    </row>
    <row r="2" spans="1:34" x14ac:dyDescent="0.2">
      <c r="A2" t="s">
        <v>630</v>
      </c>
      <c r="B2" t="s">
        <v>377</v>
      </c>
      <c r="C2" t="s">
        <v>378</v>
      </c>
      <c r="D2" t="s">
        <v>379</v>
      </c>
      <c r="E2" s="4" t="s">
        <v>383</v>
      </c>
      <c r="F2" s="5" t="s">
        <v>384</v>
      </c>
      <c r="G2" s="5" t="s">
        <v>661</v>
      </c>
      <c r="H2" s="5" t="s">
        <v>380</v>
      </c>
      <c r="I2" s="5" t="s">
        <v>381</v>
      </c>
      <c r="J2" s="5" t="s">
        <v>382</v>
      </c>
      <c r="K2" s="5" t="s">
        <v>388</v>
      </c>
      <c r="L2" s="5" t="s">
        <v>387</v>
      </c>
      <c r="M2" s="5" t="s">
        <v>389</v>
      </c>
      <c r="N2" s="6" t="s">
        <v>604</v>
      </c>
      <c r="O2" s="3" t="s">
        <v>383</v>
      </c>
      <c r="P2" t="s">
        <v>384</v>
      </c>
      <c r="Q2" t="s">
        <v>661</v>
      </c>
      <c r="R2" t="s">
        <v>380</v>
      </c>
      <c r="S2" t="s">
        <v>381</v>
      </c>
      <c r="T2" t="s">
        <v>382</v>
      </c>
      <c r="U2" t="s">
        <v>388</v>
      </c>
      <c r="V2" t="s">
        <v>387</v>
      </c>
      <c r="W2" t="s">
        <v>389</v>
      </c>
      <c r="X2" s="6" t="s">
        <v>604</v>
      </c>
      <c r="Y2" s="3" t="s">
        <v>383</v>
      </c>
      <c r="Z2" t="s">
        <v>384</v>
      </c>
      <c r="AA2" t="s">
        <v>661</v>
      </c>
      <c r="AB2" t="s">
        <v>380</v>
      </c>
      <c r="AC2" t="s">
        <v>381</v>
      </c>
      <c r="AD2" t="s">
        <v>382</v>
      </c>
      <c r="AE2" t="s">
        <v>388</v>
      </c>
      <c r="AF2" t="s">
        <v>387</v>
      </c>
      <c r="AG2" t="s">
        <v>389</v>
      </c>
      <c r="AH2" s="6" t="s">
        <v>604</v>
      </c>
    </row>
    <row r="3" spans="1:34" x14ac:dyDescent="0.2">
      <c r="A3">
        <v>10560</v>
      </c>
      <c r="B3" t="s">
        <v>0</v>
      </c>
      <c r="C3" t="s">
        <v>1</v>
      </c>
      <c r="D3" t="s">
        <v>2</v>
      </c>
      <c r="E3" s="4">
        <v>28</v>
      </c>
      <c r="F3" s="5" t="s">
        <v>1</v>
      </c>
      <c r="G3" s="5"/>
      <c r="H3" s="5">
        <v>9411</v>
      </c>
      <c r="I3" s="5">
        <f>2022+2188+8+4</f>
        <v>4222</v>
      </c>
      <c r="J3" s="5">
        <f>2367+2822</f>
        <v>5189</v>
      </c>
      <c r="K3" s="5">
        <v>0</v>
      </c>
      <c r="L3" s="5">
        <f t="shared" ref="L3:L15" si="0">I3+J3+K3</f>
        <v>9411</v>
      </c>
      <c r="M3" s="5">
        <f t="shared" ref="M3:M15" si="1">L3-H3</f>
        <v>0</v>
      </c>
      <c r="N3" s="6">
        <f t="shared" ref="N3:N15" si="2">(I3-J3)/H3</f>
        <v>-0.1027520986080119</v>
      </c>
      <c r="O3">
        <v>38</v>
      </c>
      <c r="R3">
        <v>6906</v>
      </c>
      <c r="S3">
        <f>1778+7+2009+12</f>
        <v>3806</v>
      </c>
      <c r="T3">
        <f>1365+1733</f>
        <v>3098</v>
      </c>
      <c r="U3">
        <f>1+1</f>
        <v>2</v>
      </c>
      <c r="V3">
        <f t="shared" ref="V3:V15" si="3">SUM(S3:U3)</f>
        <v>6906</v>
      </c>
      <c r="W3">
        <f t="shared" ref="W3:W15" si="4">R3-V3</f>
        <v>0</v>
      </c>
      <c r="X3" s="6">
        <f t="shared" ref="X3:X15" si="5">(S3-T3)/R3</f>
        <v>0.10251954821894005</v>
      </c>
      <c r="Y3">
        <v>22</v>
      </c>
      <c r="AB3">
        <v>8357</v>
      </c>
      <c r="AC3">
        <v>4790</v>
      </c>
      <c r="AD3">
        <v>3559</v>
      </c>
      <c r="AE3">
        <v>8</v>
      </c>
      <c r="AF3">
        <f t="shared" ref="AF3:AF15" si="6">SUM(AC3:AE3)</f>
        <v>8357</v>
      </c>
      <c r="AG3">
        <f t="shared" ref="AG3:AG15" si="7">AB3-AF3</f>
        <v>0</v>
      </c>
      <c r="AH3">
        <f t="shared" ref="AH3:AH15" si="8">(AC3-AD3)/AB3</f>
        <v>0.14730166327629532</v>
      </c>
    </row>
    <row r="4" spans="1:34" x14ac:dyDescent="0.2">
      <c r="A4">
        <v>11555</v>
      </c>
      <c r="B4" t="s">
        <v>0</v>
      </c>
      <c r="C4" t="s">
        <v>3</v>
      </c>
      <c r="D4" t="s">
        <v>4</v>
      </c>
      <c r="E4" s="4">
        <v>32</v>
      </c>
      <c r="F4" s="5" t="s">
        <v>603</v>
      </c>
      <c r="G4" s="5"/>
      <c r="H4" s="5">
        <v>19834</v>
      </c>
      <c r="I4" s="5">
        <f>4149+4632+57+37</f>
        <v>8875</v>
      </c>
      <c r="J4" s="5">
        <f>4691+6267</f>
        <v>10958</v>
      </c>
      <c r="K4" s="5">
        <f>1</f>
        <v>1</v>
      </c>
      <c r="L4" s="5">
        <f t="shared" si="0"/>
        <v>19834</v>
      </c>
      <c r="M4" s="5">
        <f t="shared" si="1"/>
        <v>0</v>
      </c>
      <c r="N4" s="6">
        <f>(I4-J4)/H4</f>
        <v>-0.10502167994353132</v>
      </c>
      <c r="O4">
        <v>34</v>
      </c>
      <c r="R4">
        <v>22840</v>
      </c>
      <c r="S4">
        <f>4644+65+5465+55</f>
        <v>10229</v>
      </c>
      <c r="T4">
        <f>5480+7127</f>
        <v>12607</v>
      </c>
      <c r="U4">
        <f>1+3</f>
        <v>4</v>
      </c>
      <c r="V4">
        <f t="shared" si="3"/>
        <v>22840</v>
      </c>
      <c r="W4">
        <f t="shared" si="4"/>
        <v>0</v>
      </c>
      <c r="X4" s="6">
        <f t="shared" si="5"/>
        <v>-0.10411558669001751</v>
      </c>
      <c r="Y4">
        <v>21</v>
      </c>
      <c r="AB4">
        <v>28385</v>
      </c>
      <c r="AC4">
        <f>6702+7714</f>
        <v>14416</v>
      </c>
      <c r="AD4">
        <f>6156+7811</f>
        <v>13967</v>
      </c>
      <c r="AE4">
        <f>1+1</f>
        <v>2</v>
      </c>
      <c r="AF4">
        <f t="shared" si="6"/>
        <v>28385</v>
      </c>
      <c r="AG4">
        <f t="shared" si="7"/>
        <v>0</v>
      </c>
      <c r="AH4">
        <f t="shared" si="8"/>
        <v>1.5818213845340851E-2</v>
      </c>
    </row>
    <row r="5" spans="1:34" x14ac:dyDescent="0.2">
      <c r="A5">
        <v>10685</v>
      </c>
      <c r="B5" t="s">
        <v>0</v>
      </c>
      <c r="C5" t="s">
        <v>5</v>
      </c>
      <c r="D5" t="s">
        <v>6</v>
      </c>
      <c r="E5" s="4">
        <v>28</v>
      </c>
      <c r="F5" s="5" t="s">
        <v>602</v>
      </c>
      <c r="G5" s="5"/>
      <c r="H5" s="5">
        <v>21544</v>
      </c>
      <c r="I5" s="5">
        <f>7236+7786+61+38</f>
        <v>15121</v>
      </c>
      <c r="J5" s="5">
        <f>3103+3320</f>
        <v>6423</v>
      </c>
      <c r="K5" s="5">
        <v>0</v>
      </c>
      <c r="L5" s="5">
        <f t="shared" si="0"/>
        <v>21544</v>
      </c>
      <c r="M5" s="5">
        <f t="shared" si="1"/>
        <v>0</v>
      </c>
      <c r="N5" s="6">
        <f>(I5-J5)/H5</f>
        <v>0.40373189751206834</v>
      </c>
      <c r="O5">
        <v>34</v>
      </c>
      <c r="R5">
        <v>55725</v>
      </c>
      <c r="S5">
        <f>21473+109+23219+107</f>
        <v>44908</v>
      </c>
      <c r="T5">
        <f>5189+5619</f>
        <v>10808</v>
      </c>
      <c r="U5">
        <f>6+3</f>
        <v>9</v>
      </c>
      <c r="V5">
        <f t="shared" si="3"/>
        <v>55725</v>
      </c>
      <c r="W5">
        <f t="shared" si="4"/>
        <v>0</v>
      </c>
      <c r="X5" s="6">
        <f t="shared" si="5"/>
        <v>0.61193360251233742</v>
      </c>
      <c r="Y5">
        <v>21</v>
      </c>
      <c r="AB5">
        <v>58088</v>
      </c>
      <c r="AC5">
        <f>21912+23855</f>
        <v>45767</v>
      </c>
      <c r="AD5">
        <f>5827+6474</f>
        <v>12301</v>
      </c>
      <c r="AE5">
        <f>1+6+2+10+1</f>
        <v>20</v>
      </c>
      <c r="AF5">
        <f t="shared" si="6"/>
        <v>58088</v>
      </c>
      <c r="AG5">
        <f t="shared" si="7"/>
        <v>0</v>
      </c>
      <c r="AH5">
        <f t="shared" si="8"/>
        <v>0.57612587797823989</v>
      </c>
    </row>
    <row r="6" spans="1:34" x14ac:dyDescent="0.2">
      <c r="A6">
        <v>10785</v>
      </c>
      <c r="B6" t="s">
        <v>0</v>
      </c>
      <c r="C6" t="s">
        <v>7</v>
      </c>
      <c r="D6" t="s">
        <v>8</v>
      </c>
      <c r="E6" s="4">
        <v>28</v>
      </c>
      <c r="F6" s="5" t="s">
        <v>7</v>
      </c>
      <c r="G6" s="5"/>
      <c r="H6" s="5">
        <v>5854</v>
      </c>
      <c r="I6" s="5">
        <f>853+898+3+1</f>
        <v>1755</v>
      </c>
      <c r="J6" s="5">
        <f>1965+2134</f>
        <v>4099</v>
      </c>
      <c r="K6" s="5">
        <v>0</v>
      </c>
      <c r="L6" s="5">
        <f t="shared" si="0"/>
        <v>5854</v>
      </c>
      <c r="M6" s="5">
        <f t="shared" si="1"/>
        <v>0</v>
      </c>
      <c r="N6" s="6">
        <f t="shared" si="2"/>
        <v>-0.40040997608472839</v>
      </c>
      <c r="O6">
        <v>40</v>
      </c>
      <c r="R6">
        <v>2217</v>
      </c>
      <c r="S6">
        <f>569+665+2+3</f>
        <v>1239</v>
      </c>
      <c r="T6">
        <f>423+554</f>
        <v>977</v>
      </c>
      <c r="U6">
        <v>1</v>
      </c>
      <c r="V6">
        <f t="shared" si="3"/>
        <v>2217</v>
      </c>
      <c r="W6">
        <f t="shared" si="4"/>
        <v>0</v>
      </c>
      <c r="X6" s="6">
        <f t="shared" si="5"/>
        <v>0.11817771763644565</v>
      </c>
      <c r="Y6">
        <v>22</v>
      </c>
      <c r="AB6">
        <v>3081</v>
      </c>
      <c r="AC6">
        <v>1393</v>
      </c>
      <c r="AD6">
        <v>1688</v>
      </c>
      <c r="AF6">
        <f t="shared" si="6"/>
        <v>3081</v>
      </c>
      <c r="AG6">
        <f t="shared" si="7"/>
        <v>0</v>
      </c>
      <c r="AH6">
        <f t="shared" si="8"/>
        <v>-9.5748133722817264E-2</v>
      </c>
    </row>
    <row r="7" spans="1:34" x14ac:dyDescent="0.2">
      <c r="A7">
        <v>10185</v>
      </c>
      <c r="B7" t="s">
        <v>0</v>
      </c>
      <c r="C7" t="s">
        <v>9</v>
      </c>
      <c r="D7" t="s">
        <v>10</v>
      </c>
      <c r="E7" s="4">
        <v>35</v>
      </c>
      <c r="F7" s="5" t="s">
        <v>594</v>
      </c>
      <c r="G7" s="5"/>
      <c r="H7" s="5">
        <v>267583</v>
      </c>
      <c r="I7" s="5">
        <f>154197+4425</f>
        <v>158622</v>
      </c>
      <c r="J7" s="5">
        <f>108938</f>
        <v>108938</v>
      </c>
      <c r="K7" s="5">
        <v>23</v>
      </c>
      <c r="L7" s="5">
        <f t="shared" si="0"/>
        <v>267583</v>
      </c>
      <c r="M7" s="5">
        <f t="shared" si="1"/>
        <v>0</v>
      </c>
      <c r="N7" s="6">
        <f>(I7-J7)/H7</f>
        <v>0.18567696752035817</v>
      </c>
      <c r="O7">
        <v>34</v>
      </c>
      <c r="R7">
        <v>326037</v>
      </c>
      <c r="S7">
        <f>91286+1971+100740+1925</f>
        <v>195922</v>
      </c>
      <c r="T7">
        <f>60441+69584</f>
        <v>130025</v>
      </c>
      <c r="U7">
        <f>51+39</f>
        <v>90</v>
      </c>
      <c r="V7">
        <f t="shared" si="3"/>
        <v>326037</v>
      </c>
      <c r="W7">
        <f t="shared" si="4"/>
        <v>0</v>
      </c>
      <c r="X7" s="6">
        <f t="shared" si="5"/>
        <v>0.20211509736624983</v>
      </c>
      <c r="Y7">
        <v>21</v>
      </c>
      <c r="AB7">
        <v>340887</v>
      </c>
      <c r="AC7">
        <f>96646+108974</f>
        <v>205620</v>
      </c>
      <c r="AD7">
        <f>63180+71933</f>
        <v>135113</v>
      </c>
      <c r="AE7">
        <f>18+11+23+3+23+20+20+12+8+16</f>
        <v>154</v>
      </c>
      <c r="AF7">
        <f t="shared" si="6"/>
        <v>340887</v>
      </c>
      <c r="AG7">
        <f t="shared" si="7"/>
        <v>0</v>
      </c>
      <c r="AH7">
        <f t="shared" si="8"/>
        <v>0.20683393617239731</v>
      </c>
    </row>
    <row r="8" spans="1:34" x14ac:dyDescent="0.2">
      <c r="A8">
        <v>11730</v>
      </c>
      <c r="B8" t="s">
        <v>0</v>
      </c>
      <c r="C8" t="s">
        <v>11</v>
      </c>
      <c r="D8" t="s">
        <v>12</v>
      </c>
      <c r="E8" s="4">
        <v>28</v>
      </c>
      <c r="F8" s="5" t="s">
        <v>599</v>
      </c>
      <c r="G8" s="5"/>
      <c r="H8" s="5">
        <v>9886</v>
      </c>
      <c r="I8" s="5">
        <f>775+8+799+8</f>
        <v>1590</v>
      </c>
      <c r="J8" s="5">
        <f>4114+4182</f>
        <v>8296</v>
      </c>
      <c r="K8" s="5">
        <v>0</v>
      </c>
      <c r="L8" s="5">
        <f t="shared" si="0"/>
        <v>9886</v>
      </c>
      <c r="M8" s="5">
        <f t="shared" si="1"/>
        <v>0</v>
      </c>
      <c r="N8" s="6">
        <f t="shared" si="2"/>
        <v>-0.67833299615618048</v>
      </c>
      <c r="O8">
        <v>38</v>
      </c>
      <c r="R8">
        <v>6712</v>
      </c>
      <c r="S8">
        <f>623+7+675+5</f>
        <v>1310</v>
      </c>
      <c r="T8">
        <f>2766+2631</f>
        <v>5397</v>
      </c>
      <c r="U8">
        <f>4+1</f>
        <v>5</v>
      </c>
      <c r="V8">
        <f t="shared" si="3"/>
        <v>6712</v>
      </c>
      <c r="W8">
        <f t="shared" si="4"/>
        <v>0</v>
      </c>
      <c r="X8" s="6">
        <f t="shared" si="5"/>
        <v>-0.60890941597139447</v>
      </c>
      <c r="Y8">
        <v>23</v>
      </c>
      <c r="AB8">
        <v>1750</v>
      </c>
      <c r="AC8">
        <v>1326</v>
      </c>
      <c r="AD8">
        <v>424</v>
      </c>
      <c r="AF8">
        <f t="shared" si="6"/>
        <v>1750</v>
      </c>
      <c r="AG8">
        <f t="shared" si="7"/>
        <v>0</v>
      </c>
      <c r="AH8">
        <f t="shared" si="8"/>
        <v>0.51542857142857146</v>
      </c>
    </row>
    <row r="9" spans="1:34" x14ac:dyDescent="0.2">
      <c r="A9">
        <v>11165</v>
      </c>
      <c r="B9" t="s">
        <v>0</v>
      </c>
      <c r="C9" t="s">
        <v>13</v>
      </c>
      <c r="D9" t="s">
        <v>13</v>
      </c>
      <c r="E9" s="4">
        <v>28</v>
      </c>
      <c r="F9" s="5" t="s">
        <v>595</v>
      </c>
      <c r="G9" s="5"/>
      <c r="H9" s="5">
        <v>78720</v>
      </c>
      <c r="I9" s="5">
        <f>23001+25133+897+575</f>
        <v>49606</v>
      </c>
      <c r="J9" s="5">
        <f>13224+15822</f>
        <v>29046</v>
      </c>
      <c r="K9" s="5">
        <f>46+22</f>
        <v>68</v>
      </c>
      <c r="L9" s="5">
        <f t="shared" si="0"/>
        <v>78720</v>
      </c>
      <c r="M9" s="5">
        <f t="shared" si="1"/>
        <v>0</v>
      </c>
      <c r="N9" s="6">
        <f t="shared" si="2"/>
        <v>0.26117886178861788</v>
      </c>
      <c r="O9">
        <v>34</v>
      </c>
      <c r="R9">
        <v>129009</v>
      </c>
      <c r="S9">
        <f>38528+974+42833+769</f>
        <v>83104</v>
      </c>
      <c r="T9">
        <f>21451+24368</f>
        <v>45819</v>
      </c>
      <c r="U9">
        <f>56+30</f>
        <v>86</v>
      </c>
      <c r="V9">
        <f t="shared" si="3"/>
        <v>129009</v>
      </c>
      <c r="W9">
        <f t="shared" si="4"/>
        <v>0</v>
      </c>
      <c r="X9" s="6">
        <f t="shared" si="5"/>
        <v>0.28901084420466788</v>
      </c>
      <c r="Y9">
        <v>21</v>
      </c>
      <c r="AB9">
        <v>202779</v>
      </c>
      <c r="AC9">
        <f>66412+70474</f>
        <v>136886</v>
      </c>
      <c r="AD9">
        <f>30888+34731</f>
        <v>65619</v>
      </c>
      <c r="AE9">
        <f>27+12+24+24+49+22+28+27+12+49</f>
        <v>274</v>
      </c>
      <c r="AF9">
        <f t="shared" si="6"/>
        <v>202779</v>
      </c>
      <c r="AG9">
        <f t="shared" si="7"/>
        <v>0</v>
      </c>
      <c r="AH9">
        <f t="shared" si="8"/>
        <v>0.35145158029184481</v>
      </c>
    </row>
    <row r="10" spans="1:34" x14ac:dyDescent="0.2">
      <c r="A10">
        <v>1099</v>
      </c>
      <c r="B10" t="s">
        <v>0</v>
      </c>
      <c r="C10" s="2" t="s">
        <v>14</v>
      </c>
      <c r="D10" t="s">
        <v>14</v>
      </c>
      <c r="E10" s="4">
        <v>28</v>
      </c>
      <c r="F10" s="5" t="s">
        <v>598</v>
      </c>
      <c r="G10" s="5">
        <v>1</v>
      </c>
      <c r="H10" s="5">
        <v>29465</v>
      </c>
      <c r="I10" s="5">
        <f>6961+6870+11+6</f>
        <v>13848</v>
      </c>
      <c r="J10" s="5">
        <f>7605+7988</f>
        <v>15593</v>
      </c>
      <c r="K10" s="5">
        <f>16+8</f>
        <v>24</v>
      </c>
      <c r="L10" s="5">
        <f t="shared" si="0"/>
        <v>29465</v>
      </c>
      <c r="M10" s="5">
        <f t="shared" si="1"/>
        <v>0</v>
      </c>
      <c r="N10" s="6">
        <f t="shared" si="2"/>
        <v>-5.9222806719837096E-2</v>
      </c>
      <c r="O10">
        <v>42</v>
      </c>
      <c r="R10">
        <v>25732</v>
      </c>
      <c r="S10">
        <f>6236+14+6311+16</f>
        <v>12577</v>
      </c>
      <c r="T10">
        <f>6429+6726</f>
        <v>13155</v>
      </c>
      <c r="U10">
        <v>0</v>
      </c>
      <c r="V10">
        <f t="shared" si="3"/>
        <v>25732</v>
      </c>
      <c r="W10">
        <f t="shared" si="4"/>
        <v>0</v>
      </c>
      <c r="X10" s="6">
        <f t="shared" si="5"/>
        <v>-2.2462303746308098E-2</v>
      </c>
      <c r="Y10">
        <v>25</v>
      </c>
      <c r="AA10">
        <v>1</v>
      </c>
      <c r="AB10">
        <f>2664+4704+6713+2528+2115+3648</f>
        <v>22372</v>
      </c>
      <c r="AC10">
        <f>786+3592+3733+610+1411+898</f>
        <v>11030</v>
      </c>
      <c r="AD10">
        <f>1878+1106+2979+1916+695+2750</f>
        <v>11324</v>
      </c>
      <c r="AE10">
        <f>6+1+2+9</f>
        <v>18</v>
      </c>
      <c r="AF10">
        <f t="shared" si="6"/>
        <v>22372</v>
      </c>
      <c r="AG10">
        <f t="shared" si="7"/>
        <v>0</v>
      </c>
      <c r="AH10">
        <f t="shared" si="8"/>
        <v>-1.3141426783479349E-2</v>
      </c>
    </row>
    <row r="11" spans="1:34" x14ac:dyDescent="0.2">
      <c r="A11">
        <v>11180</v>
      </c>
      <c r="B11" t="s">
        <v>0</v>
      </c>
      <c r="C11" t="s">
        <v>15</v>
      </c>
      <c r="D11" t="s">
        <v>15</v>
      </c>
      <c r="E11" s="4">
        <v>28</v>
      </c>
      <c r="F11" s="5" t="s">
        <v>596</v>
      </c>
      <c r="G11" s="5"/>
      <c r="H11" s="5">
        <v>78084</v>
      </c>
      <c r="I11" s="5">
        <f>20519+22436+338+254</f>
        <v>43547</v>
      </c>
      <c r="J11" s="5">
        <f>14942+19593</f>
        <v>34535</v>
      </c>
      <c r="K11" s="5">
        <f>1+1</f>
        <v>2</v>
      </c>
      <c r="L11" s="5">
        <f t="shared" si="0"/>
        <v>78084</v>
      </c>
      <c r="M11" s="5">
        <f t="shared" si="1"/>
        <v>0</v>
      </c>
      <c r="N11" s="6">
        <f t="shared" si="2"/>
        <v>0.11541416935607807</v>
      </c>
      <c r="O11">
        <v>34</v>
      </c>
      <c r="R11">
        <v>106525</v>
      </c>
      <c r="S11">
        <f>29887+383+33227+473</f>
        <v>63970</v>
      </c>
      <c r="T11">
        <f>18698+23840</f>
        <v>42538</v>
      </c>
      <c r="U11">
        <f>10+7</f>
        <v>17</v>
      </c>
      <c r="V11">
        <f t="shared" si="3"/>
        <v>106525</v>
      </c>
      <c r="W11">
        <f t="shared" si="4"/>
        <v>0</v>
      </c>
      <c r="X11" s="6">
        <f t="shared" si="5"/>
        <v>0.20119220840178362</v>
      </c>
      <c r="Y11">
        <v>21</v>
      </c>
      <c r="AB11">
        <v>134393</v>
      </c>
      <c r="AC11">
        <f>41356+45605</f>
        <v>86961</v>
      </c>
      <c r="AD11">
        <f>21177+26021</f>
        <v>47198</v>
      </c>
      <c r="AE11">
        <f>12+17+18+11+88+15+36+13+13+11</f>
        <v>234</v>
      </c>
      <c r="AF11">
        <f t="shared" si="6"/>
        <v>134393</v>
      </c>
      <c r="AG11">
        <f t="shared" si="7"/>
        <v>0</v>
      </c>
      <c r="AH11">
        <f t="shared" si="8"/>
        <v>0.29587106471319191</v>
      </c>
    </row>
    <row r="12" spans="1:34" x14ac:dyDescent="0.2">
      <c r="A12">
        <v>11850</v>
      </c>
      <c r="B12" t="s">
        <v>0</v>
      </c>
      <c r="C12" t="s">
        <v>16</v>
      </c>
      <c r="D12" t="s">
        <v>17</v>
      </c>
      <c r="E12" s="4">
        <v>28</v>
      </c>
      <c r="F12" s="5" t="s">
        <v>600</v>
      </c>
      <c r="G12" s="5"/>
      <c r="H12" s="5">
        <v>3084</v>
      </c>
      <c r="I12" s="5">
        <f>692+710+1</f>
        <v>1403</v>
      </c>
      <c r="J12" s="5">
        <f>771+910</f>
        <v>1681</v>
      </c>
      <c r="K12" s="5">
        <v>0</v>
      </c>
      <c r="L12" s="5">
        <f t="shared" si="0"/>
        <v>3084</v>
      </c>
      <c r="M12" s="5">
        <f t="shared" si="1"/>
        <v>0</v>
      </c>
      <c r="N12" s="6">
        <f t="shared" si="2"/>
        <v>-9.014267185473411E-2</v>
      </c>
      <c r="O12">
        <v>40</v>
      </c>
      <c r="R12">
        <v>1774</v>
      </c>
      <c r="S12">
        <f>530+593+1+3</f>
        <v>1127</v>
      </c>
      <c r="T12">
        <f>291+356</f>
        <v>647</v>
      </c>
      <c r="U12">
        <v>0</v>
      </c>
      <c r="V12">
        <f t="shared" si="3"/>
        <v>1774</v>
      </c>
      <c r="W12">
        <f t="shared" si="4"/>
        <v>0</v>
      </c>
      <c r="X12" s="6">
        <f t="shared" si="5"/>
        <v>0.27057497181510709</v>
      </c>
      <c r="Y12">
        <v>22</v>
      </c>
      <c r="AB12">
        <v>2932</v>
      </c>
      <c r="AC12">
        <v>1296</v>
      </c>
      <c r="AD12">
        <v>1636</v>
      </c>
      <c r="AF12">
        <f t="shared" si="6"/>
        <v>2932</v>
      </c>
      <c r="AG12">
        <f t="shared" si="7"/>
        <v>0</v>
      </c>
      <c r="AH12">
        <f t="shared" si="8"/>
        <v>-0.11596180081855388</v>
      </c>
    </row>
    <row r="13" spans="1:34" x14ac:dyDescent="0.2">
      <c r="A13">
        <v>11655</v>
      </c>
      <c r="B13" t="s">
        <v>0</v>
      </c>
      <c r="C13" t="s">
        <v>18</v>
      </c>
      <c r="D13" t="s">
        <v>18</v>
      </c>
      <c r="E13" s="4">
        <v>30</v>
      </c>
      <c r="F13" s="5" t="s">
        <v>601</v>
      </c>
      <c r="G13" s="5"/>
      <c r="H13" s="5">
        <v>9298</v>
      </c>
      <c r="I13" s="5">
        <f>6310+26</f>
        <v>6336</v>
      </c>
      <c r="J13" s="5">
        <v>2961</v>
      </c>
      <c r="K13" s="5">
        <v>1</v>
      </c>
      <c r="L13" s="5">
        <f t="shared" si="0"/>
        <v>9298</v>
      </c>
      <c r="M13" s="5">
        <f t="shared" si="1"/>
        <v>0</v>
      </c>
      <c r="N13" s="6">
        <f t="shared" si="2"/>
        <v>0.36298128629812865</v>
      </c>
      <c r="O13">
        <v>34</v>
      </c>
      <c r="R13">
        <v>13134</v>
      </c>
      <c r="S13">
        <f>4070+14+4400+7</f>
        <v>8491</v>
      </c>
      <c r="T13">
        <f>2129+2512</f>
        <v>4641</v>
      </c>
      <c r="U13">
        <f>1+1</f>
        <v>2</v>
      </c>
      <c r="V13">
        <f t="shared" si="3"/>
        <v>13134</v>
      </c>
      <c r="W13">
        <f t="shared" si="4"/>
        <v>0</v>
      </c>
      <c r="X13" s="6">
        <f t="shared" si="5"/>
        <v>0.29313232830820768</v>
      </c>
      <c r="Y13">
        <v>21</v>
      </c>
      <c r="AB13">
        <v>17742</v>
      </c>
      <c r="AC13">
        <f>5797+6129</f>
        <v>11926</v>
      </c>
      <c r="AD13">
        <f>2721+3093</f>
        <v>5814</v>
      </c>
      <c r="AE13">
        <f>2</f>
        <v>2</v>
      </c>
      <c r="AF13">
        <f t="shared" si="6"/>
        <v>17742</v>
      </c>
      <c r="AG13">
        <f t="shared" si="7"/>
        <v>0</v>
      </c>
      <c r="AH13">
        <f t="shared" si="8"/>
        <v>0.34449329275166274</v>
      </c>
    </row>
    <row r="14" spans="1:34" x14ac:dyDescent="0.2">
      <c r="A14">
        <v>11720</v>
      </c>
      <c r="B14" t="s">
        <v>0</v>
      </c>
      <c r="C14" t="s">
        <v>19</v>
      </c>
      <c r="D14" t="s">
        <v>19</v>
      </c>
      <c r="E14" s="4">
        <v>32</v>
      </c>
      <c r="F14" s="5" t="s">
        <v>597</v>
      </c>
      <c r="G14" s="5"/>
      <c r="H14" s="5">
        <v>27493</v>
      </c>
      <c r="I14" s="5">
        <f>8137+8994+102+81</f>
        <v>17314</v>
      </c>
      <c r="J14" s="5">
        <f>4581+5597</f>
        <v>10178</v>
      </c>
      <c r="K14" s="5">
        <v>1</v>
      </c>
      <c r="L14" s="5">
        <f t="shared" si="0"/>
        <v>27493</v>
      </c>
      <c r="M14" s="5">
        <f t="shared" si="1"/>
        <v>0</v>
      </c>
      <c r="N14" s="6">
        <f t="shared" si="2"/>
        <v>0.25955697813989015</v>
      </c>
      <c r="O14">
        <v>34</v>
      </c>
      <c r="R14">
        <v>46396</v>
      </c>
      <c r="S14">
        <f>17182+134+16568+139</f>
        <v>34023</v>
      </c>
      <c r="T14">
        <f>5665+6705</f>
        <v>12370</v>
      </c>
      <c r="U14">
        <f>1+2</f>
        <v>3</v>
      </c>
      <c r="V14">
        <f t="shared" si="3"/>
        <v>46396</v>
      </c>
      <c r="W14">
        <f t="shared" si="4"/>
        <v>0</v>
      </c>
      <c r="X14" s="6">
        <f t="shared" si="5"/>
        <v>0.46669971549271488</v>
      </c>
      <c r="Y14">
        <v>21</v>
      </c>
      <c r="AB14">
        <v>63370</v>
      </c>
      <c r="AC14">
        <f>22221+22242</f>
        <v>44463</v>
      </c>
      <c r="AD14">
        <f>8651+10232</f>
        <v>18883</v>
      </c>
      <c r="AE14">
        <f>2+1+6+7+1+1+1+5</f>
        <v>24</v>
      </c>
      <c r="AF14">
        <f t="shared" si="6"/>
        <v>63370</v>
      </c>
      <c r="AG14">
        <f t="shared" si="7"/>
        <v>0</v>
      </c>
      <c r="AH14">
        <f t="shared" si="8"/>
        <v>0.40366103834622064</v>
      </c>
    </row>
    <row r="15" spans="1:34" x14ac:dyDescent="0.2">
      <c r="A15">
        <v>1013</v>
      </c>
      <c r="B15" t="s">
        <v>0</v>
      </c>
      <c r="C15" t="s">
        <v>20</v>
      </c>
      <c r="D15" t="s">
        <v>606</v>
      </c>
      <c r="E15" s="4">
        <v>29</v>
      </c>
      <c r="F15" s="5" t="s">
        <v>593</v>
      </c>
      <c r="G15" s="5"/>
      <c r="H15" s="5">
        <v>1627</v>
      </c>
      <c r="I15" s="5">
        <f>520+567+2</f>
        <v>1089</v>
      </c>
      <c r="J15" s="5">
        <f>238+300</f>
        <v>538</v>
      </c>
      <c r="K15" s="5">
        <v>0</v>
      </c>
      <c r="L15" s="5">
        <f t="shared" si="0"/>
        <v>1627</v>
      </c>
      <c r="M15" s="5">
        <f t="shared" si="1"/>
        <v>0</v>
      </c>
      <c r="N15" s="6">
        <f t="shared" si="2"/>
        <v>0.338660110633067</v>
      </c>
      <c r="O15">
        <v>40</v>
      </c>
      <c r="P15" t="s">
        <v>607</v>
      </c>
      <c r="R15">
        <v>1596</v>
      </c>
      <c r="S15">
        <f>516+575+2</f>
        <v>1093</v>
      </c>
      <c r="T15">
        <f>227+276</f>
        <v>503</v>
      </c>
      <c r="U15">
        <v>0</v>
      </c>
      <c r="V15">
        <f t="shared" si="3"/>
        <v>1596</v>
      </c>
      <c r="W15">
        <f t="shared" si="4"/>
        <v>0</v>
      </c>
      <c r="X15" s="6">
        <f t="shared" si="5"/>
        <v>0.36967418546365916</v>
      </c>
      <c r="Y15">
        <v>23</v>
      </c>
      <c r="AB15">
        <v>2093</v>
      </c>
      <c r="AC15">
        <v>1186</v>
      </c>
      <c r="AD15">
        <v>907</v>
      </c>
      <c r="AF15">
        <f t="shared" si="6"/>
        <v>2093</v>
      </c>
      <c r="AG15">
        <f t="shared" si="7"/>
        <v>0</v>
      </c>
      <c r="AH15">
        <f t="shared" si="8"/>
        <v>0.13330148112756809</v>
      </c>
    </row>
    <row r="16" spans="1:34" x14ac:dyDescent="0.2">
      <c r="E16" s="4"/>
      <c r="F16" s="5"/>
      <c r="G16" s="5"/>
      <c r="H16" s="5"/>
      <c r="I16" s="5"/>
      <c r="J16" s="5"/>
      <c r="K16" s="5"/>
      <c r="L16" s="5"/>
      <c r="M16" s="5"/>
      <c r="N16" s="6"/>
      <c r="X16" s="6"/>
    </row>
    <row r="17" spans="1:34" x14ac:dyDescent="0.2">
      <c r="A17">
        <v>40260</v>
      </c>
      <c r="B17" t="s">
        <v>22</v>
      </c>
      <c r="C17" t="s">
        <v>23</v>
      </c>
      <c r="D17" t="s">
        <v>24</v>
      </c>
      <c r="E17" s="4">
        <v>31</v>
      </c>
      <c r="F17" s="5" t="s">
        <v>23</v>
      </c>
      <c r="G17" s="5"/>
      <c r="H17" s="5">
        <v>65414</v>
      </c>
      <c r="I17" s="5">
        <v>60373</v>
      </c>
      <c r="J17" s="5">
        <v>4263</v>
      </c>
      <c r="K17" s="5">
        <v>778</v>
      </c>
      <c r="L17" s="5">
        <f>I17+J17+K17</f>
        <v>65414</v>
      </c>
      <c r="M17" s="5">
        <f>L17-H17</f>
        <v>0</v>
      </c>
      <c r="N17" s="6">
        <f>(I17-J17)/H17</f>
        <v>0.85776745039288227</v>
      </c>
      <c r="O17">
        <v>34</v>
      </c>
      <c r="R17">
        <v>106818</v>
      </c>
      <c r="S17">
        <f>44578+3628+48469+3522</f>
        <v>100197</v>
      </c>
      <c r="T17">
        <f>2516+2674</f>
        <v>5190</v>
      </c>
      <c r="U17">
        <f>771+660</f>
        <v>1431</v>
      </c>
      <c r="V17">
        <f>SUM(S17:U17)</f>
        <v>106818</v>
      </c>
      <c r="W17">
        <f>R17-V17</f>
        <v>0</v>
      </c>
      <c r="X17" s="6">
        <f>(S17-T17)/R17</f>
        <v>0.88942874796382632</v>
      </c>
      <c r="Y17">
        <v>21</v>
      </c>
      <c r="AB17">
        <v>439170</v>
      </c>
      <c r="AC17">
        <f>203011+210508</f>
        <v>413519</v>
      </c>
      <c r="AD17">
        <f>10222+10697</f>
        <v>20919</v>
      </c>
      <c r="AE17">
        <f>1164+250+608+267+75+1374+266+505+153+70</f>
        <v>4732</v>
      </c>
      <c r="AF17">
        <f>SUM(AC17:AE17)</f>
        <v>439170</v>
      </c>
      <c r="AG17">
        <f>AB17-AF17</f>
        <v>0</v>
      </c>
      <c r="AH17">
        <f>(AC17-AD17)/AB17</f>
        <v>0.89395905913427598</v>
      </c>
    </row>
    <row r="18" spans="1:34" x14ac:dyDescent="0.2">
      <c r="E18" s="4"/>
      <c r="F18" s="5"/>
      <c r="G18" s="5"/>
      <c r="H18" s="5"/>
      <c r="I18" s="5"/>
      <c r="J18" s="5"/>
      <c r="K18" s="5"/>
      <c r="L18" s="5"/>
      <c r="M18" s="5"/>
      <c r="N18" s="6"/>
      <c r="X18" s="6"/>
    </row>
    <row r="19" spans="1:34" x14ac:dyDescent="0.2">
      <c r="A19">
        <v>51530</v>
      </c>
      <c r="B19" t="s">
        <v>25</v>
      </c>
      <c r="C19" t="s">
        <v>26</v>
      </c>
      <c r="D19" t="s">
        <v>27</v>
      </c>
      <c r="E19" s="4">
        <v>30</v>
      </c>
      <c r="F19" s="5" t="s">
        <v>589</v>
      </c>
      <c r="G19" s="5"/>
      <c r="H19" s="5">
        <v>3226</v>
      </c>
      <c r="I19" s="5">
        <f>1866+8</f>
        <v>1874</v>
      </c>
      <c r="J19" s="5">
        <v>1339</v>
      </c>
      <c r="K19" s="5">
        <v>13</v>
      </c>
      <c r="L19" s="5">
        <f t="shared" ref="L19:L24" si="9">I19+J19+K19</f>
        <v>3226</v>
      </c>
      <c r="M19" s="5">
        <f t="shared" ref="M19:M24" si="10">L19-H19</f>
        <v>0</v>
      </c>
      <c r="N19" s="6">
        <f t="shared" ref="N19:N24" si="11">(I19-J19)/H19</f>
        <v>0.16584004959702417</v>
      </c>
      <c r="O19">
        <v>38</v>
      </c>
      <c r="R19">
        <f>5006</f>
        <v>5006</v>
      </c>
      <c r="S19">
        <f>1444+4+1524+12</f>
        <v>2984</v>
      </c>
      <c r="T19">
        <f>937+1075</f>
        <v>2012</v>
      </c>
      <c r="U19">
        <f>6+4</f>
        <v>10</v>
      </c>
      <c r="V19">
        <f t="shared" ref="V19:V24" si="12">SUM(S19:U19)</f>
        <v>5006</v>
      </c>
      <c r="W19">
        <f t="shared" ref="W19:W24" si="13">R19-V19</f>
        <v>0</v>
      </c>
      <c r="X19" s="6">
        <f t="shared" ref="X19:X24" si="14">(S19-T19)/R19</f>
        <v>0.19416699960047942</v>
      </c>
      <c r="Y19">
        <v>22</v>
      </c>
      <c r="AB19">
        <v>6189</v>
      </c>
      <c r="AC19">
        <v>3785</v>
      </c>
      <c r="AD19">
        <v>2397</v>
      </c>
      <c r="AE19">
        <v>7</v>
      </c>
      <c r="AF19">
        <f t="shared" ref="AF19:AF24" si="15">SUM(AC19:AE19)</f>
        <v>6189</v>
      </c>
      <c r="AG19">
        <f t="shared" ref="AG19:AG24" si="16">AB19-AF19</f>
        <v>0</v>
      </c>
      <c r="AH19">
        <f t="shared" ref="AH19:AH24" si="17">(AC19-AD19)/AB19</f>
        <v>0.22426886411375019</v>
      </c>
    </row>
    <row r="20" spans="1:34" x14ac:dyDescent="0.2">
      <c r="A20">
        <v>50945</v>
      </c>
      <c r="B20" t="s">
        <v>25</v>
      </c>
      <c r="C20" t="s">
        <v>28</v>
      </c>
      <c r="D20" t="s">
        <v>29</v>
      </c>
      <c r="E20" s="4">
        <v>30</v>
      </c>
      <c r="F20" s="5" t="s">
        <v>588</v>
      </c>
      <c r="G20" s="5"/>
      <c r="H20" s="5">
        <v>8546</v>
      </c>
      <c r="I20" s="5">
        <f>3755+115</f>
        <v>3870</v>
      </c>
      <c r="J20" s="5">
        <v>4648</v>
      </c>
      <c r="K20" s="5">
        <v>28</v>
      </c>
      <c r="L20" s="5">
        <f t="shared" si="9"/>
        <v>8546</v>
      </c>
      <c r="M20" s="5">
        <f t="shared" si="10"/>
        <v>0</v>
      </c>
      <c r="N20" s="6">
        <f t="shared" si="11"/>
        <v>-9.1036742335595597E-2</v>
      </c>
      <c r="O20">
        <v>34</v>
      </c>
      <c r="R20">
        <v>11236</v>
      </c>
      <c r="S20">
        <f>2280+51+2541+49</f>
        <v>4921</v>
      </c>
      <c r="T20">
        <f>2913+3357</f>
        <v>6270</v>
      </c>
      <c r="U20">
        <f>26+19</f>
        <v>45</v>
      </c>
      <c r="V20">
        <f t="shared" si="12"/>
        <v>11236</v>
      </c>
      <c r="W20">
        <f t="shared" si="13"/>
        <v>0</v>
      </c>
      <c r="X20" s="6">
        <f t="shared" si="14"/>
        <v>-0.12006051975792097</v>
      </c>
      <c r="Y20">
        <v>21</v>
      </c>
      <c r="AB20">
        <v>11500</v>
      </c>
      <c r="AC20">
        <f>2456+2583</f>
        <v>5039</v>
      </c>
      <c r="AD20">
        <f>2975+3413</f>
        <v>6388</v>
      </c>
      <c r="AE20">
        <f>31+4+6+1+27+4</f>
        <v>73</v>
      </c>
      <c r="AF20">
        <f t="shared" si="15"/>
        <v>11500</v>
      </c>
      <c r="AG20">
        <f t="shared" si="16"/>
        <v>0</v>
      </c>
      <c r="AH20">
        <f t="shared" si="17"/>
        <v>-0.11730434782608695</v>
      </c>
    </row>
    <row r="21" spans="1:34" x14ac:dyDescent="0.2">
      <c r="A21">
        <v>5107</v>
      </c>
      <c r="B21" t="s">
        <v>25</v>
      </c>
      <c r="C21" s="2" t="s">
        <v>30</v>
      </c>
      <c r="D21" t="s">
        <v>29</v>
      </c>
      <c r="E21" s="4">
        <v>21</v>
      </c>
      <c r="F21" s="8" t="s">
        <v>629</v>
      </c>
      <c r="G21" s="8">
        <v>1</v>
      </c>
      <c r="H21" s="8">
        <v>45970</v>
      </c>
      <c r="I21" s="5">
        <v>15256</v>
      </c>
      <c r="J21" s="8">
        <v>30626</v>
      </c>
      <c r="K21" s="8">
        <v>88</v>
      </c>
      <c r="L21" s="5">
        <f t="shared" si="9"/>
        <v>45970</v>
      </c>
      <c r="M21" s="5">
        <f t="shared" si="10"/>
        <v>0</v>
      </c>
      <c r="N21" s="6">
        <f t="shared" si="11"/>
        <v>-0.33434848814444201</v>
      </c>
      <c r="O21" s="2">
        <v>42</v>
      </c>
      <c r="P21" s="2" t="s">
        <v>629</v>
      </c>
      <c r="R21">
        <v>46254</v>
      </c>
      <c r="S21">
        <f>9255+118+9176+104</f>
        <v>18653</v>
      </c>
      <c r="T21">
        <f>13516+13932</f>
        <v>27448</v>
      </c>
      <c r="U21">
        <f>83+70</f>
        <v>153</v>
      </c>
      <c r="V21">
        <f t="shared" si="12"/>
        <v>46254</v>
      </c>
      <c r="W21">
        <f t="shared" si="13"/>
        <v>0</v>
      </c>
      <c r="X21" s="6">
        <f t="shared" si="14"/>
        <v>-0.19014571712716738</v>
      </c>
      <c r="Y21">
        <v>25</v>
      </c>
      <c r="AA21">
        <v>1</v>
      </c>
      <c r="AB21">
        <f>1280+559+931+587+2964+772+11069+1033+579+32+1703+1700+12623+2241+2786+3138</f>
        <v>43997</v>
      </c>
      <c r="AC21">
        <f>286+99+267+203+1381+107+6322+114+199+28+452+569+5343+589+1083+1510</f>
        <v>18552</v>
      </c>
      <c r="AD21">
        <f>994+460+664+384+1578+665+4720+916+380+4+1249+1131+7207+1645+1696+1615</f>
        <v>25308</v>
      </c>
      <c r="AE21">
        <f>5+27+3+2+73+7+7+13</f>
        <v>137</v>
      </c>
      <c r="AF21">
        <f t="shared" si="15"/>
        <v>43997</v>
      </c>
      <c r="AG21">
        <f t="shared" si="16"/>
        <v>0</v>
      </c>
      <c r="AH21">
        <f t="shared" si="17"/>
        <v>-0.1535559242675637</v>
      </c>
    </row>
    <row r="22" spans="1:34" x14ac:dyDescent="0.2">
      <c r="A22">
        <v>53000</v>
      </c>
      <c r="B22" t="s">
        <v>25</v>
      </c>
      <c r="C22" t="s">
        <v>31</v>
      </c>
      <c r="D22" t="s">
        <v>29</v>
      </c>
      <c r="E22" s="4">
        <v>30</v>
      </c>
      <c r="F22" s="5" t="s">
        <v>590</v>
      </c>
      <c r="G22" s="5"/>
      <c r="H22" s="5">
        <v>4717</v>
      </c>
      <c r="I22" s="5">
        <f>2393+10</f>
        <v>2403</v>
      </c>
      <c r="J22" s="5">
        <v>2304</v>
      </c>
      <c r="K22" s="5">
        <v>10</v>
      </c>
      <c r="L22" s="5">
        <f t="shared" si="9"/>
        <v>4717</v>
      </c>
      <c r="M22" s="5">
        <f t="shared" si="10"/>
        <v>0</v>
      </c>
      <c r="N22" s="6">
        <f t="shared" si="11"/>
        <v>2.0987916048335806E-2</v>
      </c>
      <c r="O22">
        <v>38</v>
      </c>
      <c r="R22">
        <v>6107</v>
      </c>
      <c r="S22">
        <f>1567+15+1600+12</f>
        <v>3194</v>
      </c>
      <c r="T22">
        <f>1395+1495</f>
        <v>2890</v>
      </c>
      <c r="U22">
        <f>12+11</f>
        <v>23</v>
      </c>
      <c r="V22">
        <f t="shared" si="12"/>
        <v>6107</v>
      </c>
      <c r="W22">
        <f t="shared" si="13"/>
        <v>0</v>
      </c>
      <c r="X22" s="6">
        <f t="shared" si="14"/>
        <v>4.9778942197478304E-2</v>
      </c>
      <c r="Y22">
        <v>22</v>
      </c>
      <c r="AB22">
        <v>8385</v>
      </c>
      <c r="AC22">
        <v>4759</v>
      </c>
      <c r="AD22">
        <v>3603</v>
      </c>
      <c r="AE22">
        <v>23</v>
      </c>
      <c r="AF22">
        <f t="shared" si="15"/>
        <v>8385</v>
      </c>
      <c r="AG22">
        <f t="shared" si="16"/>
        <v>0</v>
      </c>
      <c r="AH22">
        <f t="shared" si="17"/>
        <v>0.13786523553965416</v>
      </c>
    </row>
    <row r="23" spans="1:34" x14ac:dyDescent="0.2">
      <c r="A23">
        <v>51195</v>
      </c>
      <c r="B23" t="s">
        <v>25</v>
      </c>
      <c r="C23" t="s">
        <v>32</v>
      </c>
      <c r="D23" t="s">
        <v>33</v>
      </c>
      <c r="E23" s="4">
        <v>31</v>
      </c>
      <c r="F23" s="5" t="s">
        <v>591</v>
      </c>
      <c r="G23" s="5"/>
      <c r="H23" s="5">
        <v>88039</v>
      </c>
      <c r="I23" s="5">
        <v>65914</v>
      </c>
      <c r="J23" s="5">
        <v>22103</v>
      </c>
      <c r="K23" s="5">
        <v>22</v>
      </c>
      <c r="L23" s="5">
        <f t="shared" si="9"/>
        <v>88039</v>
      </c>
      <c r="M23" s="5">
        <f t="shared" si="10"/>
        <v>0</v>
      </c>
      <c r="N23" s="6">
        <f t="shared" si="11"/>
        <v>0.49763173139176958</v>
      </c>
      <c r="O23">
        <v>34</v>
      </c>
      <c r="R23">
        <v>102213</v>
      </c>
      <c r="S23">
        <f>35636+466+42067+485</f>
        <v>78654</v>
      </c>
      <c r="T23">
        <f>10693+12824</f>
        <v>23517</v>
      </c>
      <c r="U23">
        <f>18+24</f>
        <v>42</v>
      </c>
      <c r="V23">
        <f t="shared" si="12"/>
        <v>102213</v>
      </c>
      <c r="W23">
        <f t="shared" si="13"/>
        <v>0</v>
      </c>
      <c r="X23" s="6">
        <f t="shared" si="14"/>
        <v>0.53943236183264365</v>
      </c>
      <c r="Y23">
        <v>21</v>
      </c>
      <c r="AB23">
        <v>107813</v>
      </c>
      <c r="AC23">
        <f>37982+44479</f>
        <v>82461</v>
      </c>
      <c r="AD23">
        <f>11711+13575</f>
        <v>25286</v>
      </c>
      <c r="AE23">
        <f>9+6+5+1+8+12+11+4+3+7</f>
        <v>66</v>
      </c>
      <c r="AF23">
        <f t="shared" si="15"/>
        <v>107813</v>
      </c>
      <c r="AG23">
        <f t="shared" si="16"/>
        <v>0</v>
      </c>
      <c r="AH23">
        <f t="shared" si="17"/>
        <v>0.53031638114142077</v>
      </c>
    </row>
    <row r="24" spans="1:34" x14ac:dyDescent="0.2">
      <c r="A24">
        <v>50700</v>
      </c>
      <c r="B24" t="s">
        <v>25</v>
      </c>
      <c r="C24" t="s">
        <v>34</v>
      </c>
      <c r="D24" t="s">
        <v>35</v>
      </c>
      <c r="E24" s="4">
        <v>31</v>
      </c>
      <c r="F24" s="5" t="s">
        <v>592</v>
      </c>
      <c r="G24" s="5"/>
      <c r="H24" s="5">
        <v>36584</v>
      </c>
      <c r="I24" s="5">
        <v>32330</v>
      </c>
      <c r="J24" s="5">
        <v>4201</v>
      </c>
      <c r="K24" s="5">
        <v>53</v>
      </c>
      <c r="L24" s="5">
        <f t="shared" si="9"/>
        <v>36584</v>
      </c>
      <c r="M24" s="5">
        <f t="shared" si="10"/>
        <v>0</v>
      </c>
      <c r="N24" s="6">
        <f t="shared" si="11"/>
        <v>0.76888803848677012</v>
      </c>
      <c r="O24">
        <v>34</v>
      </c>
      <c r="R24">
        <v>47942</v>
      </c>
      <c r="S24">
        <f>20590+255+22681+281</f>
        <v>43807</v>
      </c>
      <c r="T24">
        <f>1876+2226</f>
        <v>4102</v>
      </c>
      <c r="U24">
        <f>18+15</f>
        <v>33</v>
      </c>
      <c r="V24">
        <f t="shared" si="12"/>
        <v>47942</v>
      </c>
      <c r="W24">
        <f t="shared" si="13"/>
        <v>0</v>
      </c>
      <c r="X24" s="6">
        <f t="shared" si="14"/>
        <v>0.82818822744149179</v>
      </c>
      <c r="Y24">
        <v>21</v>
      </c>
      <c r="AB24">
        <v>52991</v>
      </c>
      <c r="AC24">
        <f>22883+25536</f>
        <v>48419</v>
      </c>
      <c r="AD24">
        <f>2069+2394</f>
        <v>4463</v>
      </c>
      <c r="AE24">
        <f>37+15+2+30+8+13+4</f>
        <v>109</v>
      </c>
      <c r="AF24">
        <f t="shared" si="15"/>
        <v>52991</v>
      </c>
      <c r="AG24">
        <f t="shared" si="16"/>
        <v>0</v>
      </c>
      <c r="AH24">
        <f t="shared" si="17"/>
        <v>0.82949934894604749</v>
      </c>
    </row>
    <row r="25" spans="1:34" x14ac:dyDescent="0.2">
      <c r="E25" s="4"/>
      <c r="F25" s="5"/>
      <c r="G25" s="5"/>
      <c r="H25" s="5"/>
      <c r="I25" s="5"/>
      <c r="J25" s="5"/>
      <c r="K25" s="5"/>
      <c r="L25" s="5"/>
      <c r="M25" s="5"/>
      <c r="N25" s="6"/>
      <c r="X25" s="6"/>
    </row>
    <row r="26" spans="1:34" x14ac:dyDescent="0.2">
      <c r="A26">
        <v>61970</v>
      </c>
      <c r="B26" t="s">
        <v>36</v>
      </c>
      <c r="C26" t="s">
        <v>37</v>
      </c>
      <c r="D26" t="s">
        <v>38</v>
      </c>
      <c r="E26" s="4">
        <v>28</v>
      </c>
      <c r="F26" s="5" t="s">
        <v>584</v>
      </c>
      <c r="G26" s="5"/>
      <c r="H26" s="5">
        <v>265057</v>
      </c>
      <c r="I26" s="5">
        <f>100260+111330+18237+16915</f>
        <v>246742</v>
      </c>
      <c r="J26" s="5">
        <f>5418+5711</f>
        <v>11129</v>
      </c>
      <c r="K26" s="5">
        <f>4266+2920</f>
        <v>7186</v>
      </c>
      <c r="L26" s="5">
        <f>I26+J26+K26</f>
        <v>265057</v>
      </c>
      <c r="M26" s="5">
        <f>L26-H26</f>
        <v>0</v>
      </c>
      <c r="N26" s="6">
        <f>(I26-J26)/H26</f>
        <v>0.88891445990862339</v>
      </c>
      <c r="O26">
        <v>34</v>
      </c>
      <c r="R26">
        <v>384575</v>
      </c>
      <c r="S26">
        <f>140217+19423+150388+18769</f>
        <v>328797</v>
      </c>
      <c r="T26">
        <f>23674+23888</f>
        <v>47562</v>
      </c>
      <c r="U26">
        <f>4806+3410</f>
        <v>8216</v>
      </c>
      <c r="V26">
        <f>SUM(S26:U26)</f>
        <v>384575</v>
      </c>
      <c r="W26">
        <f>R26-V26</f>
        <v>0</v>
      </c>
      <c r="X26" s="6">
        <f>(S26-T26)/R26</f>
        <v>0.73128778521744786</v>
      </c>
      <c r="Y26">
        <v>21</v>
      </c>
      <c r="AB26">
        <v>367548</v>
      </c>
      <c r="AC26">
        <f>128088+142435</f>
        <v>270523</v>
      </c>
      <c r="AD26">
        <f>40331+43287</f>
        <v>83618</v>
      </c>
      <c r="AE26">
        <f>569+1020+4078+1066+297+597+1186+3580+746+268</f>
        <v>13407</v>
      </c>
      <c r="AF26">
        <f>SUM(AC26:AE26)</f>
        <v>367548</v>
      </c>
      <c r="AG26">
        <f>AB26-AF26</f>
        <v>0</v>
      </c>
      <c r="AH26">
        <f>(AC26-AD26)/AB26</f>
        <v>0.50851861525569453</v>
      </c>
    </row>
    <row r="27" spans="1:34" x14ac:dyDescent="0.2">
      <c r="A27">
        <v>61630</v>
      </c>
      <c r="B27" t="s">
        <v>36</v>
      </c>
      <c r="C27" t="s">
        <v>39</v>
      </c>
      <c r="D27" t="s">
        <v>39</v>
      </c>
      <c r="E27" s="4">
        <v>52</v>
      </c>
      <c r="F27" s="5" t="s">
        <v>587</v>
      </c>
      <c r="G27" s="5"/>
      <c r="H27" s="5">
        <v>2904596</v>
      </c>
      <c r="I27" s="5">
        <f>2427064+350055</f>
        <v>2777119</v>
      </c>
      <c r="J27" s="5">
        <f>75323</f>
        <v>75323</v>
      </c>
      <c r="K27" s="5">
        <f>52154</f>
        <v>52154</v>
      </c>
      <c r="L27" s="5">
        <f>I27+J27+K27</f>
        <v>2904596</v>
      </c>
      <c r="M27" s="5">
        <f>L27-H27</f>
        <v>0</v>
      </c>
      <c r="N27" s="6">
        <f>(I27-J27)/H27</f>
        <v>0.93017961878347277</v>
      </c>
      <c r="O27">
        <v>34</v>
      </c>
      <c r="R27">
        <v>3996946</v>
      </c>
      <c r="S27">
        <f>1596646+195096+1726955+209215</f>
        <v>3727912</v>
      </c>
      <c r="T27">
        <f>102659+113038</f>
        <v>215697</v>
      </c>
      <c r="U27">
        <f>30385+22952</f>
        <v>53337</v>
      </c>
      <c r="V27">
        <f>SUM(S27:U27)</f>
        <v>3996946</v>
      </c>
      <c r="W27">
        <f>R27-V27</f>
        <v>0</v>
      </c>
      <c r="X27" s="6">
        <f>(S27-T27)/R27</f>
        <v>0.87872465627506602</v>
      </c>
      <c r="Y27">
        <v>21</v>
      </c>
      <c r="AB27">
        <v>2479015</v>
      </c>
      <c r="AC27">
        <f>994081+1067727</f>
        <v>2061808</v>
      </c>
      <c r="AD27">
        <f>160118+174798</f>
        <v>334916</v>
      </c>
      <c r="AE27">
        <f>1873+26138+8709+4773+2126+1949+25330+6734+2908+1751</f>
        <v>82291</v>
      </c>
      <c r="AF27">
        <f>SUM(AC27:AE27)</f>
        <v>2479015</v>
      </c>
      <c r="AG27">
        <f>AB27-AF27</f>
        <v>0</v>
      </c>
      <c r="AH27">
        <f>(AC27-AD27)/AB27</f>
        <v>0.69660409477151208</v>
      </c>
    </row>
    <row r="28" spans="1:34" x14ac:dyDescent="0.2">
      <c r="A28">
        <v>62370</v>
      </c>
      <c r="B28" t="s">
        <v>36</v>
      </c>
      <c r="C28" t="s">
        <v>40</v>
      </c>
      <c r="D28" t="s">
        <v>40</v>
      </c>
      <c r="E28" s="4">
        <v>32</v>
      </c>
      <c r="F28" s="5" t="s">
        <v>585</v>
      </c>
      <c r="G28" s="5"/>
      <c r="H28" s="5">
        <v>34696</v>
      </c>
      <c r="I28" s="5">
        <f>14115+15543+1635+1535</f>
        <v>32828</v>
      </c>
      <c r="J28" s="5">
        <f>429+452</f>
        <v>881</v>
      </c>
      <c r="K28" s="5">
        <f>520+467</f>
        <v>987</v>
      </c>
      <c r="L28" s="5">
        <f>I28+J28+K28</f>
        <v>34696</v>
      </c>
      <c r="M28" s="5">
        <f>L28-H28</f>
        <v>0</v>
      </c>
      <c r="N28" s="6">
        <f>(I28-J28)/H28</f>
        <v>0.92076896472215819</v>
      </c>
      <c r="O28">
        <v>34</v>
      </c>
      <c r="R28">
        <v>46764</v>
      </c>
      <c r="S28">
        <f>19456+1551+21823+1654</f>
        <v>44484</v>
      </c>
      <c r="T28">
        <f>888+917</f>
        <v>1805</v>
      </c>
      <c r="U28">
        <f>227+248</f>
        <v>475</v>
      </c>
      <c r="V28">
        <f>SUM(S28:U28)</f>
        <v>46764</v>
      </c>
      <c r="W28">
        <f>R28-V28</f>
        <v>0</v>
      </c>
      <c r="X28" s="6">
        <f>(S28-T28)/R28</f>
        <v>0.9126464801984433</v>
      </c>
      <c r="Y28">
        <v>21</v>
      </c>
      <c r="AB28">
        <v>84332</v>
      </c>
      <c r="AC28">
        <f>38545+41291</f>
        <v>79836</v>
      </c>
      <c r="AD28">
        <f>1960+1978</f>
        <v>3938</v>
      </c>
      <c r="AE28">
        <f>114+95+19+18+23+128+113+17+8+23</f>
        <v>558</v>
      </c>
      <c r="AF28">
        <f>SUM(AC28:AE28)</f>
        <v>84332</v>
      </c>
      <c r="AG28">
        <f>AB28-AF28</f>
        <v>0</v>
      </c>
      <c r="AH28">
        <f>(AC28-AD28)/AB28</f>
        <v>0.89999051368401084</v>
      </c>
    </row>
    <row r="29" spans="1:34" x14ac:dyDescent="0.2">
      <c r="A29">
        <v>62575</v>
      </c>
      <c r="B29" t="s">
        <v>36</v>
      </c>
      <c r="C29" t="s">
        <v>41</v>
      </c>
      <c r="D29" t="s">
        <v>41</v>
      </c>
      <c r="E29" s="4">
        <v>32</v>
      </c>
      <c r="F29" s="5" t="s">
        <v>41</v>
      </c>
      <c r="G29" s="5"/>
      <c r="H29" s="5">
        <v>34958</v>
      </c>
      <c r="I29" s="5">
        <f>13374+15007+2606+2722</f>
        <v>33709</v>
      </c>
      <c r="J29" s="5">
        <f>269+336</f>
        <v>605</v>
      </c>
      <c r="K29" s="5">
        <f>401+243</f>
        <v>644</v>
      </c>
      <c r="L29" s="5">
        <f>I29+J29+K29</f>
        <v>34958</v>
      </c>
      <c r="M29" s="5">
        <f>L29-H29</f>
        <v>0</v>
      </c>
      <c r="N29" s="6">
        <f>(I29-J29)/H29</f>
        <v>0.94696492934378396</v>
      </c>
      <c r="O29">
        <v>34</v>
      </c>
      <c r="R29">
        <v>44913</v>
      </c>
      <c r="S29">
        <f>17015+3027+20104+3089</f>
        <v>43235</v>
      </c>
      <c r="T29">
        <f>551+603</f>
        <v>1154</v>
      </c>
      <c r="U29">
        <f>309+215</f>
        <v>524</v>
      </c>
      <c r="V29">
        <f>SUM(S29:U29)</f>
        <v>44913</v>
      </c>
      <c r="W29">
        <f>R29-V29</f>
        <v>0</v>
      </c>
      <c r="X29" s="6">
        <f>(S29-T29)/R29</f>
        <v>0.93694475986908021</v>
      </c>
      <c r="Y29">
        <v>21</v>
      </c>
      <c r="AB29">
        <v>58768</v>
      </c>
      <c r="AC29">
        <f>26127+30420</f>
        <v>56547</v>
      </c>
      <c r="AD29">
        <f>683+820</f>
        <v>1503</v>
      </c>
      <c r="AE29">
        <f>30+148+100+82+34+21+164+72+50+17</f>
        <v>718</v>
      </c>
      <c r="AF29">
        <f>SUM(AC29:AE29)</f>
        <v>58768</v>
      </c>
      <c r="AG29">
        <f>AB29-AF29</f>
        <v>0</v>
      </c>
      <c r="AH29">
        <f>(AC29-AD29)/AB29</f>
        <v>0.93663218077865507</v>
      </c>
    </row>
    <row r="30" spans="1:34" x14ac:dyDescent="0.2">
      <c r="A30">
        <v>62510</v>
      </c>
      <c r="B30" t="s">
        <v>36</v>
      </c>
      <c r="C30" t="s">
        <v>42</v>
      </c>
      <c r="D30" t="s">
        <v>43</v>
      </c>
      <c r="E30" s="4">
        <v>32</v>
      </c>
      <c r="F30" s="5" t="s">
        <v>586</v>
      </c>
      <c r="G30" s="5"/>
      <c r="H30" s="5">
        <v>68457</v>
      </c>
      <c r="I30" s="5">
        <f>27775+30566+4880+4185</f>
        <v>67406</v>
      </c>
      <c r="J30" s="5">
        <f>133+158</f>
        <v>291</v>
      </c>
      <c r="K30" s="5">
        <f>452+308</f>
        <v>760</v>
      </c>
      <c r="L30" s="5">
        <f>I30+J30+K30</f>
        <v>68457</v>
      </c>
      <c r="M30" s="5">
        <f>L30-H30</f>
        <v>0</v>
      </c>
      <c r="N30" s="6">
        <f>(I30-J30)/H30</f>
        <v>0.98039645324802427</v>
      </c>
      <c r="O30">
        <v>34</v>
      </c>
      <c r="R30">
        <v>95280</v>
      </c>
      <c r="S30">
        <f>39343+5325+43430+5133</f>
        <v>93231</v>
      </c>
      <c r="T30">
        <f>297+294</f>
        <v>591</v>
      </c>
      <c r="U30">
        <f>834+624</f>
        <v>1458</v>
      </c>
      <c r="V30">
        <f>SUM(S30:U30)</f>
        <v>95280</v>
      </c>
      <c r="W30">
        <f>R30-V30</f>
        <v>0</v>
      </c>
      <c r="X30" s="6">
        <f>(S30-T30)/R30</f>
        <v>0.97229219143576828</v>
      </c>
      <c r="Y30">
        <v>21</v>
      </c>
      <c r="AB30">
        <v>204196</v>
      </c>
      <c r="AC30">
        <f>96836+100567</f>
        <v>197403</v>
      </c>
      <c r="AD30">
        <f>983+972</f>
        <v>1955</v>
      </c>
      <c r="AE30">
        <f>186+1433+351+465+117+164+1513+234+280+95</f>
        <v>4838</v>
      </c>
      <c r="AF30">
        <f>SUM(AC30:AE30)</f>
        <v>204196</v>
      </c>
      <c r="AG30">
        <f>AB30-AF30</f>
        <v>0</v>
      </c>
      <c r="AH30">
        <f>(AC30-AD30)/AB30</f>
        <v>0.95715880820388255</v>
      </c>
    </row>
    <row r="31" spans="1:34" x14ac:dyDescent="0.2">
      <c r="E31" s="4"/>
      <c r="F31" s="5"/>
      <c r="G31" s="5"/>
      <c r="H31" s="5"/>
      <c r="I31" s="5"/>
      <c r="J31" s="5"/>
      <c r="K31" s="5"/>
      <c r="L31" s="5"/>
      <c r="M31" s="5"/>
      <c r="N31" s="6"/>
      <c r="X31" s="6"/>
    </row>
    <row r="32" spans="1:34" x14ac:dyDescent="0.2">
      <c r="A32">
        <v>9001</v>
      </c>
      <c r="B32" t="s">
        <v>44</v>
      </c>
      <c r="C32" t="s">
        <v>45</v>
      </c>
      <c r="D32" t="s">
        <v>46</v>
      </c>
      <c r="E32" s="4">
        <v>28</v>
      </c>
      <c r="F32" s="5" t="s">
        <v>578</v>
      </c>
      <c r="G32" s="5"/>
      <c r="H32" s="5">
        <v>35509</v>
      </c>
      <c r="I32" s="5">
        <f>13081+13864+3489+3995</f>
        <v>34429</v>
      </c>
      <c r="J32" s="5">
        <f>409+598</f>
        <v>1007</v>
      </c>
      <c r="K32" s="5">
        <f>53+20</f>
        <v>73</v>
      </c>
      <c r="L32" s="5">
        <f t="shared" ref="L32:L41" si="18">I32+J32+K32</f>
        <v>35509</v>
      </c>
      <c r="M32" s="5">
        <f t="shared" ref="M32:M41" si="19">L32-H32</f>
        <v>0</v>
      </c>
      <c r="N32" s="6">
        <f>(I32-J32)/H32</f>
        <v>0.94122616801374304</v>
      </c>
      <c r="O32">
        <v>42</v>
      </c>
      <c r="P32" t="s">
        <v>628</v>
      </c>
      <c r="Q32">
        <v>1</v>
      </c>
      <c r="R32">
        <v>504342</v>
      </c>
      <c r="S32">
        <f>199513+38764+209583+39828</f>
        <v>487688</v>
      </c>
      <c r="T32">
        <f>7846+8449</f>
        <v>16295</v>
      </c>
      <c r="U32">
        <f>213+146</f>
        <v>359</v>
      </c>
      <c r="V32">
        <f t="shared" ref="V32:V41" si="20">SUM(S32:U32)</f>
        <v>504342</v>
      </c>
      <c r="W32">
        <f t="shared" ref="W32:W41" si="21">R32-V32</f>
        <v>0</v>
      </c>
      <c r="X32" s="6">
        <f t="shared" ref="X32" si="22">(S32-T32)/R32</f>
        <v>0.93466933152503662</v>
      </c>
      <c r="Y32">
        <v>21</v>
      </c>
      <c r="AB32">
        <v>53793</v>
      </c>
      <c r="AC32">
        <f>24954+27663</f>
        <v>52617</v>
      </c>
      <c r="AD32">
        <f>421+668</f>
        <v>1089</v>
      </c>
      <c r="AE32">
        <f>10+7+5+12+8+19+2+7+10+7</f>
        <v>87</v>
      </c>
      <c r="AF32">
        <f>SUM(AC32:AE32)</f>
        <v>53793</v>
      </c>
      <c r="AG32">
        <f>AB32-AF32</f>
        <v>0</v>
      </c>
      <c r="AH32">
        <f>(AC32-AD32)/AB32</f>
        <v>0.95789414979644194</v>
      </c>
    </row>
    <row r="33" spans="1:34" x14ac:dyDescent="0.2">
      <c r="A33">
        <v>91630</v>
      </c>
      <c r="B33" t="s">
        <v>44</v>
      </c>
      <c r="C33" t="s">
        <v>47</v>
      </c>
      <c r="D33" t="s">
        <v>46</v>
      </c>
      <c r="E33" s="4">
        <v>31</v>
      </c>
      <c r="F33" s="5" t="s">
        <v>47</v>
      </c>
      <c r="G33" s="5"/>
      <c r="H33" s="5">
        <v>39849</v>
      </c>
      <c r="I33" s="5">
        <v>38630</v>
      </c>
      <c r="J33" s="5">
        <v>1190</v>
      </c>
      <c r="K33" s="5">
        <v>29</v>
      </c>
      <c r="L33" s="5">
        <f t="shared" si="18"/>
        <v>39849</v>
      </c>
      <c r="M33" s="5">
        <f t="shared" si="19"/>
        <v>0</v>
      </c>
      <c r="N33" s="6">
        <f>(I33-J33)/H33</f>
        <v>0.93954678912896183</v>
      </c>
      <c r="O33">
        <v>34</v>
      </c>
      <c r="R33">
        <v>49460</v>
      </c>
      <c r="S33">
        <f>19569+3284+20921+3325</f>
        <v>47099</v>
      </c>
      <c r="T33">
        <f>1111+1215</f>
        <v>2326</v>
      </c>
      <c r="U33">
        <f>19+16</f>
        <v>35</v>
      </c>
      <c r="V33">
        <f t="shared" si="20"/>
        <v>49460</v>
      </c>
      <c r="W33">
        <f t="shared" si="21"/>
        <v>0</v>
      </c>
      <c r="X33" s="6">
        <f>(S33-T33)/R33</f>
        <v>0.90523655479175091</v>
      </c>
      <c r="Y33">
        <v>21</v>
      </c>
      <c r="AB33">
        <v>67773</v>
      </c>
      <c r="AC33">
        <f>30320+32017</f>
        <v>62337</v>
      </c>
      <c r="AD33">
        <f>2519+2801</f>
        <v>5320</v>
      </c>
      <c r="AE33">
        <f>14+20+17+3+9+12+17+12+3+9</f>
        <v>116</v>
      </c>
      <c r="AF33">
        <f>SUM(AC33:AE33)</f>
        <v>67773</v>
      </c>
      <c r="AG33">
        <f>AB33-AF33</f>
        <v>0</v>
      </c>
      <c r="AH33">
        <f>(AC33-AD33)/AB33</f>
        <v>0.84129373054166112</v>
      </c>
    </row>
    <row r="34" spans="1:34" x14ac:dyDescent="0.2">
      <c r="A34">
        <v>92180</v>
      </c>
      <c r="B34" t="s">
        <v>44</v>
      </c>
      <c r="C34" t="s">
        <v>48</v>
      </c>
      <c r="D34" t="s">
        <v>49</v>
      </c>
      <c r="E34" s="4">
        <v>31</v>
      </c>
      <c r="F34" s="5" t="s">
        <v>48</v>
      </c>
      <c r="G34" s="5"/>
      <c r="H34" s="5">
        <v>47938</v>
      </c>
      <c r="I34" s="5">
        <v>45642</v>
      </c>
      <c r="J34" s="5">
        <v>2253</v>
      </c>
      <c r="K34" s="5">
        <v>43</v>
      </c>
      <c r="L34" s="5">
        <f t="shared" si="18"/>
        <v>47938</v>
      </c>
      <c r="M34" s="5">
        <f t="shared" si="19"/>
        <v>0</v>
      </c>
      <c r="N34" s="6">
        <f>(I34-J34)/H34</f>
        <v>0.90510659601985899</v>
      </c>
      <c r="O34">
        <v>34</v>
      </c>
      <c r="R34">
        <v>74293</v>
      </c>
      <c r="S34">
        <f>28195+5959+30072+6088</f>
        <v>70314</v>
      </c>
      <c r="T34">
        <f>1795+2080</f>
        <v>3875</v>
      </c>
      <c r="U34">
        <f>63+41</f>
        <v>104</v>
      </c>
      <c r="V34">
        <f t="shared" si="20"/>
        <v>74293</v>
      </c>
      <c r="W34">
        <f t="shared" si="21"/>
        <v>0</v>
      </c>
      <c r="X34" s="6">
        <f>(S34-T34)/R34</f>
        <v>0.89428344527748238</v>
      </c>
      <c r="Y34">
        <v>21</v>
      </c>
      <c r="AB34">
        <v>92713</v>
      </c>
      <c r="AC34">
        <f>41195+43856</f>
        <v>85051</v>
      </c>
      <c r="AD34">
        <f>3476+3970</f>
        <v>7446</v>
      </c>
      <c r="AE34">
        <f>13+21+51+14+15+11+20+46+8+17</f>
        <v>216</v>
      </c>
      <c r="AF34">
        <f>SUM(AC34:AE34)</f>
        <v>92713</v>
      </c>
      <c r="AG34">
        <f>AB34-AF34</f>
        <v>0</v>
      </c>
      <c r="AH34">
        <f>(AC34-AD34)/AB34</f>
        <v>0.83704550602396643</v>
      </c>
    </row>
    <row r="35" spans="1:34" x14ac:dyDescent="0.2">
      <c r="A35">
        <v>90970</v>
      </c>
      <c r="B35" t="s">
        <v>44</v>
      </c>
      <c r="C35" t="s">
        <v>50</v>
      </c>
      <c r="D35" t="s">
        <v>50</v>
      </c>
      <c r="E35" s="4">
        <v>28</v>
      </c>
      <c r="F35" s="5" t="s">
        <v>479</v>
      </c>
      <c r="G35" s="5"/>
      <c r="H35" s="5">
        <v>166267</v>
      </c>
      <c r="I35" s="5">
        <f>58470+64044+18570+18035</f>
        <v>159119</v>
      </c>
      <c r="J35" s="5">
        <f>3432+3658</f>
        <v>7090</v>
      </c>
      <c r="K35" s="5">
        <f>37+21</f>
        <v>58</v>
      </c>
      <c r="L35" s="5">
        <f t="shared" si="18"/>
        <v>166267</v>
      </c>
      <c r="M35" s="5">
        <f t="shared" si="19"/>
        <v>0</v>
      </c>
      <c r="N35" s="6">
        <f>(I35-J35)/H35</f>
        <v>0.91436665122964866</v>
      </c>
      <c r="O35">
        <v>34</v>
      </c>
      <c r="R35">
        <v>177397</v>
      </c>
      <c r="S35">
        <f>63227+16131+68853+16396</f>
        <v>164607</v>
      </c>
      <c r="T35">
        <f>6285+6369</f>
        <v>12654</v>
      </c>
      <c r="U35">
        <f>95+41</f>
        <v>136</v>
      </c>
      <c r="V35">
        <f t="shared" si="20"/>
        <v>177397</v>
      </c>
      <c r="W35">
        <f t="shared" si="21"/>
        <v>0</v>
      </c>
      <c r="X35" s="6">
        <f>(S35-T35)/R35</f>
        <v>0.85657029149309172</v>
      </c>
      <c r="Y35">
        <v>21</v>
      </c>
      <c r="AB35">
        <v>162178</v>
      </c>
      <c r="AC35">
        <f>65911+71116</f>
        <v>137027</v>
      </c>
      <c r="AD35">
        <f>12086+12769</f>
        <v>24855</v>
      </c>
      <c r="AE35">
        <f>33+14+41+13+55+36+23+28+11+42</f>
        <v>296</v>
      </c>
      <c r="AF35">
        <f>SUM(AC35:AE35)</f>
        <v>162178</v>
      </c>
      <c r="AG35">
        <f>AB35-AF35</f>
        <v>0</v>
      </c>
      <c r="AH35">
        <f>(AC35-AD35)/AB35</f>
        <v>0.6916597812280334</v>
      </c>
    </row>
    <row r="36" spans="1:34" x14ac:dyDescent="0.2">
      <c r="A36">
        <v>9003</v>
      </c>
      <c r="B36" t="s">
        <v>44</v>
      </c>
      <c r="C36" s="1" t="s">
        <v>332</v>
      </c>
      <c r="D36" t="s">
        <v>50</v>
      </c>
      <c r="E36" s="4"/>
      <c r="F36" s="5"/>
      <c r="G36" s="5"/>
      <c r="H36" s="5"/>
      <c r="I36" s="5"/>
      <c r="J36" s="5"/>
      <c r="K36" s="5"/>
      <c r="L36" s="5">
        <f t="shared" si="18"/>
        <v>0</v>
      </c>
      <c r="M36" s="5">
        <f t="shared" si="19"/>
        <v>0</v>
      </c>
      <c r="N36" s="6"/>
      <c r="O36" s="1"/>
      <c r="P36" s="1"/>
      <c r="V36">
        <f t="shared" si="20"/>
        <v>0</v>
      </c>
      <c r="W36">
        <f t="shared" si="21"/>
        <v>0</v>
      </c>
      <c r="X36" s="6"/>
      <c r="Y36">
        <v>25</v>
      </c>
    </row>
    <row r="37" spans="1:34" x14ac:dyDescent="0.2">
      <c r="A37">
        <v>9005</v>
      </c>
      <c r="B37" t="s">
        <v>44</v>
      </c>
      <c r="C37" t="s">
        <v>51</v>
      </c>
      <c r="D37" t="s">
        <v>52</v>
      </c>
      <c r="E37" s="4">
        <v>28</v>
      </c>
      <c r="F37" s="5" t="s">
        <v>579</v>
      </c>
      <c r="G37" s="5"/>
      <c r="H37" s="5">
        <v>1611</v>
      </c>
      <c r="I37" s="5">
        <f>706+731+67+88</f>
        <v>1592</v>
      </c>
      <c r="J37" s="5">
        <f>13+6</f>
        <v>19</v>
      </c>
      <c r="K37" s="5">
        <v>0</v>
      </c>
      <c r="L37" s="5">
        <f t="shared" si="18"/>
        <v>1611</v>
      </c>
      <c r="M37" s="5">
        <f t="shared" si="19"/>
        <v>0</v>
      </c>
      <c r="N37" s="6">
        <f>(I37-J37)/H37</f>
        <v>0.97641216635630046</v>
      </c>
      <c r="O37" s="2">
        <v>42</v>
      </c>
      <c r="P37" s="2" t="s">
        <v>627</v>
      </c>
      <c r="Q37">
        <v>1</v>
      </c>
      <c r="R37">
        <v>98872</v>
      </c>
      <c r="S37">
        <f>41857+6823+43011+6549</f>
        <v>98240</v>
      </c>
      <c r="T37">
        <f>300+289</f>
        <v>589</v>
      </c>
      <c r="U37">
        <f>22+21</f>
        <v>43</v>
      </c>
      <c r="V37">
        <f t="shared" si="20"/>
        <v>98872</v>
      </c>
      <c r="W37">
        <f t="shared" si="21"/>
        <v>0</v>
      </c>
      <c r="X37" s="6">
        <f>(S37-T37)/R37</f>
        <v>0.98765069989481347</v>
      </c>
      <c r="Y37">
        <v>25</v>
      </c>
      <c r="AB37">
        <v>2141</v>
      </c>
      <c r="AC37">
        <v>2103</v>
      </c>
      <c r="AD37">
        <v>37</v>
      </c>
      <c r="AE37">
        <v>1</v>
      </c>
      <c r="AF37">
        <f>SUM(AC37:AE37)</f>
        <v>2141</v>
      </c>
      <c r="AG37">
        <f>AB37-AF37</f>
        <v>0</v>
      </c>
      <c r="AH37">
        <f>(AC37-AD37)/AB37</f>
        <v>0.96496964035497435</v>
      </c>
    </row>
    <row r="38" spans="1:34" x14ac:dyDescent="0.2">
      <c r="A38">
        <v>91450</v>
      </c>
      <c r="B38" t="s">
        <v>44</v>
      </c>
      <c r="C38" t="s">
        <v>53</v>
      </c>
      <c r="D38" t="s">
        <v>53</v>
      </c>
      <c r="E38" s="4">
        <v>31</v>
      </c>
      <c r="F38" s="5" t="s">
        <v>580</v>
      </c>
      <c r="G38" s="5"/>
      <c r="H38" s="5">
        <v>30021</v>
      </c>
      <c r="I38" s="5">
        <v>29803</v>
      </c>
      <c r="J38" s="5">
        <v>207</v>
      </c>
      <c r="K38" s="5">
        <v>11</v>
      </c>
      <c r="L38" s="5">
        <f t="shared" si="18"/>
        <v>30021</v>
      </c>
      <c r="M38" s="5">
        <f t="shared" si="19"/>
        <v>0</v>
      </c>
      <c r="N38" s="6">
        <f>(I38-J38)/H38</f>
        <v>0.98584324306318916</v>
      </c>
      <c r="O38">
        <v>34</v>
      </c>
      <c r="R38">
        <v>164443</v>
      </c>
      <c r="S38">
        <f>63982+13015+64696+12925</f>
        <v>154618</v>
      </c>
      <c r="T38">
        <f>4613+4992</f>
        <v>9605</v>
      </c>
      <c r="U38">
        <f>154+66</f>
        <v>220</v>
      </c>
      <c r="V38">
        <f t="shared" si="20"/>
        <v>164443</v>
      </c>
      <c r="W38">
        <f t="shared" si="21"/>
        <v>0</v>
      </c>
      <c r="X38" s="6">
        <f>(S38-T38)/R38</f>
        <v>0.88184355673394432</v>
      </c>
      <c r="Y38">
        <v>21</v>
      </c>
      <c r="AB38">
        <v>152048</v>
      </c>
      <c r="AC38">
        <f>64000+65383</f>
        <v>129383</v>
      </c>
      <c r="AD38">
        <f>10581+11532</f>
        <v>22113</v>
      </c>
      <c r="AE38">
        <f>44+63+118+19+102+37+37+60+28+44</f>
        <v>552</v>
      </c>
      <c r="AF38">
        <f>SUM(AC38:AE38)</f>
        <v>152048</v>
      </c>
      <c r="AG38">
        <f>AB38-AF38</f>
        <v>0</v>
      </c>
      <c r="AH38">
        <f>(AC38-AD38)/AB38</f>
        <v>0.7055008944543828</v>
      </c>
    </row>
    <row r="39" spans="1:34" x14ac:dyDescent="0.2">
      <c r="A39">
        <v>92535</v>
      </c>
      <c r="B39" t="s">
        <v>44</v>
      </c>
      <c r="C39" t="s">
        <v>452</v>
      </c>
      <c r="D39" t="s">
        <v>53</v>
      </c>
      <c r="E39" s="4">
        <v>52</v>
      </c>
      <c r="F39" s="5" t="s">
        <v>583</v>
      </c>
      <c r="G39" s="5"/>
      <c r="H39" s="5">
        <v>308228</v>
      </c>
      <c r="I39" s="5">
        <f>242070+57656</f>
        <v>299726</v>
      </c>
      <c r="J39" s="5">
        <v>8365</v>
      </c>
      <c r="K39" s="5">
        <v>137</v>
      </c>
      <c r="L39" s="5">
        <f t="shared" si="18"/>
        <v>308228</v>
      </c>
      <c r="M39" s="5">
        <f t="shared" si="19"/>
        <v>0</v>
      </c>
      <c r="N39" s="6">
        <f>(I39-J39)/H39</f>
        <v>0.94527752183448621</v>
      </c>
      <c r="O39">
        <v>42</v>
      </c>
      <c r="P39" t="s">
        <v>608</v>
      </c>
      <c r="Q39">
        <v>1</v>
      </c>
      <c r="R39">
        <v>545784</v>
      </c>
      <c r="S39">
        <f>220242+40590+228197+39795</f>
        <v>528824</v>
      </c>
      <c r="T39">
        <f>8153+8431</f>
        <v>16584</v>
      </c>
      <c r="U39">
        <f>249+127</f>
        <v>376</v>
      </c>
      <c r="V39">
        <f t="shared" si="20"/>
        <v>545784</v>
      </c>
      <c r="W39">
        <f t="shared" si="21"/>
        <v>0</v>
      </c>
      <c r="X39" s="6">
        <f t="shared" ref="X39" si="23">(S39-T39)/R39</f>
        <v>0.93853978863433152</v>
      </c>
      <c r="Y39">
        <v>21</v>
      </c>
      <c r="AB39">
        <v>43002</v>
      </c>
      <c r="AC39">
        <f>20780+21344</f>
        <v>42124</v>
      </c>
      <c r="AD39">
        <f>415+419</f>
        <v>834</v>
      </c>
      <c r="AE39">
        <f>10+4+7+3+9+2+7+2</f>
        <v>44</v>
      </c>
      <c r="AF39">
        <f>SUM(AC39:AE39)</f>
        <v>43002</v>
      </c>
      <c r="AG39">
        <f>AB39-AF39</f>
        <v>0</v>
      </c>
      <c r="AH39">
        <f>(AC39-AD39)/AB39</f>
        <v>0.96018789823729134</v>
      </c>
    </row>
    <row r="40" spans="1:34" x14ac:dyDescent="0.2">
      <c r="A40">
        <v>92160</v>
      </c>
      <c r="B40" t="s">
        <v>44</v>
      </c>
      <c r="C40" t="s">
        <v>54</v>
      </c>
      <c r="D40" t="s">
        <v>55</v>
      </c>
      <c r="E40" s="4">
        <v>28</v>
      </c>
      <c r="F40" s="5" t="s">
        <v>582</v>
      </c>
      <c r="G40" s="5"/>
      <c r="H40" s="5">
        <v>5835</v>
      </c>
      <c r="I40" s="5">
        <f>2320+2336+619+557</f>
        <v>5832</v>
      </c>
      <c r="J40" s="5">
        <f>2+1</f>
        <v>3</v>
      </c>
      <c r="K40" s="5">
        <v>0</v>
      </c>
      <c r="L40" s="5">
        <f t="shared" si="18"/>
        <v>5835</v>
      </c>
      <c r="M40" s="5">
        <f t="shared" si="19"/>
        <v>0</v>
      </c>
      <c r="N40" s="6">
        <f>(I40-J40)/H40</f>
        <v>0.99897172236503851</v>
      </c>
      <c r="O40">
        <v>38</v>
      </c>
      <c r="R40">
        <v>3396</v>
      </c>
      <c r="S40">
        <f>1352+309+1432+300</f>
        <v>3393</v>
      </c>
      <c r="T40">
        <v>3</v>
      </c>
      <c r="V40">
        <f t="shared" si="20"/>
        <v>3396</v>
      </c>
      <c r="W40">
        <f t="shared" si="21"/>
        <v>0</v>
      </c>
      <c r="X40" s="6">
        <f>(S40-T40)/R40</f>
        <v>0.99823321554770317</v>
      </c>
      <c r="Y40">
        <v>21</v>
      </c>
      <c r="AB40">
        <v>3322</v>
      </c>
      <c r="AC40">
        <v>3314</v>
      </c>
      <c r="AD40">
        <v>5</v>
      </c>
      <c r="AE40">
        <v>3</v>
      </c>
      <c r="AF40">
        <f>SUM(AC40:AE40)</f>
        <v>3322</v>
      </c>
      <c r="AG40">
        <f>AB40-AF40</f>
        <v>0</v>
      </c>
      <c r="AH40">
        <f>(AC40-AD40)/AB40</f>
        <v>0.99608669476219147</v>
      </c>
    </row>
    <row r="41" spans="1:34" x14ac:dyDescent="0.2">
      <c r="A41">
        <v>91650</v>
      </c>
      <c r="B41" t="s">
        <v>44</v>
      </c>
      <c r="C41" t="s">
        <v>451</v>
      </c>
      <c r="D41" t="s">
        <v>211</v>
      </c>
      <c r="E41" s="4">
        <v>28</v>
      </c>
      <c r="F41" s="5" t="s">
        <v>581</v>
      </c>
      <c r="G41" s="5"/>
      <c r="H41" s="5">
        <v>34140</v>
      </c>
      <c r="I41" s="5">
        <f>13482+14061+3059+3094</f>
        <v>33696</v>
      </c>
      <c r="J41" s="5">
        <f>219+203</f>
        <v>422</v>
      </c>
      <c r="K41" s="5">
        <f>11+11</f>
        <v>22</v>
      </c>
      <c r="L41" s="5">
        <f t="shared" si="18"/>
        <v>34140</v>
      </c>
      <c r="M41" s="5">
        <f t="shared" si="19"/>
        <v>0</v>
      </c>
      <c r="N41" s="6">
        <f>(I41-J41)/H41</f>
        <v>0.97463386057410661</v>
      </c>
      <c r="O41">
        <v>34</v>
      </c>
      <c r="R41">
        <v>23429</v>
      </c>
      <c r="S41">
        <f>9523+1678+9934+1828</f>
        <v>22963</v>
      </c>
      <c r="T41">
        <f>225+219</f>
        <v>444</v>
      </c>
      <c r="U41">
        <f>13+9</f>
        <v>22</v>
      </c>
      <c r="V41">
        <f t="shared" si="20"/>
        <v>23429</v>
      </c>
      <c r="W41">
        <f t="shared" si="21"/>
        <v>0</v>
      </c>
      <c r="X41" s="6">
        <f>(S41-T41)/R41</f>
        <v>0.96115924708694356</v>
      </c>
      <c r="Y41">
        <v>21</v>
      </c>
      <c r="AB41">
        <v>38506</v>
      </c>
      <c r="AC41">
        <f>18145+19454</f>
        <v>37599</v>
      </c>
      <c r="AD41">
        <f>430+402</f>
        <v>832</v>
      </c>
      <c r="AE41">
        <f>13+8+6+3+27+3+3+6+6</f>
        <v>75</v>
      </c>
      <c r="AF41">
        <f>SUM(AC41:AE41)</f>
        <v>38506</v>
      </c>
      <c r="AG41">
        <f>AB41-AF41</f>
        <v>0</v>
      </c>
      <c r="AH41">
        <f>(AC41-AD41)/AB41</f>
        <v>0.95483820703267019</v>
      </c>
    </row>
    <row r="42" spans="1:34" x14ac:dyDescent="0.2">
      <c r="E42" s="4"/>
      <c r="F42" s="5"/>
      <c r="G42" s="5"/>
      <c r="H42" s="5"/>
      <c r="I42" s="5"/>
      <c r="J42" s="5"/>
      <c r="K42" s="5"/>
      <c r="L42" s="5"/>
      <c r="M42" s="5"/>
      <c r="N42" s="6"/>
      <c r="X42" s="6"/>
    </row>
    <row r="43" spans="1:34" x14ac:dyDescent="0.2">
      <c r="A43">
        <v>110005</v>
      </c>
      <c r="B43" t="s">
        <v>56</v>
      </c>
      <c r="C43" t="s">
        <v>57</v>
      </c>
      <c r="E43" s="4">
        <v>2</v>
      </c>
      <c r="F43" s="5" t="s">
        <v>577</v>
      </c>
      <c r="G43" s="5"/>
      <c r="H43" s="5">
        <v>663091</v>
      </c>
      <c r="I43" s="5">
        <v>474326</v>
      </c>
      <c r="J43" s="5">
        <v>187266</v>
      </c>
      <c r="K43" s="5">
        <v>1499</v>
      </c>
      <c r="L43" s="5">
        <f>I43+J43+K43</f>
        <v>663091</v>
      </c>
      <c r="M43" s="5">
        <f>L43-H43</f>
        <v>0</v>
      </c>
      <c r="N43" s="6">
        <f>(I43-J43)/H43</f>
        <v>0.4329119230995444</v>
      </c>
      <c r="O43">
        <v>34</v>
      </c>
      <c r="R43">
        <v>802178</v>
      </c>
      <c r="S43">
        <f>223492+19245+254876+20252</f>
        <v>517865</v>
      </c>
      <c r="T43">
        <f>132909+147894</f>
        <v>280803</v>
      </c>
      <c r="U43">
        <f>2272+1238</f>
        <v>3510</v>
      </c>
      <c r="V43">
        <f>SUM(S43:U43)</f>
        <v>802178</v>
      </c>
      <c r="W43">
        <f>R43-V43</f>
        <v>0</v>
      </c>
      <c r="X43" s="6">
        <f>(S43-T43)/R43</f>
        <v>0.29552293879911939</v>
      </c>
      <c r="Y43">
        <v>21</v>
      </c>
      <c r="AB43">
        <v>763956</v>
      </c>
      <c r="AC43">
        <f>158124+187139</f>
        <v>345263</v>
      </c>
      <c r="AD43">
        <f>196257+215480</f>
        <v>411737</v>
      </c>
      <c r="AE43">
        <f>274+368+1542+670+936+313+532+1090+488+743</f>
        <v>6956</v>
      </c>
      <c r="AF43">
        <f>SUM(AC43:AE43)</f>
        <v>763956</v>
      </c>
      <c r="AG43">
        <f>AB43-AF43</f>
        <v>0</v>
      </c>
      <c r="AH43">
        <f>(AC43-AD43)/AB43</f>
        <v>-8.7012864615239618E-2</v>
      </c>
    </row>
    <row r="44" spans="1:34" x14ac:dyDescent="0.2">
      <c r="E44" s="4"/>
      <c r="F44" s="5"/>
      <c r="G44" s="5"/>
      <c r="H44" s="5"/>
      <c r="I44" s="5"/>
      <c r="J44" s="5"/>
      <c r="K44" s="5"/>
      <c r="L44" s="5"/>
      <c r="M44" s="5"/>
      <c r="N44" s="6"/>
      <c r="X44" s="6"/>
    </row>
    <row r="45" spans="1:34" x14ac:dyDescent="0.2">
      <c r="A45">
        <v>120645</v>
      </c>
      <c r="B45" t="s">
        <v>58</v>
      </c>
      <c r="C45" t="s">
        <v>59</v>
      </c>
      <c r="D45" t="s">
        <v>60</v>
      </c>
      <c r="E45" s="4">
        <v>28</v>
      </c>
      <c r="F45" s="5" t="s">
        <v>571</v>
      </c>
      <c r="G45" s="5"/>
      <c r="H45" s="5">
        <v>2102</v>
      </c>
      <c r="I45" s="5">
        <f>854+828+39+34</f>
        <v>1755</v>
      </c>
      <c r="J45" s="5">
        <f>182+165</f>
        <v>347</v>
      </c>
      <c r="K45" s="5"/>
      <c r="L45" s="5">
        <f t="shared" ref="L45:L54" si="24">I45+J45+K45</f>
        <v>2102</v>
      </c>
      <c r="M45" s="5">
        <f t="shared" ref="M45:M54" si="25">L45-H45</f>
        <v>0</v>
      </c>
      <c r="N45" s="6">
        <f t="shared" ref="N45:N52" si="26">(I45-J45)/H45</f>
        <v>0.66983824928639391</v>
      </c>
      <c r="O45">
        <v>34</v>
      </c>
      <c r="R45">
        <v>36328</v>
      </c>
      <c r="S45">
        <f>12343+826+13767+875</f>
        <v>27811</v>
      </c>
      <c r="T45">
        <f>4090+4409</f>
        <v>8499</v>
      </c>
      <c r="U45">
        <f>14+4</f>
        <v>18</v>
      </c>
      <c r="V45">
        <f t="shared" ref="V45:V54" si="27">SUM(S45:U45)</f>
        <v>36328</v>
      </c>
      <c r="W45">
        <f t="shared" ref="W45:W54" si="28">R45-V45</f>
        <v>0</v>
      </c>
      <c r="X45" s="6">
        <f t="shared" ref="X45:X52" si="29">(S45-T45)/R45</f>
        <v>0.53160096894957054</v>
      </c>
      <c r="Y45">
        <v>21</v>
      </c>
      <c r="AB45">
        <v>83648</v>
      </c>
      <c r="AC45">
        <f>29879+34151</f>
        <v>64030</v>
      </c>
      <c r="AD45">
        <f>9382+10145</f>
        <v>19527</v>
      </c>
      <c r="AE45">
        <f>2+8+10+16+14+6+7+4+3+21</f>
        <v>91</v>
      </c>
      <c r="AF45">
        <f t="shared" ref="AF45:AF54" si="30">SUM(AC45:AE45)</f>
        <v>83648</v>
      </c>
      <c r="AG45">
        <f t="shared" ref="AG45:AG54" si="31">AB45-AF45</f>
        <v>0</v>
      </c>
      <c r="AH45">
        <f t="shared" ref="AH45:AH54" si="32">(AC45-AD45)/AB45</f>
        <v>0.53202706579954095</v>
      </c>
    </row>
    <row r="46" spans="1:34" x14ac:dyDescent="0.2">
      <c r="A46">
        <v>120915</v>
      </c>
      <c r="B46" t="s">
        <v>58</v>
      </c>
      <c r="C46" t="s">
        <v>61</v>
      </c>
      <c r="D46" t="s">
        <v>60</v>
      </c>
      <c r="E46" s="4">
        <v>28</v>
      </c>
      <c r="F46" s="5" t="s">
        <v>572</v>
      </c>
      <c r="G46" s="5"/>
      <c r="H46" s="5">
        <f>1653+862</f>
        <v>2515</v>
      </c>
      <c r="I46" s="5">
        <f>807+700+418+382+71+65+21+19</f>
        <v>2483</v>
      </c>
      <c r="J46" s="5">
        <f>6+4</f>
        <v>10</v>
      </c>
      <c r="K46" s="5">
        <f>9+13</f>
        <v>22</v>
      </c>
      <c r="L46" s="5">
        <f t="shared" si="24"/>
        <v>2515</v>
      </c>
      <c r="M46" s="5">
        <f t="shared" si="25"/>
        <v>0</v>
      </c>
      <c r="N46" s="6">
        <f t="shared" si="26"/>
        <v>0.98330019880715702</v>
      </c>
      <c r="O46">
        <v>34</v>
      </c>
      <c r="R46">
        <v>14351</v>
      </c>
      <c r="S46">
        <f>5762+842+6181+758</f>
        <v>13543</v>
      </c>
      <c r="T46">
        <f>396+405</f>
        <v>801</v>
      </c>
      <c r="U46">
        <f>3+4</f>
        <v>7</v>
      </c>
      <c r="V46">
        <f t="shared" si="27"/>
        <v>14351</v>
      </c>
      <c r="W46">
        <f t="shared" si="28"/>
        <v>0</v>
      </c>
      <c r="X46" s="6">
        <f t="shared" si="29"/>
        <v>0.88788237753466659</v>
      </c>
      <c r="Y46">
        <v>21</v>
      </c>
      <c r="AB46">
        <v>35237</v>
      </c>
      <c r="AC46">
        <f>15736+17253</f>
        <v>32989</v>
      </c>
      <c r="AD46">
        <f>1066+1145</f>
        <v>2211</v>
      </c>
      <c r="AE46">
        <f>1+13+5+3+1+11+3</f>
        <v>37</v>
      </c>
      <c r="AF46">
        <f t="shared" si="30"/>
        <v>35237</v>
      </c>
      <c r="AG46">
        <f t="shared" si="31"/>
        <v>0</v>
      </c>
      <c r="AH46">
        <f t="shared" si="32"/>
        <v>0.87345687771376679</v>
      </c>
    </row>
    <row r="47" spans="1:34" x14ac:dyDescent="0.2">
      <c r="A47">
        <v>121000</v>
      </c>
      <c r="B47" t="s">
        <v>58</v>
      </c>
      <c r="C47" t="s">
        <v>62</v>
      </c>
      <c r="D47" t="s">
        <v>63</v>
      </c>
      <c r="E47" s="4">
        <v>28</v>
      </c>
      <c r="F47" s="5" t="s">
        <v>573</v>
      </c>
      <c r="G47" s="5"/>
      <c r="H47" s="5">
        <v>173065</v>
      </c>
      <c r="I47" s="5">
        <f>51787+55488+2185+1787</f>
        <v>111247</v>
      </c>
      <c r="J47" s="5">
        <f>28798+32984</f>
        <v>61782</v>
      </c>
      <c r="K47" s="5">
        <f>28+8</f>
        <v>36</v>
      </c>
      <c r="L47" s="5">
        <f t="shared" si="24"/>
        <v>173065</v>
      </c>
      <c r="M47" s="5">
        <f t="shared" si="25"/>
        <v>0</v>
      </c>
      <c r="N47" s="6">
        <f t="shared" si="26"/>
        <v>0.28581746742553377</v>
      </c>
      <c r="O47">
        <v>34</v>
      </c>
      <c r="R47">
        <v>204517</v>
      </c>
      <c r="S47">
        <f>60396+2215+67365+2012</f>
        <v>131988</v>
      </c>
      <c r="T47">
        <f>33612+38838</f>
        <v>72450</v>
      </c>
      <c r="U47">
        <f>45+34</f>
        <v>79</v>
      </c>
      <c r="V47">
        <f t="shared" si="27"/>
        <v>204517</v>
      </c>
      <c r="W47">
        <f t="shared" si="28"/>
        <v>0</v>
      </c>
      <c r="X47" s="6">
        <f t="shared" si="29"/>
        <v>0.29111516402059484</v>
      </c>
      <c r="Y47">
        <v>21</v>
      </c>
      <c r="AB47">
        <v>201030</v>
      </c>
      <c r="AC47">
        <f>55797+62489</f>
        <v>118286</v>
      </c>
      <c r="AD47">
        <f>38627+43898</f>
        <v>82525</v>
      </c>
      <c r="AE47">
        <f>15+7+24+41+19+26+18+16+34+19</f>
        <v>219</v>
      </c>
      <c r="AF47">
        <f t="shared" si="30"/>
        <v>201030</v>
      </c>
      <c r="AG47">
        <f t="shared" si="31"/>
        <v>0</v>
      </c>
      <c r="AH47">
        <f t="shared" si="32"/>
        <v>0.17788887230761577</v>
      </c>
    </row>
    <row r="48" spans="1:34" x14ac:dyDescent="0.2">
      <c r="A48">
        <v>121825</v>
      </c>
      <c r="B48" t="s">
        <v>58</v>
      </c>
      <c r="C48" t="s">
        <v>64</v>
      </c>
      <c r="D48" t="s">
        <v>5</v>
      </c>
      <c r="E48" s="4">
        <v>28</v>
      </c>
      <c r="F48" s="5" t="s">
        <v>574</v>
      </c>
      <c r="G48" s="5"/>
      <c r="H48" s="5">
        <v>3880</v>
      </c>
      <c r="I48" s="5">
        <f>840+923+9+9</f>
        <v>1781</v>
      </c>
      <c r="J48" s="5">
        <f>1038+1053</f>
        <v>2091</v>
      </c>
      <c r="K48" s="5">
        <f>2+6</f>
        <v>8</v>
      </c>
      <c r="L48" s="5">
        <f t="shared" si="24"/>
        <v>3880</v>
      </c>
      <c r="M48" s="5">
        <f t="shared" si="25"/>
        <v>0</v>
      </c>
      <c r="N48" s="6">
        <f t="shared" si="26"/>
        <v>-7.9896907216494839E-2</v>
      </c>
      <c r="O48">
        <v>38</v>
      </c>
      <c r="R48">
        <v>6505</v>
      </c>
      <c r="S48">
        <f>1577+17+1751+15</f>
        <v>3360</v>
      </c>
      <c r="T48">
        <f>1404+1740</f>
        <v>3144</v>
      </c>
      <c r="U48">
        <v>1</v>
      </c>
      <c r="V48">
        <f t="shared" si="27"/>
        <v>6505</v>
      </c>
      <c r="W48">
        <f t="shared" si="28"/>
        <v>0</v>
      </c>
      <c r="X48" s="6">
        <f t="shared" si="29"/>
        <v>3.3205226748654879E-2</v>
      </c>
      <c r="Y48">
        <v>22</v>
      </c>
      <c r="AB48">
        <v>8874</v>
      </c>
      <c r="AC48">
        <v>4231</v>
      </c>
      <c r="AD48">
        <v>4642</v>
      </c>
      <c r="AE48">
        <v>1</v>
      </c>
      <c r="AF48">
        <f t="shared" si="30"/>
        <v>8874</v>
      </c>
      <c r="AG48">
        <f t="shared" si="31"/>
        <v>0</v>
      </c>
      <c r="AH48">
        <f t="shared" si="32"/>
        <v>-4.6315077755240026E-2</v>
      </c>
    </row>
    <row r="49" spans="1:34" x14ac:dyDescent="0.2">
      <c r="A49">
        <v>120425</v>
      </c>
      <c r="B49" t="s">
        <v>58</v>
      </c>
      <c r="C49" t="s">
        <v>65</v>
      </c>
      <c r="D49" t="s">
        <v>66</v>
      </c>
      <c r="E49" s="4">
        <v>30</v>
      </c>
      <c r="F49" s="5" t="s">
        <v>65</v>
      </c>
      <c r="G49" s="5"/>
      <c r="H49" s="5">
        <v>8294</v>
      </c>
      <c r="I49" s="5">
        <f>6920+535</f>
        <v>7455</v>
      </c>
      <c r="J49" s="5">
        <v>830</v>
      </c>
      <c r="K49" s="5">
        <v>9</v>
      </c>
      <c r="L49" s="5">
        <f t="shared" si="24"/>
        <v>8294</v>
      </c>
      <c r="M49" s="5">
        <f t="shared" si="25"/>
        <v>0</v>
      </c>
      <c r="N49" s="6">
        <f t="shared" si="26"/>
        <v>0.79877019532191951</v>
      </c>
      <c r="O49">
        <v>34</v>
      </c>
      <c r="R49">
        <v>19837</v>
      </c>
      <c r="S49">
        <f>8579+637+8269+615</f>
        <v>18100</v>
      </c>
      <c r="T49">
        <f>834+900</f>
        <v>1734</v>
      </c>
      <c r="U49">
        <f>3</f>
        <v>3</v>
      </c>
      <c r="V49">
        <f t="shared" si="27"/>
        <v>19837</v>
      </c>
      <c r="W49">
        <f t="shared" si="28"/>
        <v>0</v>
      </c>
      <c r="X49" s="6">
        <f t="shared" si="29"/>
        <v>0.82502394515299693</v>
      </c>
      <c r="Y49">
        <v>21</v>
      </c>
      <c r="AB49">
        <v>34793</v>
      </c>
      <c r="AC49">
        <f>15377+17228</f>
        <v>32605</v>
      </c>
      <c r="AD49">
        <f>1067+1097</f>
        <v>2164</v>
      </c>
      <c r="AE49">
        <f>1+1+9+2+1+1+3+6</f>
        <v>24</v>
      </c>
      <c r="AF49">
        <f t="shared" si="30"/>
        <v>34793</v>
      </c>
      <c r="AG49">
        <f t="shared" si="31"/>
        <v>0</v>
      </c>
      <c r="AH49">
        <f t="shared" si="32"/>
        <v>0.87491736843617973</v>
      </c>
    </row>
    <row r="50" spans="1:34" x14ac:dyDescent="0.2">
      <c r="A50">
        <v>121370</v>
      </c>
      <c r="B50" t="s">
        <v>58</v>
      </c>
      <c r="C50" t="s">
        <v>67</v>
      </c>
      <c r="D50" t="s">
        <v>66</v>
      </c>
      <c r="E50" s="4">
        <v>31</v>
      </c>
      <c r="F50" s="5" t="s">
        <v>576</v>
      </c>
      <c r="G50" s="5"/>
      <c r="H50" s="5">
        <v>28012</v>
      </c>
      <c r="I50" s="5">
        <f>27204</f>
        <v>27204</v>
      </c>
      <c r="J50" s="5">
        <v>736</v>
      </c>
      <c r="K50" s="5">
        <v>72</v>
      </c>
      <c r="L50" s="5">
        <f t="shared" si="24"/>
        <v>28012</v>
      </c>
      <c r="M50" s="5">
        <f t="shared" si="25"/>
        <v>0</v>
      </c>
      <c r="N50" s="6">
        <f t="shared" si="26"/>
        <v>0.94488076538626298</v>
      </c>
      <c r="O50">
        <v>34</v>
      </c>
      <c r="R50">
        <v>249276</v>
      </c>
      <c r="S50">
        <f>87890+13723+93991+13096</f>
        <v>208700</v>
      </c>
      <c r="T50">
        <f>19108+21154</f>
        <v>40262</v>
      </c>
      <c r="U50">
        <f>206+108</f>
        <v>314</v>
      </c>
      <c r="V50">
        <f t="shared" si="27"/>
        <v>249276</v>
      </c>
      <c r="W50">
        <f t="shared" si="28"/>
        <v>0</v>
      </c>
      <c r="X50" s="6">
        <f t="shared" si="29"/>
        <v>0.67570885283781834</v>
      </c>
      <c r="Y50">
        <v>21</v>
      </c>
      <c r="AB50">
        <v>291688</v>
      </c>
      <c r="AC50">
        <f>109403+116485</f>
        <v>225888</v>
      </c>
      <c r="AD50">
        <f>31791+33422</f>
        <v>65213</v>
      </c>
      <c r="AE50">
        <f>57+39+149+79+32+46+39+92+26+28</f>
        <v>587</v>
      </c>
      <c r="AF50">
        <f t="shared" si="30"/>
        <v>291688</v>
      </c>
      <c r="AG50">
        <f t="shared" si="31"/>
        <v>0</v>
      </c>
      <c r="AH50">
        <f t="shared" si="32"/>
        <v>0.55084542387756785</v>
      </c>
    </row>
    <row r="51" spans="1:34" x14ac:dyDescent="0.2">
      <c r="A51">
        <v>121656</v>
      </c>
      <c r="B51" t="s">
        <v>58</v>
      </c>
      <c r="C51" t="s">
        <v>68</v>
      </c>
      <c r="D51" t="s">
        <v>68</v>
      </c>
      <c r="E51" s="4">
        <v>30</v>
      </c>
      <c r="F51" s="5" t="s">
        <v>575</v>
      </c>
      <c r="G51" s="5"/>
      <c r="H51" s="5">
        <v>3747</v>
      </c>
      <c r="I51" s="5">
        <f>2587+924</f>
        <v>3511</v>
      </c>
      <c r="J51" s="5">
        <v>226</v>
      </c>
      <c r="K51" s="5">
        <v>10</v>
      </c>
      <c r="L51" s="5">
        <f t="shared" si="24"/>
        <v>3747</v>
      </c>
      <c r="M51" s="5">
        <f t="shared" si="25"/>
        <v>0</v>
      </c>
      <c r="N51" s="6">
        <f t="shared" si="26"/>
        <v>0.87670136108887109</v>
      </c>
      <c r="O51">
        <v>38</v>
      </c>
      <c r="R51">
        <v>3886</v>
      </c>
      <c r="S51">
        <f>1294+309+1685+516</f>
        <v>3804</v>
      </c>
      <c r="T51">
        <f>23+54</f>
        <v>77</v>
      </c>
      <c r="U51">
        <f>3+2</f>
        <v>5</v>
      </c>
      <c r="V51">
        <f t="shared" si="27"/>
        <v>3886</v>
      </c>
      <c r="W51">
        <f t="shared" si="28"/>
        <v>0</v>
      </c>
      <c r="X51" s="6">
        <f t="shared" si="29"/>
        <v>0.95908389089037571</v>
      </c>
      <c r="Y51">
        <v>22</v>
      </c>
      <c r="AB51">
        <v>6055</v>
      </c>
      <c r="AC51">
        <v>5917</v>
      </c>
      <c r="AD51">
        <v>129</v>
      </c>
      <c r="AE51">
        <v>9</v>
      </c>
      <c r="AF51">
        <f t="shared" si="30"/>
        <v>6055</v>
      </c>
      <c r="AG51">
        <f t="shared" si="31"/>
        <v>0</v>
      </c>
      <c r="AH51">
        <f t="shared" si="32"/>
        <v>0.95590421139554083</v>
      </c>
    </row>
    <row r="52" spans="1:34" x14ac:dyDescent="0.2">
      <c r="A52">
        <v>120375</v>
      </c>
      <c r="B52" t="s">
        <v>58</v>
      </c>
      <c r="C52" t="s">
        <v>69</v>
      </c>
      <c r="D52" t="s">
        <v>70</v>
      </c>
      <c r="E52" s="4">
        <v>31</v>
      </c>
      <c r="F52" s="5" t="s">
        <v>69</v>
      </c>
      <c r="G52" s="5"/>
      <c r="H52" s="5">
        <v>10136</v>
      </c>
      <c r="I52" s="5">
        <v>7601</v>
      </c>
      <c r="J52" s="5">
        <v>2533</v>
      </c>
      <c r="K52" s="5">
        <v>2</v>
      </c>
      <c r="L52" s="5">
        <f t="shared" si="24"/>
        <v>10136</v>
      </c>
      <c r="M52" s="5">
        <f t="shared" si="25"/>
        <v>0</v>
      </c>
      <c r="N52" s="6">
        <f t="shared" si="26"/>
        <v>0.5</v>
      </c>
      <c r="O52">
        <v>34</v>
      </c>
      <c r="R52">
        <v>15581</v>
      </c>
      <c r="S52">
        <f>5534+407+6293+443</f>
        <v>12677</v>
      </c>
      <c r="T52">
        <f>1363+1539</f>
        <v>2902</v>
      </c>
      <c r="U52">
        <v>2</v>
      </c>
      <c r="V52">
        <f t="shared" si="27"/>
        <v>15581</v>
      </c>
      <c r="W52">
        <f t="shared" si="28"/>
        <v>0</v>
      </c>
      <c r="X52" s="6">
        <f t="shared" si="29"/>
        <v>0.62736666452730894</v>
      </c>
      <c r="Y52">
        <v>21</v>
      </c>
      <c r="AB52">
        <v>34653</v>
      </c>
      <c r="AC52">
        <f>13690+15563</f>
        <v>29253</v>
      </c>
      <c r="AD52">
        <f>2582+2796</f>
        <v>5378</v>
      </c>
      <c r="AE52">
        <f>4+1+4+2+3+2+1+4+1</f>
        <v>22</v>
      </c>
      <c r="AF52">
        <f t="shared" si="30"/>
        <v>34653</v>
      </c>
      <c r="AG52">
        <f t="shared" si="31"/>
        <v>0</v>
      </c>
      <c r="AH52">
        <f t="shared" si="32"/>
        <v>0.68897353764464841</v>
      </c>
    </row>
    <row r="53" spans="1:34" x14ac:dyDescent="0.2">
      <c r="B53" t="s">
        <v>58</v>
      </c>
      <c r="C53" s="1" t="s">
        <v>71</v>
      </c>
      <c r="E53" s="4"/>
      <c r="F53" s="5"/>
      <c r="G53" s="5"/>
      <c r="H53" s="5"/>
      <c r="I53" s="5"/>
      <c r="J53" s="5"/>
      <c r="K53" s="5"/>
      <c r="L53" s="5">
        <f t="shared" si="24"/>
        <v>0</v>
      </c>
      <c r="M53" s="5">
        <f t="shared" si="25"/>
        <v>0</v>
      </c>
      <c r="N53" s="6"/>
      <c r="O53" s="1"/>
      <c r="P53" s="1"/>
      <c r="V53">
        <f t="shared" si="27"/>
        <v>0</v>
      </c>
      <c r="W53">
        <f t="shared" si="28"/>
        <v>0</v>
      </c>
      <c r="X53" s="6"/>
      <c r="AF53">
        <f t="shared" si="30"/>
        <v>0</v>
      </c>
      <c r="AG53">
        <f t="shared" si="31"/>
        <v>0</v>
      </c>
      <c r="AH53" t="e">
        <f t="shared" si="32"/>
        <v>#DIV/0!</v>
      </c>
    </row>
    <row r="54" spans="1:34" x14ac:dyDescent="0.2">
      <c r="B54" t="s">
        <v>58</v>
      </c>
      <c r="C54" s="1" t="s">
        <v>72</v>
      </c>
      <c r="E54" s="4"/>
      <c r="F54" s="5"/>
      <c r="G54" s="5"/>
      <c r="H54" s="5"/>
      <c r="I54" s="5"/>
      <c r="J54" s="5"/>
      <c r="K54" s="5"/>
      <c r="L54" s="5">
        <f t="shared" si="24"/>
        <v>0</v>
      </c>
      <c r="M54" s="5">
        <f t="shared" si="25"/>
        <v>0</v>
      </c>
      <c r="N54" s="6"/>
      <c r="O54" s="1"/>
      <c r="P54" s="1"/>
      <c r="V54">
        <f t="shared" si="27"/>
        <v>0</v>
      </c>
      <c r="W54">
        <f t="shared" si="28"/>
        <v>0</v>
      </c>
      <c r="X54" s="6"/>
      <c r="AF54">
        <f t="shared" si="30"/>
        <v>0</v>
      </c>
      <c r="AG54">
        <f t="shared" si="31"/>
        <v>0</v>
      </c>
      <c r="AH54" t="e">
        <f t="shared" si="32"/>
        <v>#DIV/0!</v>
      </c>
    </row>
    <row r="55" spans="1:34" x14ac:dyDescent="0.2">
      <c r="E55" s="4"/>
      <c r="F55" s="5"/>
      <c r="G55" s="5"/>
      <c r="H55" s="5"/>
      <c r="I55" s="5"/>
      <c r="J55" s="5"/>
      <c r="K55" s="5"/>
      <c r="L55" s="5"/>
      <c r="M55" s="5"/>
      <c r="N55" s="6"/>
      <c r="X55" s="6"/>
    </row>
    <row r="56" spans="1:34" x14ac:dyDescent="0.2">
      <c r="A56">
        <v>130195</v>
      </c>
      <c r="B56" t="s">
        <v>73</v>
      </c>
      <c r="C56" t="s">
        <v>74</v>
      </c>
      <c r="D56" t="s">
        <v>75</v>
      </c>
      <c r="E56" s="4">
        <v>28</v>
      </c>
      <c r="F56" s="5" t="s">
        <v>564</v>
      </c>
      <c r="G56" s="5"/>
      <c r="H56" s="5">
        <v>7560</v>
      </c>
      <c r="I56" s="5">
        <f>1973+2131+15+6</f>
        <v>4125</v>
      </c>
      <c r="J56" s="5">
        <f>1518+1917</f>
        <v>3435</v>
      </c>
      <c r="K56" s="5">
        <v>0</v>
      </c>
      <c r="L56" s="5">
        <f t="shared" ref="L56:L63" si="33">I56+J56+K56</f>
        <v>7560</v>
      </c>
      <c r="M56" s="5">
        <f t="shared" ref="M56:M63" si="34">L56-H56</f>
        <v>0</v>
      </c>
      <c r="N56" s="6">
        <f t="shared" ref="N56:N62" si="35">(I56-J56)/H56</f>
        <v>9.1269841269841265E-2</v>
      </c>
      <c r="O56">
        <v>38</v>
      </c>
      <c r="R56">
        <v>7562</v>
      </c>
      <c r="S56">
        <f>2213+22+2443+13</f>
        <v>4691</v>
      </c>
      <c r="T56">
        <f>1265+1603</f>
        <v>2868</v>
      </c>
      <c r="U56">
        <f>2+1</f>
        <v>3</v>
      </c>
      <c r="V56">
        <f t="shared" ref="V56:V63" si="36">SUM(S56:U56)</f>
        <v>7562</v>
      </c>
      <c r="W56">
        <f t="shared" ref="W56:W63" si="37">R56-V56</f>
        <v>0</v>
      </c>
      <c r="X56" s="6">
        <f t="shared" ref="X56:X62" si="38">(S56-T56)/R56</f>
        <v>0.24107379000264481</v>
      </c>
      <c r="Y56">
        <v>21</v>
      </c>
      <c r="AB56">
        <v>12714</v>
      </c>
      <c r="AC56">
        <f>3797+3986</f>
        <v>7783</v>
      </c>
      <c r="AD56">
        <f>2259+2663</f>
        <v>4922</v>
      </c>
      <c r="AE56">
        <f>4+1+4</f>
        <v>9</v>
      </c>
      <c r="AF56">
        <f t="shared" ref="AF56:AF63" si="39">SUM(AC56:AE56)</f>
        <v>12714</v>
      </c>
      <c r="AG56">
        <f t="shared" ref="AG56:AG63" si="40">AB56-AF56</f>
        <v>0</v>
      </c>
      <c r="AH56">
        <f t="shared" ref="AH56:AH63" si="41">(AC56-AD56)/AB56</f>
        <v>0.22502752870851031</v>
      </c>
    </row>
    <row r="57" spans="1:34" x14ac:dyDescent="0.2">
      <c r="A57">
        <v>130285</v>
      </c>
      <c r="B57" t="s">
        <v>73</v>
      </c>
      <c r="C57" t="s">
        <v>76</v>
      </c>
      <c r="D57" t="s">
        <v>77</v>
      </c>
      <c r="E57" s="4">
        <v>28</v>
      </c>
      <c r="F57" s="5" t="s">
        <v>565</v>
      </c>
      <c r="G57" s="5"/>
      <c r="H57" s="5">
        <v>4333</v>
      </c>
      <c r="I57" s="5">
        <f>1097+1168+6+3</f>
        <v>2274</v>
      </c>
      <c r="J57" s="5">
        <f>929+1130</f>
        <v>2059</v>
      </c>
      <c r="K57" s="5">
        <v>0</v>
      </c>
      <c r="L57" s="5">
        <f t="shared" si="33"/>
        <v>4333</v>
      </c>
      <c r="M57" s="5">
        <f t="shared" si="34"/>
        <v>0</v>
      </c>
      <c r="N57" s="6">
        <f t="shared" si="35"/>
        <v>4.9619201477036697E-2</v>
      </c>
      <c r="O57">
        <v>38</v>
      </c>
      <c r="R57">
        <v>3234</v>
      </c>
      <c r="S57">
        <f>1021+5+1128+4</f>
        <v>2158</v>
      </c>
      <c r="T57">
        <f>505+570</f>
        <v>1075</v>
      </c>
      <c r="U57">
        <v>1</v>
      </c>
      <c r="V57">
        <f t="shared" si="36"/>
        <v>3234</v>
      </c>
      <c r="W57">
        <f t="shared" si="37"/>
        <v>0</v>
      </c>
      <c r="X57" s="6">
        <f t="shared" si="38"/>
        <v>0.33487940630797774</v>
      </c>
      <c r="Y57">
        <v>22</v>
      </c>
      <c r="AB57">
        <v>3580</v>
      </c>
      <c r="AC57">
        <v>2209</v>
      </c>
      <c r="AD57">
        <v>1371</v>
      </c>
      <c r="AF57">
        <f t="shared" si="39"/>
        <v>3580</v>
      </c>
      <c r="AG57">
        <f t="shared" si="40"/>
        <v>0</v>
      </c>
      <c r="AH57">
        <f t="shared" si="41"/>
        <v>0.2340782122905028</v>
      </c>
    </row>
    <row r="58" spans="1:34" x14ac:dyDescent="0.2">
      <c r="A58">
        <v>130150</v>
      </c>
      <c r="B58" t="s">
        <v>73</v>
      </c>
      <c r="C58" t="s">
        <v>78</v>
      </c>
      <c r="D58" t="s">
        <v>79</v>
      </c>
      <c r="E58" s="4">
        <v>52</v>
      </c>
      <c r="F58" s="5" t="s">
        <v>569</v>
      </c>
      <c r="G58" s="5"/>
      <c r="H58" s="5">
        <v>442294</v>
      </c>
      <c r="I58" s="5">
        <f>307446+5305</f>
        <v>312751</v>
      </c>
      <c r="J58" s="5">
        <v>129457</v>
      </c>
      <c r="K58" s="5">
        <v>86</v>
      </c>
      <c r="L58" s="5">
        <f t="shared" si="33"/>
        <v>442294</v>
      </c>
      <c r="M58" s="5">
        <f t="shared" si="34"/>
        <v>0</v>
      </c>
      <c r="N58" s="6">
        <f t="shared" si="35"/>
        <v>0.41441665498514563</v>
      </c>
      <c r="O58">
        <v>34</v>
      </c>
      <c r="R58">
        <v>331314</v>
      </c>
      <c r="S58">
        <f>96311+2183+109403+2001</f>
        <v>209898</v>
      </c>
      <c r="T58">
        <f>54905+66380</f>
        <v>121285</v>
      </c>
      <c r="U58">
        <f>83+48</f>
        <v>131</v>
      </c>
      <c r="V58">
        <f t="shared" si="36"/>
        <v>331314</v>
      </c>
      <c r="W58">
        <f t="shared" si="37"/>
        <v>0</v>
      </c>
      <c r="X58" s="6">
        <f t="shared" si="38"/>
        <v>0.26745926824704058</v>
      </c>
      <c r="Y58">
        <v>21</v>
      </c>
      <c r="AB58">
        <v>487455</v>
      </c>
      <c r="AC58">
        <f>142781+157854</f>
        <v>300635</v>
      </c>
      <c r="AD58">
        <f>86248+100216</f>
        <v>186464</v>
      </c>
      <c r="AE58">
        <f>44+32+68+8+41+40+34+44+5+40</f>
        <v>356</v>
      </c>
      <c r="AF58">
        <f t="shared" si="39"/>
        <v>487455</v>
      </c>
      <c r="AG58">
        <f t="shared" si="40"/>
        <v>0</v>
      </c>
      <c r="AH58">
        <f t="shared" si="41"/>
        <v>0.23421854325014616</v>
      </c>
    </row>
    <row r="59" spans="1:34" x14ac:dyDescent="0.2">
      <c r="A59">
        <v>132210</v>
      </c>
      <c r="B59" t="s">
        <v>73</v>
      </c>
      <c r="C59" t="s">
        <v>80</v>
      </c>
      <c r="D59" t="s">
        <v>81</v>
      </c>
      <c r="E59" s="4">
        <v>29</v>
      </c>
      <c r="F59" s="5" t="s">
        <v>567</v>
      </c>
      <c r="G59" s="5"/>
      <c r="H59" s="5">
        <v>1542</v>
      </c>
      <c r="I59" s="5">
        <f>402+427+2</f>
        <v>831</v>
      </c>
      <c r="J59" s="5">
        <f>321+389</f>
        <v>710</v>
      </c>
      <c r="K59" s="5">
        <v>1</v>
      </c>
      <c r="L59" s="5">
        <f t="shared" si="33"/>
        <v>1542</v>
      </c>
      <c r="M59" s="5">
        <f t="shared" si="34"/>
        <v>0</v>
      </c>
      <c r="N59" s="6">
        <f t="shared" si="35"/>
        <v>7.8469520103761348E-2</v>
      </c>
      <c r="O59">
        <v>38</v>
      </c>
      <c r="R59">
        <v>3849</v>
      </c>
      <c r="S59">
        <f>887+4+944+1</f>
        <v>1836</v>
      </c>
      <c r="T59">
        <f>937+1075</f>
        <v>2012</v>
      </c>
      <c r="U59">
        <v>1</v>
      </c>
      <c r="V59">
        <f t="shared" si="36"/>
        <v>3849</v>
      </c>
      <c r="W59">
        <f t="shared" si="37"/>
        <v>0</v>
      </c>
      <c r="X59" s="6">
        <f t="shared" si="38"/>
        <v>-4.5726162639646663E-2</v>
      </c>
      <c r="Y59">
        <v>22</v>
      </c>
      <c r="AB59">
        <v>6032</v>
      </c>
      <c r="AC59">
        <v>3233</v>
      </c>
      <c r="AD59">
        <v>2795</v>
      </c>
      <c r="AE59">
        <v>4</v>
      </c>
      <c r="AF59">
        <f t="shared" si="39"/>
        <v>6032</v>
      </c>
      <c r="AG59">
        <f t="shared" si="40"/>
        <v>0</v>
      </c>
      <c r="AH59">
        <f t="shared" si="41"/>
        <v>7.2612732095490712E-2</v>
      </c>
    </row>
    <row r="60" spans="1:34" x14ac:dyDescent="0.2">
      <c r="A60">
        <v>131725</v>
      </c>
      <c r="B60" t="s">
        <v>73</v>
      </c>
      <c r="C60" t="s">
        <v>12</v>
      </c>
      <c r="D60" t="s">
        <v>82</v>
      </c>
      <c r="E60" s="4">
        <v>31</v>
      </c>
      <c r="F60" s="5" t="s">
        <v>568</v>
      </c>
      <c r="G60" s="5"/>
      <c r="H60" s="5">
        <v>57865</v>
      </c>
      <c r="I60" s="5">
        <f>32253</f>
        <v>32253</v>
      </c>
      <c r="J60" s="5">
        <v>25604</v>
      </c>
      <c r="K60" s="5">
        <v>8</v>
      </c>
      <c r="L60" s="5">
        <f t="shared" si="33"/>
        <v>57865</v>
      </c>
      <c r="M60" s="5">
        <f t="shared" si="34"/>
        <v>0</v>
      </c>
      <c r="N60" s="6">
        <f t="shared" si="35"/>
        <v>0.11490538321956277</v>
      </c>
      <c r="O60">
        <v>34</v>
      </c>
      <c r="R60">
        <v>70252</v>
      </c>
      <c r="S60">
        <f>18610+205+21678+211</f>
        <v>40704</v>
      </c>
      <c r="T60">
        <f>13444+16090</f>
        <v>29534</v>
      </c>
      <c r="U60">
        <f>7+7</f>
        <v>14</v>
      </c>
      <c r="V60">
        <f t="shared" si="36"/>
        <v>70252</v>
      </c>
      <c r="W60">
        <f t="shared" si="37"/>
        <v>0</v>
      </c>
      <c r="X60" s="6">
        <f t="shared" si="38"/>
        <v>0.15899903205602686</v>
      </c>
      <c r="Y60">
        <v>21</v>
      </c>
      <c r="AB60">
        <v>69764</v>
      </c>
      <c r="AC60">
        <f>17944+20906</f>
        <v>38850</v>
      </c>
      <c r="AD60">
        <f>14057+16843</f>
        <v>30900</v>
      </c>
      <c r="AE60">
        <f>5+1+7+1</f>
        <v>14</v>
      </c>
      <c r="AF60">
        <f t="shared" si="39"/>
        <v>69764</v>
      </c>
      <c r="AG60">
        <f t="shared" si="40"/>
        <v>0</v>
      </c>
      <c r="AH60">
        <f t="shared" si="41"/>
        <v>0.11395562181067599</v>
      </c>
    </row>
    <row r="61" spans="1:34" x14ac:dyDescent="0.2">
      <c r="A61">
        <v>130750</v>
      </c>
      <c r="B61" t="s">
        <v>73</v>
      </c>
      <c r="C61" t="s">
        <v>83</v>
      </c>
      <c r="D61" t="s">
        <v>84</v>
      </c>
      <c r="E61" s="4">
        <v>28</v>
      </c>
      <c r="F61" s="5" t="s">
        <v>566</v>
      </c>
      <c r="G61" s="5"/>
      <c r="H61" s="5">
        <v>5558</v>
      </c>
      <c r="I61" s="5">
        <f>994+1076+7+3</f>
        <v>2080</v>
      </c>
      <c r="J61" s="5">
        <f>1592+1886</f>
        <v>3478</v>
      </c>
      <c r="K61" s="5">
        <v>0</v>
      </c>
      <c r="L61" s="5">
        <f t="shared" si="33"/>
        <v>5558</v>
      </c>
      <c r="M61" s="5">
        <f t="shared" si="34"/>
        <v>0</v>
      </c>
      <c r="N61" s="6">
        <f t="shared" si="35"/>
        <v>-0.25152932709607773</v>
      </c>
      <c r="O61">
        <v>38</v>
      </c>
      <c r="R61">
        <v>4025</v>
      </c>
      <c r="S61">
        <f>648+5+870+6</f>
        <v>1529</v>
      </c>
      <c r="T61">
        <f>1126+1368</f>
        <v>2494</v>
      </c>
      <c r="U61">
        <v>2</v>
      </c>
      <c r="V61">
        <f t="shared" si="36"/>
        <v>4025</v>
      </c>
      <c r="W61">
        <f t="shared" si="37"/>
        <v>0</v>
      </c>
      <c r="X61" s="6">
        <f t="shared" si="38"/>
        <v>-0.23975155279503105</v>
      </c>
      <c r="Y61">
        <v>22</v>
      </c>
      <c r="AB61">
        <v>4300</v>
      </c>
      <c r="AC61">
        <v>1617</v>
      </c>
      <c r="AD61">
        <v>2682</v>
      </c>
      <c r="AE61">
        <v>1</v>
      </c>
      <c r="AF61">
        <f t="shared" si="39"/>
        <v>4300</v>
      </c>
      <c r="AG61">
        <f t="shared" si="40"/>
        <v>0</v>
      </c>
      <c r="AH61">
        <f t="shared" si="41"/>
        <v>-0.24767441860465117</v>
      </c>
    </row>
    <row r="62" spans="1:34" x14ac:dyDescent="0.2">
      <c r="A62">
        <v>130165</v>
      </c>
      <c r="B62" t="s">
        <v>73</v>
      </c>
      <c r="C62" t="s">
        <v>85</v>
      </c>
      <c r="D62" t="s">
        <v>86</v>
      </c>
      <c r="E62" s="4">
        <v>52</v>
      </c>
      <c r="F62" s="5" t="s">
        <v>570</v>
      </c>
      <c r="G62" s="5"/>
      <c r="H62" s="5">
        <v>87809</v>
      </c>
      <c r="I62" s="5">
        <f>52712+613</f>
        <v>53325</v>
      </c>
      <c r="J62" s="5">
        <v>34243</v>
      </c>
      <c r="K62" s="5">
        <v>241</v>
      </c>
      <c r="L62" s="5">
        <f t="shared" si="33"/>
        <v>87809</v>
      </c>
      <c r="M62" s="5">
        <f t="shared" si="34"/>
        <v>0</v>
      </c>
      <c r="N62" s="6">
        <f t="shared" si="35"/>
        <v>0.21731257615961919</v>
      </c>
      <c r="O62">
        <v>34</v>
      </c>
      <c r="R62">
        <v>71508</v>
      </c>
      <c r="S62">
        <f>20146+259+21296+289</f>
        <v>41990</v>
      </c>
      <c r="T62">
        <f>13212+16092</f>
        <v>29304</v>
      </c>
      <c r="U62">
        <f>118+96</f>
        <v>214</v>
      </c>
      <c r="V62">
        <f t="shared" si="36"/>
        <v>71508</v>
      </c>
      <c r="W62">
        <f t="shared" si="37"/>
        <v>0</v>
      </c>
      <c r="X62" s="6">
        <f t="shared" si="38"/>
        <v>0.17740672372321978</v>
      </c>
      <c r="Y62">
        <v>21</v>
      </c>
      <c r="AB62">
        <v>70626</v>
      </c>
      <c r="AC62">
        <f>18555+20098</f>
        <v>38653</v>
      </c>
      <c r="AD62">
        <f>14486+17284</f>
        <v>31770</v>
      </c>
      <c r="AE62">
        <f>12+2+77+8+8+4+85+2+5</f>
        <v>203</v>
      </c>
      <c r="AF62">
        <f t="shared" si="39"/>
        <v>70626</v>
      </c>
      <c r="AG62">
        <f t="shared" si="40"/>
        <v>0</v>
      </c>
      <c r="AH62">
        <f t="shared" si="41"/>
        <v>9.7457027157137596E-2</v>
      </c>
    </row>
    <row r="63" spans="1:34" x14ac:dyDescent="0.2">
      <c r="B63" t="s">
        <v>73</v>
      </c>
      <c r="C63" s="1" t="s">
        <v>87</v>
      </c>
      <c r="E63" s="4"/>
      <c r="F63" s="5"/>
      <c r="G63" s="5"/>
      <c r="H63" s="5"/>
      <c r="I63" s="5"/>
      <c r="J63" s="5"/>
      <c r="K63" s="5"/>
      <c r="L63" s="5">
        <f t="shared" si="33"/>
        <v>0</v>
      </c>
      <c r="M63" s="5">
        <f t="shared" si="34"/>
        <v>0</v>
      </c>
      <c r="N63" s="6"/>
      <c r="V63">
        <f t="shared" si="36"/>
        <v>0</v>
      </c>
      <c r="W63">
        <f t="shared" si="37"/>
        <v>0</v>
      </c>
      <c r="X63" s="6"/>
      <c r="AF63">
        <f t="shared" si="39"/>
        <v>0</v>
      </c>
      <c r="AG63">
        <f t="shared" si="40"/>
        <v>0</v>
      </c>
      <c r="AH63" t="e">
        <f t="shared" si="41"/>
        <v>#DIV/0!</v>
      </c>
    </row>
    <row r="64" spans="1:34" x14ac:dyDescent="0.2">
      <c r="E64" s="4"/>
      <c r="F64" s="5"/>
      <c r="G64" s="5"/>
      <c r="H64" s="5"/>
      <c r="I64" s="5"/>
      <c r="J64" s="5"/>
      <c r="K64" s="5"/>
      <c r="L64" s="5"/>
      <c r="M64" s="5"/>
      <c r="N64" s="6"/>
      <c r="X64" s="6"/>
    </row>
    <row r="65" spans="1:34" x14ac:dyDescent="0.2">
      <c r="A65">
        <v>150110</v>
      </c>
      <c r="B65" s="2" t="s">
        <v>88</v>
      </c>
      <c r="C65" s="2" t="s">
        <v>89</v>
      </c>
      <c r="E65" s="4"/>
      <c r="F65" s="5"/>
      <c r="G65" s="5"/>
      <c r="H65" s="5"/>
      <c r="I65" s="5"/>
      <c r="J65" s="5"/>
      <c r="K65" s="5"/>
      <c r="L65" s="5">
        <f>I65+J65+K65</f>
        <v>0</v>
      </c>
      <c r="M65" s="5">
        <f>L65-H65</f>
        <v>0</v>
      </c>
      <c r="N65" s="6"/>
      <c r="O65" s="1"/>
      <c r="P65" s="1"/>
      <c r="V65">
        <f>SUM(S65:U65)</f>
        <v>0</v>
      </c>
      <c r="W65">
        <f>R65-V65</f>
        <v>0</v>
      </c>
      <c r="X65" s="6"/>
      <c r="Y65">
        <v>21</v>
      </c>
      <c r="AB65">
        <v>294194</v>
      </c>
      <c r="AC65">
        <f>40536+39738</f>
        <v>80274</v>
      </c>
      <c r="AD65">
        <f>746+573</f>
        <v>1319</v>
      </c>
      <c r="AE65">
        <f>77+53021+15437+14058+25833+94+55798+14701+8019+25563</f>
        <v>212601</v>
      </c>
      <c r="AF65">
        <f>SUM(AC65:AE65)</f>
        <v>294194</v>
      </c>
      <c r="AG65">
        <f>AB65-AF65</f>
        <v>0</v>
      </c>
      <c r="AH65">
        <f>(AC65-AD65)/AB65</f>
        <v>0.26837732924532792</v>
      </c>
    </row>
    <row r="66" spans="1:34" x14ac:dyDescent="0.2">
      <c r="E66" s="4"/>
      <c r="F66" s="5"/>
      <c r="G66" s="5"/>
      <c r="H66" s="5"/>
      <c r="I66" s="5"/>
      <c r="J66" s="5"/>
      <c r="K66" s="5"/>
      <c r="L66" s="5"/>
      <c r="M66" s="5"/>
      <c r="N66" s="6"/>
      <c r="X66" s="6"/>
    </row>
    <row r="67" spans="1:34" x14ac:dyDescent="0.2">
      <c r="B67" t="s">
        <v>90</v>
      </c>
      <c r="C67" s="1" t="s">
        <v>257</v>
      </c>
      <c r="E67" s="4"/>
      <c r="F67" s="5"/>
      <c r="G67" s="5"/>
      <c r="H67" s="5"/>
      <c r="I67" s="5"/>
      <c r="J67" s="5"/>
      <c r="K67" s="5"/>
      <c r="L67" s="5">
        <f>I67+J67+K67</f>
        <v>0</v>
      </c>
      <c r="M67" s="5">
        <f>L67-H67</f>
        <v>0</v>
      </c>
      <c r="N67" s="6"/>
      <c r="V67">
        <f>SUM(S67:U67)</f>
        <v>0</v>
      </c>
      <c r="W67">
        <f>R67-V67</f>
        <v>0</v>
      </c>
      <c r="X67" s="6"/>
      <c r="AF67">
        <f>SUM(AC67:AE67)</f>
        <v>0</v>
      </c>
      <c r="AG67">
        <f>AB67-AF67</f>
        <v>0</v>
      </c>
      <c r="AH67" t="e">
        <f>(AC67-AD67)/AB67</f>
        <v>#DIV/0!</v>
      </c>
    </row>
    <row r="68" spans="1:34" x14ac:dyDescent="0.2">
      <c r="A68">
        <v>171051</v>
      </c>
      <c r="B68" t="s">
        <v>90</v>
      </c>
      <c r="C68" t="s">
        <v>91</v>
      </c>
      <c r="D68" t="s">
        <v>92</v>
      </c>
      <c r="E68" s="4">
        <v>28</v>
      </c>
      <c r="F68" s="5" t="s">
        <v>562</v>
      </c>
      <c r="G68" s="5"/>
      <c r="H68" s="5">
        <v>3396808</v>
      </c>
      <c r="I68" s="5">
        <f>1192833+1249026+354657+318048</f>
        <v>3114564</v>
      </c>
      <c r="J68" s="5">
        <f>130588+147143</f>
        <v>277731</v>
      </c>
      <c r="K68" s="5">
        <f>3587+926</f>
        <v>4513</v>
      </c>
      <c r="L68" s="5">
        <f>I68+J68+K68</f>
        <v>3396808</v>
      </c>
      <c r="M68" s="5">
        <f>L68-H68</f>
        <v>0</v>
      </c>
      <c r="N68" s="6">
        <f>(I68-J68)/H68</f>
        <v>0.8351467024335788</v>
      </c>
      <c r="O68">
        <v>34</v>
      </c>
      <c r="R68">
        <v>3620962</v>
      </c>
      <c r="S68">
        <f>1260672+272177+1324795+253881</f>
        <v>3111525</v>
      </c>
      <c r="T68">
        <f>234058+258207</f>
        <v>492265</v>
      </c>
      <c r="U68">
        <f>10605+6567</f>
        <v>17172</v>
      </c>
      <c r="V68">
        <f>SUM(S68:U68)</f>
        <v>3620962</v>
      </c>
      <c r="W68">
        <f>R68-V68</f>
        <v>0</v>
      </c>
      <c r="X68" s="6">
        <f>(S68-T68)/R68</f>
        <v>0.72336025619711009</v>
      </c>
      <c r="Y68">
        <v>21</v>
      </c>
      <c r="AB68">
        <v>3550404</v>
      </c>
      <c r="AC68">
        <f>1325389+1387359</f>
        <v>2712748</v>
      </c>
      <c r="AD68">
        <f>387718+424919</f>
        <v>812637</v>
      </c>
      <c r="AE68">
        <f>1759+5944+3167+1596+1413+1635+5431+1915+1129+1030</f>
        <v>25019</v>
      </c>
      <c r="AF68">
        <f>SUM(AC68:AE68)</f>
        <v>3550404</v>
      </c>
      <c r="AG68">
        <f>AB68-AF68</f>
        <v>0</v>
      </c>
      <c r="AH68">
        <f>(AC68-AD68)/AB68</f>
        <v>0.53518163003421582</v>
      </c>
    </row>
    <row r="69" spans="1:34" x14ac:dyDescent="0.2">
      <c r="A69">
        <v>174295</v>
      </c>
      <c r="B69" t="s">
        <v>90</v>
      </c>
      <c r="C69" t="s">
        <v>93</v>
      </c>
      <c r="D69" t="s">
        <v>92</v>
      </c>
      <c r="E69" s="4">
        <v>28</v>
      </c>
      <c r="F69" s="5" t="s">
        <v>563</v>
      </c>
      <c r="G69" s="5"/>
      <c r="H69" s="5">
        <v>66015</v>
      </c>
      <c r="I69" s="5">
        <f>27226+32352+3021+3276</f>
        <v>65875</v>
      </c>
      <c r="J69" s="5">
        <f>30+68</f>
        <v>98</v>
      </c>
      <c r="K69" s="5">
        <f>36+6</f>
        <v>42</v>
      </c>
      <c r="L69" s="5">
        <f>I69+J69+K69</f>
        <v>66015</v>
      </c>
      <c r="M69" s="5">
        <f>L69-H69</f>
        <v>0</v>
      </c>
      <c r="N69" s="6">
        <f>(I69-J69)/H69</f>
        <v>0.99639475876694694</v>
      </c>
      <c r="O69">
        <v>34</v>
      </c>
      <c r="R69">
        <v>63529</v>
      </c>
      <c r="S69">
        <f>26373+2428+31855+2726</f>
        <v>63382</v>
      </c>
      <c r="T69">
        <f>29+46</f>
        <v>75</v>
      </c>
      <c r="U69">
        <f>46+26</f>
        <v>72</v>
      </c>
      <c r="V69">
        <f>SUM(S69:U69)</f>
        <v>63529</v>
      </c>
      <c r="W69">
        <f>R69-V69</f>
        <v>0</v>
      </c>
      <c r="X69" s="6">
        <f>(S69-T69)/R69</f>
        <v>0.99650553290623178</v>
      </c>
      <c r="Y69">
        <v>21</v>
      </c>
      <c r="AB69">
        <v>61093</v>
      </c>
      <c r="AC69">
        <f>27485+33391</f>
        <v>60876</v>
      </c>
      <c r="AD69">
        <f>16+41</f>
        <v>57</v>
      </c>
      <c r="AE69">
        <f>6+21+55+16+5+3+20+25+9</f>
        <v>160</v>
      </c>
      <c r="AF69">
        <f>SUM(AC69:AE69)</f>
        <v>61093</v>
      </c>
      <c r="AG69">
        <f>AB69-AF69</f>
        <v>0</v>
      </c>
      <c r="AH69">
        <f>(AC69-AD69)/AB69</f>
        <v>0.99551503445566591</v>
      </c>
    </row>
    <row r="70" spans="1:34" x14ac:dyDescent="0.2">
      <c r="E70" s="4"/>
      <c r="F70" s="5"/>
      <c r="G70" s="5"/>
      <c r="H70" s="5"/>
      <c r="I70" s="5"/>
      <c r="J70" s="5"/>
      <c r="K70" s="5"/>
      <c r="L70" s="5"/>
      <c r="M70" s="5"/>
      <c r="N70" s="6"/>
      <c r="X70" s="6"/>
    </row>
    <row r="71" spans="1:34" x14ac:dyDescent="0.2">
      <c r="A71">
        <v>180905</v>
      </c>
      <c r="B71" t="s">
        <v>94</v>
      </c>
      <c r="C71" t="s">
        <v>95</v>
      </c>
      <c r="D71" t="s">
        <v>96</v>
      </c>
      <c r="E71" s="4">
        <v>34</v>
      </c>
      <c r="F71" s="5" t="s">
        <v>561</v>
      </c>
      <c r="G71" s="5"/>
      <c r="H71" s="5">
        <v>111719</v>
      </c>
      <c r="I71" s="5">
        <f>37641+36335+10275+6995</f>
        <v>91246</v>
      </c>
      <c r="J71" s="5">
        <f>10116+10278</f>
        <v>20394</v>
      </c>
      <c r="K71" s="5">
        <f>43+36</f>
        <v>79</v>
      </c>
      <c r="L71" s="5">
        <f>I71+J71+K71</f>
        <v>111719</v>
      </c>
      <c r="M71" s="5">
        <f>L71-H71</f>
        <v>0</v>
      </c>
      <c r="N71" s="6">
        <f>(I71-J71)/H71</f>
        <v>0.63419830109471087</v>
      </c>
      <c r="O71">
        <v>34</v>
      </c>
      <c r="R71">
        <v>133911</v>
      </c>
      <c r="S71">
        <f>40224+8696+39401+6264</f>
        <v>94585</v>
      </c>
      <c r="T71">
        <f>19413+19840</f>
        <v>39253</v>
      </c>
      <c r="U71">
        <f>44+29</f>
        <v>73</v>
      </c>
      <c r="V71">
        <f>SUM(S71:U71)</f>
        <v>133911</v>
      </c>
      <c r="W71">
        <f>R71-V71</f>
        <v>0</v>
      </c>
      <c r="X71" s="6">
        <f>(S71-T71)/R71</f>
        <v>0.41319981181531018</v>
      </c>
      <c r="Y71">
        <v>21</v>
      </c>
      <c r="AB71">
        <v>178320</v>
      </c>
      <c r="AC71">
        <f>55197+53783</f>
        <v>108980</v>
      </c>
      <c r="AD71">
        <f>33550+35573</f>
        <v>69123</v>
      </c>
      <c r="AE71">
        <f>37+18+11+28+7+39+23+12+25+17</f>
        <v>217</v>
      </c>
      <c r="AF71">
        <f>SUM(AC71:AE71)</f>
        <v>178320</v>
      </c>
      <c r="AG71">
        <f>AB71-AF71</f>
        <v>0</v>
      </c>
      <c r="AH71">
        <f>(AC71-AD71)/AB71</f>
        <v>0.22351390758187528</v>
      </c>
    </row>
    <row r="72" spans="1:34" x14ac:dyDescent="0.2">
      <c r="B72" t="s">
        <v>94</v>
      </c>
      <c r="C72" t="s">
        <v>97</v>
      </c>
      <c r="D72" t="s">
        <v>97</v>
      </c>
      <c r="E72" s="4">
        <v>29</v>
      </c>
      <c r="F72" s="5" t="s">
        <v>560</v>
      </c>
      <c r="G72" s="5"/>
      <c r="H72" s="5">
        <v>1814</v>
      </c>
      <c r="I72" s="5">
        <f>853+942+12+7</f>
        <v>1814</v>
      </c>
      <c r="J72" s="5">
        <v>0</v>
      </c>
      <c r="K72" s="5">
        <v>0</v>
      </c>
      <c r="L72" s="5">
        <f>I72+J72+K72</f>
        <v>1814</v>
      </c>
      <c r="M72" s="5">
        <f>L72-H72</f>
        <v>0</v>
      </c>
      <c r="N72" s="6">
        <f>(I72-J72)/H72</f>
        <v>1</v>
      </c>
      <c r="O72">
        <v>40</v>
      </c>
      <c r="R72">
        <v>35568</v>
      </c>
      <c r="S72">
        <f>16795+313+17748+337</f>
        <v>35193</v>
      </c>
      <c r="T72">
        <f>173+184</f>
        <v>357</v>
      </c>
      <c r="U72">
        <f>14+4</f>
        <v>18</v>
      </c>
      <c r="V72">
        <f>SUM(S72:U72)</f>
        <v>35568</v>
      </c>
      <c r="W72">
        <f>R72-V72</f>
        <v>0</v>
      </c>
      <c r="X72" s="6">
        <f>(S72-T72)/R72</f>
        <v>0.97941970310391357</v>
      </c>
      <c r="Y72">
        <v>23</v>
      </c>
      <c r="AB72">
        <v>1990</v>
      </c>
      <c r="AC72">
        <v>1989</v>
      </c>
      <c r="AD72">
        <v>1</v>
      </c>
      <c r="AF72">
        <f>SUM(AC72:AE72)</f>
        <v>1990</v>
      </c>
      <c r="AG72">
        <f>AB72-AF72</f>
        <v>0</v>
      </c>
      <c r="AH72">
        <f>(AC72-AD72)/AB72</f>
        <v>0.99899497487437183</v>
      </c>
    </row>
    <row r="73" spans="1:34" x14ac:dyDescent="0.2">
      <c r="A73">
        <v>181285</v>
      </c>
      <c r="B73" t="s">
        <v>94</v>
      </c>
      <c r="C73" t="s">
        <v>98</v>
      </c>
      <c r="D73" t="s">
        <v>99</v>
      </c>
      <c r="E73" s="4">
        <v>31</v>
      </c>
      <c r="F73" s="5" t="s">
        <v>559</v>
      </c>
      <c r="G73" s="5"/>
      <c r="H73" s="5">
        <v>28798</v>
      </c>
      <c r="I73" s="5">
        <v>28414</v>
      </c>
      <c r="J73" s="5">
        <v>379</v>
      </c>
      <c r="K73" s="5">
        <v>5</v>
      </c>
      <c r="L73" s="5">
        <f>I73+J73+K73</f>
        <v>28798</v>
      </c>
      <c r="M73" s="5">
        <f>L73-H73</f>
        <v>0</v>
      </c>
      <c r="N73" s="6">
        <f>(I73-J73)/H73</f>
        <v>0.97350510452114725</v>
      </c>
      <c r="O73">
        <v>34</v>
      </c>
      <c r="R73">
        <v>1892</v>
      </c>
      <c r="S73">
        <f>876+1002+7+7</f>
        <v>1892</v>
      </c>
      <c r="T73">
        <f>0</f>
        <v>0</v>
      </c>
      <c r="U73">
        <v>0</v>
      </c>
      <c r="V73">
        <f>SUM(S73:U73)</f>
        <v>1892</v>
      </c>
      <c r="W73">
        <f>R73-V73</f>
        <v>0</v>
      </c>
      <c r="X73" s="6">
        <f>(S73-T73)/R73</f>
        <v>1</v>
      </c>
      <c r="Y73">
        <v>21</v>
      </c>
      <c r="AB73">
        <v>42330</v>
      </c>
      <c r="AC73">
        <f>20062+21743</f>
        <v>41805</v>
      </c>
      <c r="AD73">
        <f>236+262</f>
        <v>498</v>
      </c>
      <c r="AE73">
        <f>2+3+4+1+3+3+6+3+1+1</f>
        <v>27</v>
      </c>
      <c r="AF73">
        <f>SUM(AC73:AE73)</f>
        <v>42330</v>
      </c>
      <c r="AG73">
        <f>AB73-AF73</f>
        <v>0</v>
      </c>
      <c r="AH73">
        <f>(AC73-AD73)/AB73</f>
        <v>0.97583274273564846</v>
      </c>
    </row>
    <row r="74" spans="1:34" x14ac:dyDescent="0.2">
      <c r="E74" s="4"/>
      <c r="F74" s="5"/>
      <c r="G74" s="5"/>
      <c r="H74" s="5"/>
      <c r="I74" s="5"/>
      <c r="J74" s="5"/>
      <c r="K74" s="5"/>
      <c r="L74" s="5"/>
      <c r="M74" s="5"/>
      <c r="N74" s="6"/>
      <c r="X74" s="6"/>
    </row>
    <row r="75" spans="1:34" x14ac:dyDescent="0.2">
      <c r="B75" t="s">
        <v>100</v>
      </c>
      <c r="C75" t="s">
        <v>21</v>
      </c>
      <c r="E75" s="4"/>
      <c r="F75" s="5"/>
      <c r="G75" s="5"/>
      <c r="H75" s="5"/>
      <c r="I75" s="5"/>
      <c r="J75" s="5"/>
      <c r="K75" s="5"/>
      <c r="L75" s="5">
        <f>I75+J75+K75</f>
        <v>0</v>
      </c>
      <c r="M75" s="5">
        <f>L75-H75</f>
        <v>0</v>
      </c>
      <c r="N75" s="6"/>
      <c r="V75">
        <f>SUM(S75:U75)</f>
        <v>0</v>
      </c>
      <c r="W75">
        <f>R75-V75</f>
        <v>0</v>
      </c>
      <c r="X75" s="6"/>
      <c r="AF75">
        <f>SUM(AC75:AE75)</f>
        <v>0</v>
      </c>
      <c r="AG75">
        <f>AB75-AF75</f>
        <v>0</v>
      </c>
      <c r="AH75" t="e">
        <f>(AC75-AD75)/AB75</f>
        <v>#DIV/0!</v>
      </c>
    </row>
    <row r="76" spans="1:34" x14ac:dyDescent="0.2">
      <c r="E76" s="4"/>
      <c r="F76" s="5"/>
      <c r="G76" s="5"/>
      <c r="H76" s="5"/>
      <c r="I76" s="5"/>
      <c r="J76" s="5"/>
      <c r="K76" s="5"/>
      <c r="L76" s="5"/>
      <c r="M76" s="5"/>
      <c r="N76" s="6"/>
      <c r="X76" s="6"/>
    </row>
    <row r="77" spans="1:34" x14ac:dyDescent="0.2">
      <c r="A77">
        <v>211160</v>
      </c>
      <c r="B77" t="s">
        <v>101</v>
      </c>
      <c r="C77" t="s">
        <v>102</v>
      </c>
      <c r="D77" t="s">
        <v>103</v>
      </c>
      <c r="E77" s="4">
        <v>31</v>
      </c>
      <c r="F77" s="5" t="s">
        <v>102</v>
      </c>
      <c r="G77" s="5"/>
      <c r="H77" s="5">
        <v>49304</v>
      </c>
      <c r="I77" s="5">
        <v>36372</v>
      </c>
      <c r="J77" s="5">
        <v>12925</v>
      </c>
      <c r="K77" s="5">
        <v>7</v>
      </c>
      <c r="L77" s="5">
        <f>I77+J77+K77</f>
        <v>49304</v>
      </c>
      <c r="M77" s="5">
        <f>L77-H77</f>
        <v>0</v>
      </c>
      <c r="N77" s="6">
        <f>(I77-J77)/H77</f>
        <v>0.47555979230894047</v>
      </c>
      <c r="O77">
        <v>34</v>
      </c>
      <c r="R77">
        <v>55534</v>
      </c>
      <c r="S77">
        <f>19809+308+21504+229</f>
        <v>41850</v>
      </c>
      <c r="T77">
        <f>6494+7161</f>
        <v>13655</v>
      </c>
      <c r="U77">
        <f>20+9</f>
        <v>29</v>
      </c>
      <c r="V77">
        <f>SUM(S77:U77)</f>
        <v>55534</v>
      </c>
      <c r="W77">
        <f>R77-V77</f>
        <v>0</v>
      </c>
      <c r="X77" s="6">
        <f>(S77-T77)/R77</f>
        <v>0.5077069903122412</v>
      </c>
      <c r="Y77">
        <v>21</v>
      </c>
      <c r="AB77">
        <v>62810</v>
      </c>
      <c r="AC77">
        <f>22112+24389</f>
        <v>46501</v>
      </c>
      <c r="AD77">
        <f>7669+8523</f>
        <v>16192</v>
      </c>
      <c r="AE77">
        <f>9+5+10+4+65+6+6+3+9</f>
        <v>117</v>
      </c>
      <c r="AF77">
        <f>SUM(AC77:AE77)</f>
        <v>62810</v>
      </c>
      <c r="AG77">
        <f>AB77-AF77</f>
        <v>0</v>
      </c>
      <c r="AH77">
        <f>(AC77-AD77)/AB77</f>
        <v>0.48255054927559304</v>
      </c>
    </row>
    <row r="78" spans="1:34" x14ac:dyDescent="0.2">
      <c r="A78">
        <v>211230</v>
      </c>
      <c r="B78" t="s">
        <v>101</v>
      </c>
      <c r="C78" t="s">
        <v>104</v>
      </c>
      <c r="D78" t="s">
        <v>10</v>
      </c>
      <c r="E78" s="4">
        <v>34</v>
      </c>
      <c r="F78" s="5" t="s">
        <v>104</v>
      </c>
      <c r="G78" s="5"/>
      <c r="H78" s="5">
        <v>319077</v>
      </c>
      <c r="I78" s="5">
        <f>126769+138897+3202+2999</f>
        <v>271867</v>
      </c>
      <c r="J78" s="5">
        <f>22264+24894</f>
        <v>47158</v>
      </c>
      <c r="K78" s="5">
        <f>32+20</f>
        <v>52</v>
      </c>
      <c r="L78" s="5">
        <f>I78+J78+K78</f>
        <v>319077</v>
      </c>
      <c r="M78" s="5">
        <f>L78-H78</f>
        <v>0</v>
      </c>
      <c r="N78" s="6">
        <f>(I78-J78)/H78</f>
        <v>0.70424693725965837</v>
      </c>
      <c r="O78">
        <v>34</v>
      </c>
      <c r="R78">
        <v>369129</v>
      </c>
      <c r="S78">
        <f>145983+2372+160429+2573</f>
        <v>311357</v>
      </c>
      <c r="T78">
        <f>27255+30402</f>
        <v>57657</v>
      </c>
      <c r="U78">
        <f>73+42</f>
        <v>115</v>
      </c>
      <c r="V78">
        <f>SUM(S78:U78)</f>
        <v>369129</v>
      </c>
      <c r="W78">
        <f>R78-V78</f>
        <v>0</v>
      </c>
      <c r="X78" s="6">
        <f>(S78-T78)/R78</f>
        <v>0.68729360196570843</v>
      </c>
      <c r="Y78">
        <v>21</v>
      </c>
      <c r="AB78">
        <v>390639</v>
      </c>
      <c r="AC78">
        <f>151519+168671</f>
        <v>320190</v>
      </c>
      <c r="AD78">
        <f>33183+36892</f>
        <v>70075</v>
      </c>
      <c r="AE78">
        <f>38+23+58+22+41+42+33+47+27+43</f>
        <v>374</v>
      </c>
      <c r="AF78">
        <f>SUM(AC78:AE78)</f>
        <v>390639</v>
      </c>
      <c r="AG78">
        <f>AB78-AF78</f>
        <v>0</v>
      </c>
      <c r="AH78">
        <f>(AC78-AD78)/AB78</f>
        <v>0.64027145267113628</v>
      </c>
    </row>
    <row r="79" spans="1:34" x14ac:dyDescent="0.2">
      <c r="E79" s="4"/>
      <c r="F79" s="5"/>
      <c r="G79" s="5"/>
      <c r="H79" s="5"/>
      <c r="I79" s="5"/>
      <c r="J79" s="5"/>
      <c r="K79" s="5"/>
      <c r="L79" s="5"/>
      <c r="M79" s="5"/>
      <c r="N79" s="6"/>
      <c r="X79" s="6"/>
    </row>
    <row r="80" spans="1:34" x14ac:dyDescent="0.2">
      <c r="A80">
        <v>221240</v>
      </c>
      <c r="B80" t="s">
        <v>105</v>
      </c>
      <c r="C80" t="s">
        <v>106</v>
      </c>
      <c r="D80" t="s">
        <v>107</v>
      </c>
      <c r="E80" s="4">
        <v>52</v>
      </c>
      <c r="F80" s="5" t="s">
        <v>557</v>
      </c>
      <c r="G80" s="5"/>
      <c r="H80" s="5">
        <v>112225</v>
      </c>
      <c r="I80" s="5">
        <f>69085+1582</f>
        <v>70667</v>
      </c>
      <c r="J80" s="5">
        <v>41512</v>
      </c>
      <c r="K80" s="5">
        <v>46</v>
      </c>
      <c r="L80" s="5">
        <f>I80+J80+K80</f>
        <v>112225</v>
      </c>
      <c r="M80" s="5">
        <f>L80-H80</f>
        <v>0</v>
      </c>
      <c r="N80" s="6">
        <f>(I80-J80)/H80</f>
        <v>0.25979059924259301</v>
      </c>
      <c r="O80">
        <v>34</v>
      </c>
      <c r="R80">
        <v>127206</v>
      </c>
      <c r="S80">
        <f>39614+792+43743+815</f>
        <v>84964</v>
      </c>
      <c r="T80">
        <f>19194+22975</f>
        <v>42169</v>
      </c>
      <c r="U80">
        <f>43+30</f>
        <v>73</v>
      </c>
      <c r="V80">
        <f>SUM(S80:U80)</f>
        <v>127206</v>
      </c>
      <c r="W80">
        <f>R80-V80</f>
        <v>0</v>
      </c>
      <c r="X80" s="6">
        <f>(S80-T80)/R80</f>
        <v>0.33642281024479975</v>
      </c>
      <c r="Y80">
        <v>21</v>
      </c>
      <c r="AB80">
        <v>164372</v>
      </c>
      <c r="AC80">
        <f>50848+56805</f>
        <v>107653</v>
      </c>
      <c r="AD80">
        <f>26025+30582</f>
        <v>56607</v>
      </c>
      <c r="AE80">
        <f>12+2+28+8+12+6+30+1+13</f>
        <v>112</v>
      </c>
      <c r="AF80">
        <f>SUM(AC80:AE80)</f>
        <v>164372</v>
      </c>
      <c r="AG80">
        <f>AB80-AF80</f>
        <v>0</v>
      </c>
      <c r="AH80">
        <f>(AC80-AD80)/AB80</f>
        <v>0.31055167546784124</v>
      </c>
    </row>
    <row r="81" spans="1:34" x14ac:dyDescent="0.2">
      <c r="A81">
        <v>220956</v>
      </c>
      <c r="B81" t="s">
        <v>105</v>
      </c>
      <c r="C81" t="s">
        <v>108</v>
      </c>
      <c r="D81" t="s">
        <v>109</v>
      </c>
      <c r="E81" s="4">
        <v>52</v>
      </c>
      <c r="F81" s="5" t="s">
        <v>558</v>
      </c>
      <c r="G81" s="5"/>
      <c r="H81" s="5">
        <v>540030</v>
      </c>
      <c r="I81" s="5">
        <f>367105+15665</f>
        <v>382770</v>
      </c>
      <c r="J81" s="5">
        <v>156488</v>
      </c>
      <c r="K81" s="5">
        <v>772</v>
      </c>
      <c r="L81" s="5">
        <f>I81+J81+K81</f>
        <v>540030</v>
      </c>
      <c r="M81" s="5">
        <f>L81-H81</f>
        <v>0</v>
      </c>
      <c r="N81" s="6">
        <f>(I81-J81)/H81</f>
        <v>0.41901746199285222</v>
      </c>
      <c r="O81">
        <v>34</v>
      </c>
      <c r="R81">
        <v>570445</v>
      </c>
      <c r="S81">
        <f>178227+7631+195281+6675</f>
        <v>387814</v>
      </c>
      <c r="T81">
        <f>84412+97363</f>
        <v>181775</v>
      </c>
      <c r="U81">
        <f>542+314</f>
        <v>856</v>
      </c>
      <c r="V81">
        <f>SUM(S81:U81)</f>
        <v>570445</v>
      </c>
      <c r="W81">
        <f>R81-V81</f>
        <v>0</v>
      </c>
      <c r="X81" s="6">
        <f>(S81-T81)/R81</f>
        <v>0.36118994819833639</v>
      </c>
      <c r="Y81">
        <v>21</v>
      </c>
      <c r="AB81">
        <v>627525</v>
      </c>
      <c r="AC81">
        <f>186650+205944</f>
        <v>392594</v>
      </c>
      <c r="AD81">
        <f>110096+123418</f>
        <v>233514</v>
      </c>
      <c r="AE81">
        <f>65+69+257+288+105+80+124+172+170+87</f>
        <v>1417</v>
      </c>
      <c r="AF81">
        <f>SUM(AC81:AE81)</f>
        <v>627525</v>
      </c>
      <c r="AG81">
        <f>AB81-AF81</f>
        <v>0</v>
      </c>
      <c r="AH81">
        <f>(AC81-AD81)/AB81</f>
        <v>0.25350384446834789</v>
      </c>
    </row>
    <row r="82" spans="1:34" x14ac:dyDescent="0.2">
      <c r="E82" s="4"/>
      <c r="F82" s="5"/>
      <c r="G82" s="5"/>
      <c r="H82" s="5"/>
      <c r="I82" s="5"/>
      <c r="J82" s="5"/>
      <c r="K82" s="5"/>
      <c r="L82" s="5"/>
      <c r="M82" s="5"/>
      <c r="N82" s="6"/>
      <c r="X82" s="6"/>
    </row>
    <row r="83" spans="1:34" x14ac:dyDescent="0.2">
      <c r="A83">
        <v>233750</v>
      </c>
      <c r="B83" t="s">
        <v>110</v>
      </c>
      <c r="C83" t="s">
        <v>111</v>
      </c>
      <c r="D83" t="s">
        <v>112</v>
      </c>
      <c r="E83" s="4">
        <v>31</v>
      </c>
      <c r="F83" s="5" t="s">
        <v>556</v>
      </c>
      <c r="G83" s="5"/>
      <c r="H83" s="5">
        <v>73643</v>
      </c>
      <c r="I83" s="5">
        <v>73269</v>
      </c>
      <c r="J83" s="5">
        <v>325</v>
      </c>
      <c r="K83" s="5">
        <v>49</v>
      </c>
      <c r="L83" s="5">
        <f>I83+J83+K83</f>
        <v>73643</v>
      </c>
      <c r="M83" s="5">
        <f>L83-H83</f>
        <v>0</v>
      </c>
      <c r="N83" s="6">
        <f>(I83-J83)/H83</f>
        <v>0.99050826283557158</v>
      </c>
      <c r="O83">
        <v>34</v>
      </c>
      <c r="R83">
        <v>77634</v>
      </c>
      <c r="S83">
        <f>32374+3759+36698+4415</f>
        <v>77246</v>
      </c>
      <c r="T83">
        <f>176+164</f>
        <v>340</v>
      </c>
      <c r="U83">
        <f>29+19</f>
        <v>48</v>
      </c>
      <c r="V83">
        <f>SUM(S83:U83)</f>
        <v>77634</v>
      </c>
      <c r="W83">
        <f>R83-V83</f>
        <v>0</v>
      </c>
      <c r="X83" s="6">
        <f>(S83-T83)/R83</f>
        <v>0.99062266532704746</v>
      </c>
      <c r="Y83">
        <v>21</v>
      </c>
      <c r="AB83">
        <v>72566</v>
      </c>
      <c r="AC83">
        <f>33176+38919</f>
        <v>72095</v>
      </c>
      <c r="AD83">
        <f>184+187</f>
        <v>371</v>
      </c>
      <c r="AE83">
        <f>14+15+18+10+20+7+3+13</f>
        <v>100</v>
      </c>
      <c r="AF83">
        <f>SUM(AC83:AE83)</f>
        <v>72566</v>
      </c>
      <c r="AG83">
        <f>AB83-AF83</f>
        <v>0</v>
      </c>
      <c r="AH83">
        <f>(AC83-AD83)/AB83</f>
        <v>0.98839676983711378</v>
      </c>
    </row>
    <row r="84" spans="1:34" x14ac:dyDescent="0.2">
      <c r="A84">
        <v>231580</v>
      </c>
      <c r="B84" t="s">
        <v>110</v>
      </c>
      <c r="C84" t="s">
        <v>113</v>
      </c>
      <c r="D84" t="s">
        <v>114</v>
      </c>
      <c r="E84" s="4">
        <v>28</v>
      </c>
      <c r="F84" s="5" t="s">
        <v>555</v>
      </c>
      <c r="G84" s="5"/>
      <c r="H84" s="5">
        <v>3743</v>
      </c>
      <c r="I84" s="5">
        <f>1736+1866+64+76</f>
        <v>3742</v>
      </c>
      <c r="J84" s="5">
        <v>1</v>
      </c>
      <c r="K84" s="5">
        <v>0</v>
      </c>
      <c r="L84" s="5">
        <f>I84+J84+K84</f>
        <v>3743</v>
      </c>
      <c r="M84" s="5">
        <f>L84-H84</f>
        <v>0</v>
      </c>
      <c r="N84" s="6">
        <f>(I84-J84)/H84</f>
        <v>0.99946566924926528</v>
      </c>
      <c r="O84">
        <v>38</v>
      </c>
      <c r="R84">
        <v>3113</v>
      </c>
      <c r="S84">
        <f>1307+1700+51+55</f>
        <v>3113</v>
      </c>
      <c r="T84">
        <v>0</v>
      </c>
      <c r="U84">
        <v>0</v>
      </c>
      <c r="V84">
        <f>SUM(S84:U84)</f>
        <v>3113</v>
      </c>
      <c r="W84">
        <f>R84-V84</f>
        <v>0</v>
      </c>
      <c r="X84" s="6">
        <f>(S84-T84)/R84</f>
        <v>1</v>
      </c>
      <c r="Y84">
        <v>22</v>
      </c>
      <c r="AB84">
        <v>2749</v>
      </c>
      <c r="AC84">
        <v>2748</v>
      </c>
      <c r="AD84">
        <v>1</v>
      </c>
      <c r="AF84">
        <f>SUM(AC84:AE84)</f>
        <v>2749</v>
      </c>
      <c r="AG84">
        <f>AB84-AF84</f>
        <v>0</v>
      </c>
      <c r="AH84">
        <f>(AC84-AD84)/AB84</f>
        <v>0.99927246271371406</v>
      </c>
    </row>
    <row r="85" spans="1:34" x14ac:dyDescent="0.2">
      <c r="A85">
        <v>23017105</v>
      </c>
      <c r="B85" t="s">
        <v>110</v>
      </c>
      <c r="C85" t="s">
        <v>115</v>
      </c>
      <c r="D85" t="s">
        <v>116</v>
      </c>
      <c r="E85" s="4">
        <v>28</v>
      </c>
      <c r="F85" s="5" t="s">
        <v>554</v>
      </c>
      <c r="G85" s="5"/>
      <c r="H85" s="5">
        <v>3649</v>
      </c>
      <c r="I85" s="5">
        <f>1663+1787+92+88</f>
        <v>3630</v>
      </c>
      <c r="J85" s="5">
        <f>11+8</f>
        <v>19</v>
      </c>
      <c r="K85" s="5">
        <v>0</v>
      </c>
      <c r="L85" s="5">
        <f>I85+J85+K85</f>
        <v>3649</v>
      </c>
      <c r="M85" s="5">
        <f>L85-H85</f>
        <v>0</v>
      </c>
      <c r="N85" s="6">
        <f>(I85-J85)/H85</f>
        <v>0.98958618799671139</v>
      </c>
      <c r="O85">
        <v>38</v>
      </c>
      <c r="R85">
        <v>2687</v>
      </c>
      <c r="S85">
        <f>1223+60+1344+60</f>
        <v>2687</v>
      </c>
      <c r="T85">
        <v>0</v>
      </c>
      <c r="U85">
        <v>0</v>
      </c>
      <c r="V85">
        <f>SUM(S85:U85)</f>
        <v>2687</v>
      </c>
      <c r="W85">
        <f>R85-V85</f>
        <v>0</v>
      </c>
      <c r="X85" s="6">
        <f>(S85-T85)/R85</f>
        <v>1</v>
      </c>
      <c r="Y85">
        <v>22</v>
      </c>
      <c r="AB85">
        <v>2654</v>
      </c>
      <c r="AC85">
        <v>2652</v>
      </c>
      <c r="AD85">
        <v>1</v>
      </c>
      <c r="AE85">
        <v>1</v>
      </c>
      <c r="AF85">
        <f>SUM(AC85:AE85)</f>
        <v>2654</v>
      </c>
      <c r="AG85">
        <f>AB85-AF85</f>
        <v>0</v>
      </c>
      <c r="AH85">
        <f>(AC85-AD85)/AB85</f>
        <v>0.99886963074604374</v>
      </c>
    </row>
    <row r="86" spans="1:34" x14ac:dyDescent="0.2">
      <c r="A86">
        <v>230300</v>
      </c>
      <c r="B86" t="s">
        <v>110</v>
      </c>
      <c r="C86" t="s">
        <v>117</v>
      </c>
      <c r="D86" t="s">
        <v>118</v>
      </c>
      <c r="E86" s="4">
        <v>31</v>
      </c>
      <c r="F86" s="5" t="s">
        <v>117</v>
      </c>
      <c r="G86" s="5"/>
      <c r="H86" s="5">
        <v>10235</v>
      </c>
      <c r="I86" s="5">
        <v>10191</v>
      </c>
      <c r="J86" s="5">
        <v>33</v>
      </c>
      <c r="K86" s="5">
        <v>11</v>
      </c>
      <c r="L86" s="5">
        <f>I86+J86+K86</f>
        <v>10235</v>
      </c>
      <c r="M86" s="5">
        <f>L86-H86</f>
        <v>0</v>
      </c>
      <c r="N86" s="6">
        <f>(I86-J86)/H86</f>
        <v>0.99247679531021005</v>
      </c>
      <c r="O86">
        <v>34</v>
      </c>
      <c r="R86">
        <v>10644</v>
      </c>
      <c r="S86">
        <f>4868+291+5112+366</f>
        <v>10637</v>
      </c>
      <c r="T86">
        <f>3+4</f>
        <v>7</v>
      </c>
      <c r="U86">
        <v>0</v>
      </c>
      <c r="V86">
        <f>SUM(S86:U86)</f>
        <v>10644</v>
      </c>
      <c r="W86">
        <f>R86-V86</f>
        <v>0</v>
      </c>
      <c r="X86" s="6">
        <f>(S86-T86)/R86</f>
        <v>0.99868470499812101</v>
      </c>
      <c r="Y86">
        <v>21</v>
      </c>
      <c r="AB86">
        <v>10717</v>
      </c>
      <c r="AC86">
        <f>5096+5530</f>
        <v>10626</v>
      </c>
      <c r="AD86">
        <f>39+41</f>
        <v>80</v>
      </c>
      <c r="AE86">
        <f>2+4+1+1+2+1</f>
        <v>11</v>
      </c>
      <c r="AF86">
        <f>SUM(AC86:AE86)</f>
        <v>10717</v>
      </c>
      <c r="AG86">
        <f>AB86-AF86</f>
        <v>0</v>
      </c>
      <c r="AH86">
        <f>(AC86-AD86)/AB86</f>
        <v>0.98404404217598207</v>
      </c>
    </row>
    <row r="87" spans="1:34" x14ac:dyDescent="0.2">
      <c r="E87" s="4"/>
      <c r="F87" s="5"/>
      <c r="G87" s="5"/>
      <c r="H87" s="5"/>
      <c r="I87" s="5"/>
      <c r="J87" s="5"/>
      <c r="K87" s="5"/>
      <c r="L87" s="5"/>
      <c r="M87" s="5"/>
      <c r="N87" s="6"/>
      <c r="X87" s="6"/>
    </row>
    <row r="88" spans="1:34" x14ac:dyDescent="0.2">
      <c r="A88">
        <v>240025</v>
      </c>
      <c r="B88" t="s">
        <v>119</v>
      </c>
      <c r="C88" t="s">
        <v>120</v>
      </c>
      <c r="D88" t="s">
        <v>120</v>
      </c>
      <c r="E88" s="4">
        <v>28</v>
      </c>
      <c r="F88" s="5" t="s">
        <v>552</v>
      </c>
      <c r="G88" s="5"/>
      <c r="H88" s="5">
        <v>859100</v>
      </c>
      <c r="I88" s="5">
        <f>310249+321487+31557+29412</f>
        <v>692705</v>
      </c>
      <c r="J88" s="5">
        <f>80683+85160</f>
        <v>165843</v>
      </c>
      <c r="K88" s="5">
        <f>427+125</f>
        <v>552</v>
      </c>
      <c r="L88" s="5">
        <f>I88+J88+K88</f>
        <v>859100</v>
      </c>
      <c r="M88" s="5">
        <f>L88-H88</f>
        <v>0</v>
      </c>
      <c r="N88" s="6">
        <f>(I88-J88)/H88</f>
        <v>0.61327202886741938</v>
      </c>
      <c r="O88">
        <v>34</v>
      </c>
      <c r="R88">
        <v>949708</v>
      </c>
      <c r="S88">
        <f>324980+26094+347241+25340</f>
        <v>723655</v>
      </c>
      <c r="T88">
        <f>109660+115439</f>
        <v>225099</v>
      </c>
      <c r="U88">
        <f>668+286</f>
        <v>954</v>
      </c>
      <c r="V88">
        <f>SUM(S88:U88)</f>
        <v>949708</v>
      </c>
      <c r="W88">
        <f>R88-V88</f>
        <v>0</v>
      </c>
      <c r="X88" s="6">
        <f>(S88-T88)/R88</f>
        <v>0.52495714472237787</v>
      </c>
      <c r="Y88">
        <v>21</v>
      </c>
      <c r="AB88">
        <v>939024</v>
      </c>
      <c r="AC88">
        <f>293879+316729</f>
        <v>610608</v>
      </c>
      <c r="AD88">
        <f>157130+168459</f>
        <v>325589</v>
      </c>
      <c r="AE88">
        <f>519+95+437+268+278+509+136+311+134+140</f>
        <v>2827</v>
      </c>
      <c r="AF88">
        <f>SUM(AC88:AE88)</f>
        <v>939024</v>
      </c>
      <c r="AG88">
        <f>AB88-AF88</f>
        <v>0</v>
      </c>
      <c r="AH88">
        <f>(AC88-AD88)/AB88</f>
        <v>0.30352685341375724</v>
      </c>
    </row>
    <row r="89" spans="1:34" x14ac:dyDescent="0.2">
      <c r="A89">
        <v>240005</v>
      </c>
      <c r="B89" t="s">
        <v>119</v>
      </c>
      <c r="C89" t="s">
        <v>121</v>
      </c>
      <c r="D89" t="s">
        <v>122</v>
      </c>
      <c r="E89" s="4">
        <v>29</v>
      </c>
      <c r="F89" s="5" t="s">
        <v>553</v>
      </c>
      <c r="G89" s="5"/>
      <c r="H89" s="5">
        <v>1525</v>
      </c>
      <c r="I89" s="5">
        <f>685+727+42+29</f>
        <v>1483</v>
      </c>
      <c r="J89" s="5">
        <f>17+24</f>
        <v>41</v>
      </c>
      <c r="K89" s="5">
        <v>1</v>
      </c>
      <c r="L89" s="5">
        <f>I89+J89+K89</f>
        <v>1525</v>
      </c>
      <c r="M89" s="5">
        <f>L89-H89</f>
        <v>0</v>
      </c>
      <c r="N89" s="6">
        <f>(I89-J89)/H89</f>
        <v>0.94557377049180324</v>
      </c>
      <c r="O89">
        <v>38</v>
      </c>
      <c r="R89">
        <v>2944</v>
      </c>
      <c r="S89">
        <f>1324+42+1432+60</f>
        <v>2858</v>
      </c>
      <c r="T89">
        <f>42+44</f>
        <v>86</v>
      </c>
      <c r="V89">
        <f>SUM(S89:U89)</f>
        <v>2944</v>
      </c>
      <c r="W89">
        <f>R89-V89</f>
        <v>0</v>
      </c>
      <c r="X89" s="6">
        <f>(S89-T89)/R89</f>
        <v>0.94157608695652173</v>
      </c>
      <c r="Y89">
        <v>22</v>
      </c>
      <c r="AB89">
        <v>9679</v>
      </c>
      <c r="AC89">
        <v>8187</v>
      </c>
      <c r="AD89">
        <v>1425</v>
      </c>
      <c r="AE89">
        <v>67</v>
      </c>
      <c r="AF89">
        <f>SUM(AC89:AE89)</f>
        <v>9679</v>
      </c>
      <c r="AG89">
        <f>AB89-AF89</f>
        <v>0</v>
      </c>
      <c r="AH89">
        <f>(AC89-AD89)/AB89</f>
        <v>0.69862589110445295</v>
      </c>
    </row>
    <row r="90" spans="1:34" x14ac:dyDescent="0.2">
      <c r="E90" s="4"/>
      <c r="F90" s="5"/>
      <c r="G90" s="5"/>
      <c r="H90" s="5"/>
      <c r="I90" s="5"/>
      <c r="J90" s="5"/>
      <c r="K90" s="5"/>
      <c r="L90" s="5"/>
      <c r="M90" s="5"/>
      <c r="N90" s="6"/>
      <c r="X90" s="6"/>
    </row>
    <row r="91" spans="1:34" x14ac:dyDescent="0.2">
      <c r="A91">
        <v>251230</v>
      </c>
      <c r="B91" t="s">
        <v>123</v>
      </c>
      <c r="C91" t="s">
        <v>124</v>
      </c>
      <c r="D91" t="s">
        <v>125</v>
      </c>
      <c r="E91" s="4">
        <v>28</v>
      </c>
      <c r="F91" s="5" t="s">
        <v>508</v>
      </c>
      <c r="G91" s="5"/>
      <c r="H91" s="5">
        <v>6878</v>
      </c>
      <c r="I91" s="5">
        <f>2600+2568+469+493</f>
        <v>6130</v>
      </c>
      <c r="J91" s="5">
        <f>415+329</f>
        <v>744</v>
      </c>
      <c r="K91" s="5">
        <f>1+3</f>
        <v>4</v>
      </c>
      <c r="L91" s="5">
        <f t="shared" ref="L91:L122" si="42">I91+J91+K91</f>
        <v>6878</v>
      </c>
      <c r="M91" s="5">
        <f t="shared" ref="M91:M122" si="43">L91-H91</f>
        <v>0</v>
      </c>
      <c r="N91" s="6">
        <f t="shared" ref="N91:N111" si="44">(I91-J91)/H91</f>
        <v>0.78307647571968597</v>
      </c>
      <c r="O91">
        <v>38</v>
      </c>
      <c r="R91">
        <v>2713</v>
      </c>
      <c r="S91">
        <f>1145+117+1252+166</f>
        <v>2680</v>
      </c>
      <c r="T91">
        <f>17+16</f>
        <v>33</v>
      </c>
      <c r="V91">
        <f t="shared" ref="V91:V122" si="45">SUM(S91:U91)</f>
        <v>2713</v>
      </c>
      <c r="W91">
        <f t="shared" ref="W91:W122" si="46">R91-V91</f>
        <v>0</v>
      </c>
      <c r="X91" s="6">
        <f t="shared" ref="X91:X100" si="47">(S91-T91)/R91</f>
        <v>0.97567268706229271</v>
      </c>
      <c r="Y91">
        <v>21</v>
      </c>
      <c r="AB91">
        <v>13037</v>
      </c>
      <c r="AC91">
        <f>6149+6416</f>
        <v>12565</v>
      </c>
      <c r="AD91">
        <f>204+192</f>
        <v>396</v>
      </c>
      <c r="AE91">
        <f>21+9+1+4+16+23+2</f>
        <v>76</v>
      </c>
      <c r="AF91">
        <f t="shared" ref="AF91:AF122" si="48">SUM(AC91:AE91)</f>
        <v>13037</v>
      </c>
      <c r="AG91">
        <f t="shared" ref="AG91:AG122" si="49">AB91-AF91</f>
        <v>0</v>
      </c>
      <c r="AH91">
        <f t="shared" ref="AH91:AH111" si="50">(AC91-AD91)/AB91</f>
        <v>0.93342026539848122</v>
      </c>
    </row>
    <row r="92" spans="1:34" x14ac:dyDescent="0.2">
      <c r="A92">
        <v>251950</v>
      </c>
      <c r="B92" t="s">
        <v>123</v>
      </c>
      <c r="C92" t="s">
        <v>126</v>
      </c>
      <c r="D92" t="s">
        <v>125</v>
      </c>
      <c r="E92" s="4">
        <v>28</v>
      </c>
      <c r="F92" s="5" t="s">
        <v>521</v>
      </c>
      <c r="G92" s="5">
        <v>1</v>
      </c>
      <c r="H92" s="5">
        <v>37295</v>
      </c>
      <c r="I92" s="5">
        <f>15139+15690+1807+2114</f>
        <v>34750</v>
      </c>
      <c r="J92" s="5">
        <f>1196+990</f>
        <v>2186</v>
      </c>
      <c r="K92" s="5">
        <f>204+155</f>
        <v>359</v>
      </c>
      <c r="L92" s="5">
        <f t="shared" si="42"/>
        <v>37295</v>
      </c>
      <c r="M92" s="5">
        <f t="shared" si="43"/>
        <v>0</v>
      </c>
      <c r="N92" s="6">
        <f t="shared" si="44"/>
        <v>0.87314653438798762</v>
      </c>
      <c r="O92">
        <v>38</v>
      </c>
      <c r="R92">
        <v>4235</v>
      </c>
      <c r="S92">
        <f>1712+170+1898+203</f>
        <v>3983</v>
      </c>
      <c r="T92">
        <f>111+124</f>
        <v>235</v>
      </c>
      <c r="U92">
        <f>9+8</f>
        <v>17</v>
      </c>
      <c r="V92">
        <f t="shared" si="45"/>
        <v>4235</v>
      </c>
      <c r="W92">
        <f t="shared" si="46"/>
        <v>0</v>
      </c>
      <c r="X92" s="6">
        <f t="shared" si="47"/>
        <v>0.88500590318772132</v>
      </c>
      <c r="Y92">
        <v>22</v>
      </c>
      <c r="AB92">
        <v>5139</v>
      </c>
      <c r="AC92">
        <v>4846</v>
      </c>
      <c r="AD92">
        <v>262</v>
      </c>
      <c r="AE92">
        <v>31</v>
      </c>
      <c r="AF92">
        <f t="shared" si="48"/>
        <v>5139</v>
      </c>
      <c r="AG92">
        <f t="shared" si="49"/>
        <v>0</v>
      </c>
      <c r="AH92">
        <f t="shared" si="50"/>
        <v>0.89200233508464677</v>
      </c>
    </row>
    <row r="93" spans="1:34" x14ac:dyDescent="0.2">
      <c r="A93">
        <v>252850</v>
      </c>
      <c r="B93" t="s">
        <v>123</v>
      </c>
      <c r="C93" t="s">
        <v>127</v>
      </c>
      <c r="D93" t="s">
        <v>128</v>
      </c>
      <c r="E93" s="4">
        <v>28</v>
      </c>
      <c r="F93" s="5" t="s">
        <v>522</v>
      </c>
      <c r="G93" s="5"/>
      <c r="H93" s="5">
        <v>22213</v>
      </c>
      <c r="I93" s="5">
        <v>22071</v>
      </c>
      <c r="J93" s="5">
        <v>137</v>
      </c>
      <c r="K93" s="5">
        <v>5</v>
      </c>
      <c r="L93" s="5">
        <f t="shared" si="42"/>
        <v>22213</v>
      </c>
      <c r="M93" s="5">
        <f t="shared" si="43"/>
        <v>0</v>
      </c>
      <c r="N93" s="6">
        <f t="shared" si="44"/>
        <v>0.98743978751181738</v>
      </c>
      <c r="O93">
        <v>34</v>
      </c>
      <c r="R93">
        <v>21567</v>
      </c>
      <c r="S93">
        <f>9101+1219+9836+1302</f>
        <v>21458</v>
      </c>
      <c r="T93">
        <f>51+52</f>
        <v>103</v>
      </c>
      <c r="U93">
        <f>4+2</f>
        <v>6</v>
      </c>
      <c r="V93">
        <f t="shared" si="45"/>
        <v>21567</v>
      </c>
      <c r="W93">
        <f t="shared" si="46"/>
        <v>0</v>
      </c>
      <c r="X93" s="6">
        <f t="shared" si="47"/>
        <v>0.99017016738535724</v>
      </c>
      <c r="Y93">
        <v>21</v>
      </c>
      <c r="AB93">
        <v>19905</v>
      </c>
      <c r="AC93">
        <f>9328+10441</f>
        <v>19769</v>
      </c>
      <c r="AD93">
        <f>66+60</f>
        <v>126</v>
      </c>
      <c r="AE93">
        <f>2+1+2+2+3</f>
        <v>10</v>
      </c>
      <c r="AF93">
        <f t="shared" si="48"/>
        <v>19905</v>
      </c>
      <c r="AG93">
        <f t="shared" si="49"/>
        <v>0</v>
      </c>
      <c r="AH93">
        <f t="shared" si="50"/>
        <v>0.98683747802059785</v>
      </c>
    </row>
    <row r="94" spans="1:34" x14ac:dyDescent="0.2">
      <c r="A94">
        <v>253370</v>
      </c>
      <c r="B94" t="s">
        <v>123</v>
      </c>
      <c r="C94" t="s">
        <v>129</v>
      </c>
      <c r="D94" t="s">
        <v>128</v>
      </c>
      <c r="E94" s="4">
        <v>28</v>
      </c>
      <c r="F94" s="5" t="s">
        <v>523</v>
      </c>
      <c r="G94" s="5"/>
      <c r="H94" s="5">
        <v>49684</v>
      </c>
      <c r="I94" s="5">
        <v>49209</v>
      </c>
      <c r="J94" s="5">
        <v>459</v>
      </c>
      <c r="K94" s="5">
        <v>16</v>
      </c>
      <c r="L94" s="5">
        <f t="shared" si="42"/>
        <v>49684</v>
      </c>
      <c r="M94" s="5">
        <f t="shared" si="43"/>
        <v>0</v>
      </c>
      <c r="N94" s="6">
        <f t="shared" si="44"/>
        <v>0.98120119153047258</v>
      </c>
      <c r="O94">
        <v>34</v>
      </c>
      <c r="R94">
        <v>53348</v>
      </c>
      <c r="S94">
        <f>22309+3046+24252+3065</f>
        <v>52672</v>
      </c>
      <c r="T94">
        <f>320+333</f>
        <v>653</v>
      </c>
      <c r="U94">
        <f>16+7</f>
        <v>23</v>
      </c>
      <c r="V94">
        <f t="shared" si="45"/>
        <v>53348</v>
      </c>
      <c r="W94">
        <f t="shared" si="46"/>
        <v>0</v>
      </c>
      <c r="X94" s="6">
        <f t="shared" si="47"/>
        <v>0.97508810077228758</v>
      </c>
      <c r="Y94">
        <v>21</v>
      </c>
      <c r="AB94">
        <v>57879</v>
      </c>
      <c r="AC94">
        <f>27230+29709</f>
        <v>56939</v>
      </c>
      <c r="AD94">
        <f>428+431</f>
        <v>859</v>
      </c>
      <c r="AE94">
        <f>5+7+24+2+2+7+9+20+3+2</f>
        <v>81</v>
      </c>
      <c r="AF94">
        <f t="shared" si="48"/>
        <v>57879</v>
      </c>
      <c r="AG94">
        <f t="shared" si="49"/>
        <v>0</v>
      </c>
      <c r="AH94">
        <f t="shared" si="50"/>
        <v>0.96891791496052104</v>
      </c>
    </row>
    <row r="95" spans="1:34" x14ac:dyDescent="0.2">
      <c r="A95">
        <v>252770</v>
      </c>
      <c r="B95" t="s">
        <v>123</v>
      </c>
      <c r="C95" t="s">
        <v>130</v>
      </c>
      <c r="D95" t="s">
        <v>131</v>
      </c>
      <c r="E95" s="4">
        <v>28</v>
      </c>
      <c r="F95" s="5" t="s">
        <v>524</v>
      </c>
      <c r="G95" s="5"/>
      <c r="H95" s="5">
        <v>110341</v>
      </c>
      <c r="I95" s="5">
        <f>37031+39273+14069+15564</f>
        <v>105937</v>
      </c>
      <c r="J95" s="5">
        <f>2233+2064</f>
        <v>4297</v>
      </c>
      <c r="K95" s="5">
        <f>58+49</f>
        <v>107</v>
      </c>
      <c r="L95" s="5">
        <f t="shared" si="42"/>
        <v>110341</v>
      </c>
      <c r="M95" s="5">
        <f t="shared" si="43"/>
        <v>0</v>
      </c>
      <c r="N95" s="6">
        <f t="shared" si="44"/>
        <v>0.92114445219818564</v>
      </c>
      <c r="O95">
        <v>34</v>
      </c>
      <c r="R95">
        <v>109189</v>
      </c>
      <c r="S95">
        <f>39176+11033+43007+12808</f>
        <v>106024</v>
      </c>
      <c r="T95">
        <f>1584+1494</f>
        <v>3078</v>
      </c>
      <c r="U95">
        <f>61+26</f>
        <v>87</v>
      </c>
      <c r="V95">
        <f t="shared" si="45"/>
        <v>109189</v>
      </c>
      <c r="W95">
        <f t="shared" si="46"/>
        <v>0</v>
      </c>
      <c r="X95" s="6">
        <f t="shared" si="47"/>
        <v>0.94282391083350892</v>
      </c>
      <c r="Y95">
        <v>21</v>
      </c>
      <c r="AB95">
        <v>102477</v>
      </c>
      <c r="AC95">
        <f>46658+52486</f>
        <v>99144</v>
      </c>
      <c r="AD95">
        <f>1542+1569</f>
        <v>3111</v>
      </c>
      <c r="AE95">
        <f>46+1+38+9+24+59+9+15+2+19</f>
        <v>222</v>
      </c>
      <c r="AF95">
        <f t="shared" si="48"/>
        <v>102477</v>
      </c>
      <c r="AG95">
        <f t="shared" si="49"/>
        <v>0</v>
      </c>
      <c r="AH95">
        <f t="shared" si="50"/>
        <v>0.93711759711935361</v>
      </c>
    </row>
    <row r="96" spans="1:34" x14ac:dyDescent="0.2">
      <c r="A96">
        <v>254220</v>
      </c>
      <c r="B96" t="s">
        <v>123</v>
      </c>
      <c r="C96" t="s">
        <v>132</v>
      </c>
      <c r="D96" t="s">
        <v>131</v>
      </c>
      <c r="E96" s="4">
        <v>28</v>
      </c>
      <c r="F96" s="5" t="s">
        <v>525</v>
      </c>
      <c r="G96" s="5"/>
      <c r="H96" s="5">
        <v>37395</v>
      </c>
      <c r="I96" s="5">
        <v>36933</v>
      </c>
      <c r="J96" s="5">
        <v>443</v>
      </c>
      <c r="K96" s="5">
        <v>19</v>
      </c>
      <c r="L96" s="5">
        <f t="shared" si="42"/>
        <v>37395</v>
      </c>
      <c r="M96" s="5">
        <f t="shared" si="43"/>
        <v>0</v>
      </c>
      <c r="N96" s="6">
        <f t="shared" si="44"/>
        <v>0.97579890359673749</v>
      </c>
      <c r="O96">
        <v>34</v>
      </c>
      <c r="R96">
        <v>40109</v>
      </c>
      <c r="S96">
        <f>16439+2578+17707+2972</f>
        <v>39696</v>
      </c>
      <c r="T96">
        <f>194+195</f>
        <v>389</v>
      </c>
      <c r="U96">
        <f>16+8</f>
        <v>24</v>
      </c>
      <c r="V96">
        <f t="shared" si="45"/>
        <v>40109</v>
      </c>
      <c r="W96">
        <f t="shared" si="46"/>
        <v>0</v>
      </c>
      <c r="X96" s="6">
        <f t="shared" si="47"/>
        <v>0.9800044877708245</v>
      </c>
      <c r="Y96">
        <v>21</v>
      </c>
      <c r="AB96">
        <v>41132</v>
      </c>
      <c r="AC96">
        <f>19368+21157</f>
        <v>40525</v>
      </c>
      <c r="AD96">
        <f>274+278</f>
        <v>552</v>
      </c>
      <c r="AE96">
        <f>1+1+14+1+16+4+8+7+3</f>
        <v>55</v>
      </c>
      <c r="AF96">
        <f t="shared" si="48"/>
        <v>41132</v>
      </c>
      <c r="AG96">
        <f t="shared" si="49"/>
        <v>0</v>
      </c>
      <c r="AH96">
        <f t="shared" si="50"/>
        <v>0.97182242536224839</v>
      </c>
    </row>
    <row r="97" spans="1:34" x14ac:dyDescent="0.2">
      <c r="A97">
        <v>251430</v>
      </c>
      <c r="B97" t="s">
        <v>123</v>
      </c>
      <c r="C97" t="s">
        <v>133</v>
      </c>
      <c r="D97" t="s">
        <v>134</v>
      </c>
      <c r="E97" s="4">
        <v>28</v>
      </c>
      <c r="F97" s="5" t="s">
        <v>526</v>
      </c>
      <c r="G97" s="5"/>
      <c r="H97" s="5">
        <v>24046</v>
      </c>
      <c r="I97" s="5">
        <v>24031</v>
      </c>
      <c r="J97" s="5">
        <v>12</v>
      </c>
      <c r="K97" s="5">
        <v>3</v>
      </c>
      <c r="L97" s="5">
        <f t="shared" si="42"/>
        <v>24046</v>
      </c>
      <c r="M97" s="5">
        <f t="shared" si="43"/>
        <v>0</v>
      </c>
      <c r="N97" s="6">
        <f t="shared" si="44"/>
        <v>0.99887715212509354</v>
      </c>
      <c r="O97">
        <v>34</v>
      </c>
      <c r="R97">
        <v>25167</v>
      </c>
      <c r="S97">
        <f>10408+1649+11201+1881</f>
        <v>25139</v>
      </c>
      <c r="T97">
        <f>12+7</f>
        <v>19</v>
      </c>
      <c r="U97">
        <f>8+1</f>
        <v>9</v>
      </c>
      <c r="V97">
        <f t="shared" si="45"/>
        <v>25167</v>
      </c>
      <c r="W97">
        <f t="shared" si="46"/>
        <v>0</v>
      </c>
      <c r="X97" s="6">
        <f t="shared" si="47"/>
        <v>0.99813247506655545</v>
      </c>
      <c r="Y97">
        <v>21</v>
      </c>
      <c r="AB97">
        <v>25789</v>
      </c>
      <c r="AC97">
        <f>12285+13488</f>
        <v>25773</v>
      </c>
      <c r="AD97">
        <f>2+6</f>
        <v>8</v>
      </c>
      <c r="AE97">
        <f>4+2+1+1</f>
        <v>8</v>
      </c>
      <c r="AF97">
        <f t="shared" si="48"/>
        <v>25789</v>
      </c>
      <c r="AG97">
        <f t="shared" si="49"/>
        <v>0</v>
      </c>
      <c r="AH97">
        <f t="shared" si="50"/>
        <v>0.99906937066191015</v>
      </c>
    </row>
    <row r="98" spans="1:34" x14ac:dyDescent="0.2">
      <c r="A98">
        <v>252210</v>
      </c>
      <c r="B98" t="s">
        <v>123</v>
      </c>
      <c r="C98" t="s">
        <v>135</v>
      </c>
      <c r="D98" t="s">
        <v>134</v>
      </c>
      <c r="E98" s="4">
        <v>28</v>
      </c>
      <c r="F98" s="5" t="s">
        <v>605</v>
      </c>
      <c r="G98" s="5"/>
      <c r="H98" s="5">
        <v>98123</v>
      </c>
      <c r="I98" s="5">
        <v>97314</v>
      </c>
      <c r="J98" s="5">
        <v>744</v>
      </c>
      <c r="K98" s="5">
        <v>65</v>
      </c>
      <c r="L98" s="5">
        <f t="shared" si="42"/>
        <v>98123</v>
      </c>
      <c r="M98" s="5">
        <f t="shared" si="43"/>
        <v>0</v>
      </c>
      <c r="N98" s="6">
        <f t="shared" si="44"/>
        <v>0.9841729258175963</v>
      </c>
      <c r="O98">
        <v>34</v>
      </c>
      <c r="R98">
        <v>99738</v>
      </c>
      <c r="S98">
        <f>39347+7931+42246+9200</f>
        <v>98724</v>
      </c>
      <c r="T98">
        <f>431+485</f>
        <v>916</v>
      </c>
      <c r="U98">
        <f>53+45</f>
        <v>98</v>
      </c>
      <c r="V98">
        <f t="shared" si="45"/>
        <v>99738</v>
      </c>
      <c r="W98">
        <f t="shared" si="46"/>
        <v>0</v>
      </c>
      <c r="X98" s="6">
        <f t="shared" si="47"/>
        <v>0.9806493011690629</v>
      </c>
      <c r="Y98">
        <v>21</v>
      </c>
      <c r="AB98">
        <v>94478</v>
      </c>
      <c r="AC98">
        <f>44239+48737</f>
        <v>92976</v>
      </c>
      <c r="AD98">
        <f>618+696</f>
        <v>1314</v>
      </c>
      <c r="AE98">
        <f>13+4+56+1+14+10+18+60+4+8</f>
        <v>188</v>
      </c>
      <c r="AF98">
        <f t="shared" si="48"/>
        <v>94478</v>
      </c>
      <c r="AG98">
        <f t="shared" si="49"/>
        <v>0</v>
      </c>
      <c r="AH98">
        <f t="shared" si="50"/>
        <v>0.97019411926586085</v>
      </c>
    </row>
    <row r="99" spans="1:34" s="2" customFormat="1" x14ac:dyDescent="0.2">
      <c r="A99" s="2">
        <v>25009075</v>
      </c>
      <c r="B99" s="2" t="s">
        <v>123</v>
      </c>
      <c r="C99" s="2" t="s">
        <v>136</v>
      </c>
      <c r="D99" s="2" t="s">
        <v>134</v>
      </c>
      <c r="E99" s="4">
        <v>28</v>
      </c>
      <c r="F99" s="8" t="s">
        <v>509</v>
      </c>
      <c r="G99" s="8"/>
      <c r="H99" s="8">
        <v>2287</v>
      </c>
      <c r="I99" s="8">
        <f>982+1035+149+120</f>
        <v>2286</v>
      </c>
      <c r="J99" s="8">
        <v>1</v>
      </c>
      <c r="K99" s="8">
        <v>0</v>
      </c>
      <c r="L99" s="8">
        <f t="shared" si="42"/>
        <v>2287</v>
      </c>
      <c r="M99" s="8">
        <f t="shared" si="43"/>
        <v>0</v>
      </c>
      <c r="N99" s="9">
        <f t="shared" si="44"/>
        <v>0.99912549191080013</v>
      </c>
      <c r="O99" s="2">
        <v>41</v>
      </c>
      <c r="P99" s="2" t="s">
        <v>609</v>
      </c>
      <c r="Q99" s="2">
        <v>1</v>
      </c>
      <c r="R99" s="2">
        <v>522384</v>
      </c>
      <c r="S99" s="2">
        <f>211579+37778+227248+43526</f>
        <v>520131</v>
      </c>
      <c r="T99" s="2">
        <f>932+986</f>
        <v>1918</v>
      </c>
      <c r="U99" s="2">
        <f>214+121</f>
        <v>335</v>
      </c>
      <c r="V99">
        <f t="shared" si="45"/>
        <v>522384</v>
      </c>
      <c r="W99">
        <f t="shared" si="46"/>
        <v>0</v>
      </c>
      <c r="X99" s="6">
        <f t="shared" si="47"/>
        <v>0.9920154522343716</v>
      </c>
      <c r="Y99" s="2">
        <v>25</v>
      </c>
      <c r="AB99" s="2">
        <v>8398</v>
      </c>
      <c r="AC99" s="2">
        <v>8387</v>
      </c>
      <c r="AD99" s="8">
        <v>8</v>
      </c>
      <c r="AE99" s="8">
        <v>3</v>
      </c>
      <c r="AF99">
        <f t="shared" si="48"/>
        <v>8398</v>
      </c>
      <c r="AG99">
        <f t="shared" si="49"/>
        <v>0</v>
      </c>
      <c r="AH99">
        <f t="shared" si="50"/>
        <v>0.99773755656108598</v>
      </c>
    </row>
    <row r="100" spans="1:34" s="2" customFormat="1" x14ac:dyDescent="0.2">
      <c r="A100" s="2">
        <v>25009095</v>
      </c>
      <c r="B100" s="2" t="s">
        <v>123</v>
      </c>
      <c r="C100" s="2" t="s">
        <v>137</v>
      </c>
      <c r="D100" s="2" t="s">
        <v>134</v>
      </c>
      <c r="E100" s="4">
        <v>28</v>
      </c>
      <c r="F100" s="8" t="s">
        <v>540</v>
      </c>
      <c r="G100" s="8"/>
      <c r="H100" s="8">
        <v>21880</v>
      </c>
      <c r="I100" s="8">
        <v>21833</v>
      </c>
      <c r="J100" s="8">
        <v>47</v>
      </c>
      <c r="K100" s="8">
        <v>0</v>
      </c>
      <c r="L100" s="8">
        <f t="shared" si="42"/>
        <v>21880</v>
      </c>
      <c r="M100" s="8">
        <f t="shared" si="43"/>
        <v>0</v>
      </c>
      <c r="N100" s="9">
        <f t="shared" si="44"/>
        <v>0.99570383912248628</v>
      </c>
      <c r="O100" s="2">
        <v>41</v>
      </c>
      <c r="P100" s="2" t="s">
        <v>609</v>
      </c>
      <c r="Q100" s="2">
        <v>1</v>
      </c>
      <c r="R100" s="2">
        <v>522384</v>
      </c>
      <c r="S100" s="2">
        <f>211579+37778+227248+43526</f>
        <v>520131</v>
      </c>
      <c r="T100" s="2">
        <f>932+986</f>
        <v>1918</v>
      </c>
      <c r="U100" s="2">
        <f>214+121</f>
        <v>335</v>
      </c>
      <c r="V100">
        <f t="shared" si="45"/>
        <v>522384</v>
      </c>
      <c r="W100">
        <f t="shared" si="46"/>
        <v>0</v>
      </c>
      <c r="X100" s="6">
        <f t="shared" si="47"/>
        <v>0.9920154522343716</v>
      </c>
      <c r="Y100" s="2">
        <v>21</v>
      </c>
      <c r="AB100" s="2">
        <v>28114</v>
      </c>
      <c r="AC100" s="2">
        <f>13499+14540</f>
        <v>28039</v>
      </c>
      <c r="AD100" s="2">
        <f>26+28</f>
        <v>54</v>
      </c>
      <c r="AE100" s="2">
        <f>5+4+1+3+1+3+1+3</f>
        <v>21</v>
      </c>
      <c r="AF100">
        <f t="shared" si="48"/>
        <v>28114</v>
      </c>
      <c r="AG100">
        <f t="shared" si="49"/>
        <v>0</v>
      </c>
      <c r="AH100">
        <f t="shared" si="50"/>
        <v>0.99541153873514976</v>
      </c>
    </row>
    <row r="101" spans="1:34" x14ac:dyDescent="0.2">
      <c r="A101" s="2">
        <v>253670</v>
      </c>
      <c r="B101" t="s">
        <v>123</v>
      </c>
      <c r="C101" t="s">
        <v>138</v>
      </c>
      <c r="D101" t="s">
        <v>134</v>
      </c>
      <c r="E101" s="4">
        <v>28</v>
      </c>
      <c r="F101" s="5" t="s">
        <v>527</v>
      </c>
      <c r="G101" s="5"/>
      <c r="H101" s="5">
        <v>41213</v>
      </c>
      <c r="I101" s="5">
        <v>41068</v>
      </c>
      <c r="J101" s="5">
        <v>110</v>
      </c>
      <c r="K101" s="5">
        <v>35</v>
      </c>
      <c r="L101" s="5">
        <f t="shared" si="42"/>
        <v>41213</v>
      </c>
      <c r="M101" s="5">
        <f t="shared" si="43"/>
        <v>0</v>
      </c>
      <c r="N101" s="6">
        <f t="shared" si="44"/>
        <v>0.99381263193652492</v>
      </c>
      <c r="O101">
        <v>34</v>
      </c>
      <c r="R101">
        <v>41880</v>
      </c>
      <c r="S101">
        <f>17058+2764+18563+3321</f>
        <v>41706</v>
      </c>
      <c r="T101">
        <f>59+54</f>
        <v>113</v>
      </c>
      <c r="U101">
        <f>44+17</f>
        <v>61</v>
      </c>
      <c r="V101">
        <f t="shared" si="45"/>
        <v>41880</v>
      </c>
      <c r="W101">
        <f t="shared" si="46"/>
        <v>0</v>
      </c>
      <c r="X101" s="6">
        <f>(S101-T101)/R101</f>
        <v>0.9931470869149952</v>
      </c>
      <c r="Y101" s="2">
        <v>21</v>
      </c>
      <c r="AA101" s="2"/>
      <c r="AB101" s="2">
        <v>39211</v>
      </c>
      <c r="AC101">
        <f>18185+20855</f>
        <v>39040</v>
      </c>
      <c r="AD101">
        <f>56+56</f>
        <v>112</v>
      </c>
      <c r="AE101">
        <f>2+23+3+6+2+1+14+2+6</f>
        <v>59</v>
      </c>
      <c r="AF101">
        <f t="shared" si="48"/>
        <v>39211</v>
      </c>
      <c r="AG101">
        <f t="shared" si="49"/>
        <v>0</v>
      </c>
      <c r="AH101">
        <f t="shared" si="50"/>
        <v>0.99278263752518425</v>
      </c>
    </row>
    <row r="102" spans="1:34" x14ac:dyDescent="0.2">
      <c r="A102" s="2">
        <v>251520</v>
      </c>
      <c r="B102" t="s">
        <v>123</v>
      </c>
      <c r="C102" t="s">
        <v>139</v>
      </c>
      <c r="D102" t="s">
        <v>114</v>
      </c>
      <c r="E102" s="4">
        <v>28</v>
      </c>
      <c r="F102" s="5" t="s">
        <v>510</v>
      </c>
      <c r="G102" s="5"/>
      <c r="H102" s="5">
        <v>15672</v>
      </c>
      <c r="I102" s="5">
        <v>15552</v>
      </c>
      <c r="J102" s="5">
        <v>120</v>
      </c>
      <c r="K102" s="5">
        <v>0</v>
      </c>
      <c r="L102" s="5">
        <f t="shared" si="42"/>
        <v>15672</v>
      </c>
      <c r="M102" s="5">
        <f t="shared" si="43"/>
        <v>0</v>
      </c>
      <c r="N102" s="6">
        <f t="shared" si="44"/>
        <v>0.9846860643185299</v>
      </c>
      <c r="O102">
        <v>34</v>
      </c>
      <c r="R102">
        <v>15075</v>
      </c>
      <c r="S102">
        <f>6491+651+7140+686</f>
        <v>14968</v>
      </c>
      <c r="T102">
        <f>51+47</f>
        <v>98</v>
      </c>
      <c r="U102">
        <f>5+4</f>
        <v>9</v>
      </c>
      <c r="V102">
        <f t="shared" si="45"/>
        <v>15075</v>
      </c>
      <c r="W102">
        <f t="shared" si="46"/>
        <v>0</v>
      </c>
      <c r="X102" s="6">
        <f>(S102-T102)/R102</f>
        <v>0.98640132669983416</v>
      </c>
      <c r="Y102">
        <v>21</v>
      </c>
      <c r="AA102" s="2"/>
      <c r="AB102">
        <v>14389</v>
      </c>
      <c r="AC102">
        <f>6598+7671</f>
        <v>14269</v>
      </c>
      <c r="AD102">
        <f>52+54</f>
        <v>106</v>
      </c>
      <c r="AE102">
        <f>1+7+2+2+2</f>
        <v>14</v>
      </c>
      <c r="AF102">
        <f t="shared" si="48"/>
        <v>14389</v>
      </c>
      <c r="AG102">
        <f t="shared" si="49"/>
        <v>0</v>
      </c>
      <c r="AH102">
        <f t="shared" si="50"/>
        <v>0.98429355757870596</v>
      </c>
    </row>
    <row r="103" spans="1:34" x14ac:dyDescent="0.2">
      <c r="A103" s="2">
        <v>251830</v>
      </c>
      <c r="B103" t="s">
        <v>123</v>
      </c>
      <c r="C103" t="s">
        <v>140</v>
      </c>
      <c r="D103" t="s">
        <v>141</v>
      </c>
      <c r="E103" s="4">
        <v>28</v>
      </c>
      <c r="F103" s="5" t="s">
        <v>528</v>
      </c>
      <c r="G103" s="5"/>
      <c r="H103" s="5">
        <v>53750</v>
      </c>
      <c r="I103" s="5">
        <v>53646</v>
      </c>
      <c r="J103" s="5">
        <v>94</v>
      </c>
      <c r="K103" s="5">
        <v>10</v>
      </c>
      <c r="L103" s="5">
        <f t="shared" si="42"/>
        <v>53750</v>
      </c>
      <c r="M103" s="5">
        <f t="shared" si="43"/>
        <v>0</v>
      </c>
      <c r="N103" s="6">
        <f t="shared" si="44"/>
        <v>0.9963162790697675</v>
      </c>
      <c r="O103">
        <v>34</v>
      </c>
      <c r="R103">
        <v>54661</v>
      </c>
      <c r="S103">
        <f>21570+4142+23282+5322</f>
        <v>54316</v>
      </c>
      <c r="T103">
        <f>167+167</f>
        <v>334</v>
      </c>
      <c r="U103">
        <f>10+1</f>
        <v>11</v>
      </c>
      <c r="V103">
        <f t="shared" si="45"/>
        <v>54661</v>
      </c>
      <c r="W103">
        <f t="shared" si="46"/>
        <v>0</v>
      </c>
      <c r="X103" s="6">
        <f>(S103-T103)/R103</f>
        <v>0.98757798064433511</v>
      </c>
      <c r="Y103">
        <v>21</v>
      </c>
      <c r="AA103" s="2"/>
      <c r="AB103">
        <v>52689</v>
      </c>
      <c r="AC103">
        <f>24322+27742</f>
        <v>52064</v>
      </c>
      <c r="AD103">
        <f>271+271</f>
        <v>542</v>
      </c>
      <c r="AE103">
        <f>6+5+6+5+10+12+23+2+8+6</f>
        <v>83</v>
      </c>
      <c r="AF103">
        <f t="shared" si="48"/>
        <v>52689</v>
      </c>
      <c r="AG103">
        <f t="shared" si="49"/>
        <v>0</v>
      </c>
      <c r="AH103">
        <f t="shared" si="50"/>
        <v>0.9778511643796618</v>
      </c>
    </row>
    <row r="104" spans="1:34" x14ac:dyDescent="0.2">
      <c r="A104" s="2">
        <v>254090</v>
      </c>
      <c r="B104" t="s">
        <v>123</v>
      </c>
      <c r="C104" t="s">
        <v>142</v>
      </c>
      <c r="D104" t="s">
        <v>141</v>
      </c>
      <c r="E104" s="4">
        <v>28</v>
      </c>
      <c r="F104" s="5" t="s">
        <v>529</v>
      </c>
      <c r="G104" s="5"/>
      <c r="H104" s="5">
        <v>149554</v>
      </c>
      <c r="I104" s="5">
        <f>57434+62189+13269+13469</f>
        <v>146361</v>
      </c>
      <c r="J104" s="5">
        <f>1503+1641</f>
        <v>3144</v>
      </c>
      <c r="K104" s="5">
        <f>40+9</f>
        <v>49</v>
      </c>
      <c r="L104" s="5">
        <f t="shared" si="42"/>
        <v>149554</v>
      </c>
      <c r="M104" s="5">
        <f t="shared" si="43"/>
        <v>0</v>
      </c>
      <c r="N104" s="6">
        <f t="shared" si="44"/>
        <v>0.95762734530671201</v>
      </c>
      <c r="O104">
        <v>34</v>
      </c>
      <c r="R104">
        <v>162399</v>
      </c>
      <c r="S104">
        <f>63708+11412+68883+12125</f>
        <v>156128</v>
      </c>
      <c r="T104">
        <f>2992+3181</f>
        <v>6173</v>
      </c>
      <c r="U104">
        <f>73+25</f>
        <v>98</v>
      </c>
      <c r="V104">
        <f t="shared" si="45"/>
        <v>162399</v>
      </c>
      <c r="W104">
        <f t="shared" si="46"/>
        <v>0</v>
      </c>
      <c r="X104" s="6">
        <f>(S104-T104)/R104</f>
        <v>0.92337391240093847</v>
      </c>
      <c r="Y104">
        <v>21</v>
      </c>
      <c r="AA104" s="2"/>
      <c r="AB104">
        <v>174463</v>
      </c>
      <c r="AC104">
        <f>76925+84177</f>
        <v>161102</v>
      </c>
      <c r="AD104">
        <f>6325+6761</f>
        <v>13086</v>
      </c>
      <c r="AE104">
        <f>31+16+24+11+39+31+60+21+14+28</f>
        <v>275</v>
      </c>
      <c r="AF104">
        <f t="shared" si="48"/>
        <v>174463</v>
      </c>
      <c r="AG104">
        <f t="shared" si="49"/>
        <v>0</v>
      </c>
      <c r="AH104">
        <f t="shared" si="50"/>
        <v>0.84840911826576404</v>
      </c>
    </row>
    <row r="105" spans="1:34" x14ac:dyDescent="0.2">
      <c r="A105" s="2">
        <v>252865</v>
      </c>
      <c r="B105" t="s">
        <v>123</v>
      </c>
      <c r="C105" t="s">
        <v>143</v>
      </c>
      <c r="D105" t="s">
        <v>144</v>
      </c>
      <c r="E105" s="4">
        <v>28</v>
      </c>
      <c r="F105" s="5" t="s">
        <v>530</v>
      </c>
      <c r="G105" s="5"/>
      <c r="H105" s="5">
        <v>24794</v>
      </c>
      <c r="I105" s="5">
        <v>24712</v>
      </c>
      <c r="J105" s="5">
        <v>65</v>
      </c>
      <c r="K105" s="5">
        <v>17</v>
      </c>
      <c r="L105" s="5">
        <f t="shared" si="42"/>
        <v>24794</v>
      </c>
      <c r="M105" s="5">
        <f t="shared" si="43"/>
        <v>0</v>
      </c>
      <c r="N105" s="6">
        <f t="shared" si="44"/>
        <v>0.99407114624505932</v>
      </c>
      <c r="O105">
        <v>34</v>
      </c>
      <c r="R105">
        <v>29063</v>
      </c>
      <c r="S105">
        <f>11388+1620+13978+1944</f>
        <v>28930</v>
      </c>
      <c r="T105">
        <f>63+33</f>
        <v>96</v>
      </c>
      <c r="U105">
        <f>11+26</f>
        <v>37</v>
      </c>
      <c r="V105">
        <f t="shared" si="45"/>
        <v>29063</v>
      </c>
      <c r="W105">
        <f t="shared" si="46"/>
        <v>0</v>
      </c>
      <c r="X105" s="6">
        <f>(S105-T105)/R105</f>
        <v>0.99212056566768747</v>
      </c>
      <c r="Y105">
        <v>21</v>
      </c>
      <c r="AA105" s="2"/>
      <c r="AB105">
        <v>30058</v>
      </c>
      <c r="AC105">
        <f>13304+16613</f>
        <v>29917</v>
      </c>
      <c r="AD105">
        <f>62+42</f>
        <v>104</v>
      </c>
      <c r="AE105">
        <f>1+3+1+9+13+4+6</f>
        <v>37</v>
      </c>
      <c r="AF105">
        <f t="shared" si="48"/>
        <v>30058</v>
      </c>
      <c r="AG105">
        <f t="shared" si="49"/>
        <v>0</v>
      </c>
      <c r="AH105">
        <f t="shared" si="50"/>
        <v>0.99184909175593849</v>
      </c>
    </row>
    <row r="106" spans="1:34" s="2" customFormat="1" x14ac:dyDescent="0.2">
      <c r="A106" s="2">
        <v>25017010</v>
      </c>
      <c r="B106" s="2" t="s">
        <v>123</v>
      </c>
      <c r="C106" s="2" t="s">
        <v>145</v>
      </c>
      <c r="D106" s="2" t="s">
        <v>146</v>
      </c>
      <c r="E106" s="4">
        <v>28</v>
      </c>
      <c r="F106" s="8" t="s">
        <v>511</v>
      </c>
      <c r="G106" s="8"/>
      <c r="H106" s="8">
        <v>40013</v>
      </c>
      <c r="I106" s="8">
        <v>39959</v>
      </c>
      <c r="J106" s="8">
        <v>35</v>
      </c>
      <c r="K106" s="8">
        <v>19</v>
      </c>
      <c r="L106" s="8">
        <f t="shared" si="42"/>
        <v>40013</v>
      </c>
      <c r="M106" s="8">
        <f t="shared" si="43"/>
        <v>0</v>
      </c>
      <c r="N106" s="9">
        <f t="shared" si="44"/>
        <v>0.99777572289006078</v>
      </c>
      <c r="O106" s="2">
        <v>41</v>
      </c>
      <c r="P106" s="2" t="s">
        <v>610</v>
      </c>
      <c r="R106" s="2">
        <v>1064569</v>
      </c>
      <c r="S106" s="2">
        <f>508105+545877</f>
        <v>1053982</v>
      </c>
      <c r="T106" s="2">
        <f>4632+4920</f>
        <v>9552</v>
      </c>
      <c r="U106" s="2">
        <f>684+351</f>
        <v>1035</v>
      </c>
      <c r="V106">
        <f t="shared" si="45"/>
        <v>1064569</v>
      </c>
      <c r="W106">
        <f t="shared" si="46"/>
        <v>0</v>
      </c>
      <c r="X106" s="6">
        <f t="shared" ref="X106:X107" si="51">(S106-T106)/R106</f>
        <v>0.98108248502445594</v>
      </c>
      <c r="Y106" s="2">
        <v>21</v>
      </c>
      <c r="AB106" s="2">
        <v>49953</v>
      </c>
      <c r="AC106" s="2">
        <f>23368+26456</f>
        <v>49824</v>
      </c>
      <c r="AD106" s="2">
        <f>16+23</f>
        <v>39</v>
      </c>
      <c r="AE106" s="2">
        <f>1+35+3+2+1+6+37+2+3</f>
        <v>90</v>
      </c>
      <c r="AF106">
        <f t="shared" si="48"/>
        <v>49953</v>
      </c>
      <c r="AG106">
        <f t="shared" si="49"/>
        <v>0</v>
      </c>
      <c r="AH106">
        <f t="shared" si="50"/>
        <v>0.99663683862831065</v>
      </c>
    </row>
    <row r="107" spans="1:34" s="2" customFormat="1" x14ac:dyDescent="0.2">
      <c r="A107" s="2">
        <v>25017050</v>
      </c>
      <c r="B107" s="2" t="s">
        <v>123</v>
      </c>
      <c r="C107" s="2" t="s">
        <v>147</v>
      </c>
      <c r="D107" s="2" t="s">
        <v>146</v>
      </c>
      <c r="E107" s="4">
        <v>28</v>
      </c>
      <c r="F107" s="8" t="s">
        <v>512</v>
      </c>
      <c r="G107" s="8"/>
      <c r="H107" s="8">
        <v>2275</v>
      </c>
      <c r="I107" s="8">
        <f>965+855+240+214</f>
        <v>2274</v>
      </c>
      <c r="J107" s="8">
        <v>1</v>
      </c>
      <c r="K107" s="8">
        <v>0</v>
      </c>
      <c r="L107" s="8">
        <f t="shared" si="42"/>
        <v>2275</v>
      </c>
      <c r="M107" s="8">
        <f t="shared" si="43"/>
        <v>0</v>
      </c>
      <c r="N107" s="9">
        <f t="shared" si="44"/>
        <v>0.9991208791208791</v>
      </c>
      <c r="O107" s="2">
        <v>41</v>
      </c>
      <c r="P107" s="2" t="s">
        <v>610</v>
      </c>
      <c r="R107" s="2">
        <v>1064569</v>
      </c>
      <c r="S107" s="2">
        <f>508105+545877</f>
        <v>1053982</v>
      </c>
      <c r="T107" s="2">
        <f>4632+4920</f>
        <v>9552</v>
      </c>
      <c r="U107" s="2">
        <f>684+351</f>
        <v>1035</v>
      </c>
      <c r="V107">
        <f t="shared" si="45"/>
        <v>1064569</v>
      </c>
      <c r="W107">
        <f t="shared" si="46"/>
        <v>0</v>
      </c>
      <c r="X107" s="6">
        <f t="shared" si="51"/>
        <v>0.98108248502445594</v>
      </c>
      <c r="Y107" s="2">
        <v>21</v>
      </c>
      <c r="AB107" s="2">
        <v>12852</v>
      </c>
      <c r="AC107" s="2">
        <f>6473+6299</f>
        <v>12772</v>
      </c>
      <c r="AD107" s="2">
        <f>19+14</f>
        <v>33</v>
      </c>
      <c r="AE107" s="2">
        <f>1+3+13+3+5+6+9+7</f>
        <v>47</v>
      </c>
      <c r="AF107">
        <f t="shared" si="48"/>
        <v>12852</v>
      </c>
      <c r="AG107">
        <f t="shared" si="49"/>
        <v>0</v>
      </c>
      <c r="AH107">
        <f t="shared" si="50"/>
        <v>0.99120759414877058</v>
      </c>
    </row>
    <row r="108" spans="1:34" x14ac:dyDescent="0.2">
      <c r="A108" s="2">
        <v>250610</v>
      </c>
      <c r="B108" t="s">
        <v>123</v>
      </c>
      <c r="C108" t="s">
        <v>148</v>
      </c>
      <c r="D108" t="s">
        <v>146</v>
      </c>
      <c r="E108" s="4">
        <v>28</v>
      </c>
      <c r="F108" s="5" t="s">
        <v>531</v>
      </c>
      <c r="G108" s="5"/>
      <c r="H108" s="5">
        <v>110879</v>
      </c>
      <c r="I108" s="5">
        <f>38751+42546+11325+13233</f>
        <v>105855</v>
      </c>
      <c r="J108" s="5">
        <f>2280+2578</f>
        <v>4858</v>
      </c>
      <c r="K108" s="5">
        <f>123+43</f>
        <v>166</v>
      </c>
      <c r="L108" s="5">
        <f t="shared" si="42"/>
        <v>110879</v>
      </c>
      <c r="M108" s="5">
        <f t="shared" si="43"/>
        <v>0</v>
      </c>
      <c r="N108" s="6">
        <f t="shared" si="44"/>
        <v>0.9108758195871175</v>
      </c>
      <c r="O108">
        <v>34</v>
      </c>
      <c r="R108" s="2">
        <v>120740</v>
      </c>
      <c r="S108">
        <f>47348+9406+47261+11053</f>
        <v>115068</v>
      </c>
      <c r="T108">
        <f>2491+2744</f>
        <v>5235</v>
      </c>
      <c r="U108">
        <f>301+136</f>
        <v>437</v>
      </c>
      <c r="V108">
        <f t="shared" si="45"/>
        <v>120740</v>
      </c>
      <c r="W108">
        <f t="shared" si="46"/>
        <v>0</v>
      </c>
      <c r="X108" s="6">
        <f>(S108-T108)/R108</f>
        <v>0.90966539672022528</v>
      </c>
      <c r="Y108">
        <v>21</v>
      </c>
      <c r="AA108" s="2"/>
      <c r="AB108">
        <v>107716</v>
      </c>
      <c r="AC108">
        <f>49778+51151</f>
        <v>100929</v>
      </c>
      <c r="AD108">
        <f>2678+2993</f>
        <v>5671</v>
      </c>
      <c r="AE108">
        <f>15+145+354+25+199+17+79+200+17+65</f>
        <v>1116</v>
      </c>
      <c r="AF108">
        <f t="shared" si="48"/>
        <v>107716</v>
      </c>
      <c r="AG108">
        <f t="shared" si="49"/>
        <v>0</v>
      </c>
      <c r="AH108">
        <f t="shared" si="50"/>
        <v>0.88434401574510746</v>
      </c>
    </row>
    <row r="109" spans="1:34" x14ac:dyDescent="0.2">
      <c r="A109" s="2">
        <v>25017070</v>
      </c>
      <c r="B109" t="s">
        <v>123</v>
      </c>
      <c r="C109" t="s">
        <v>149</v>
      </c>
      <c r="D109" t="s">
        <v>146</v>
      </c>
      <c r="E109" s="4">
        <v>28</v>
      </c>
      <c r="F109" s="5" t="s">
        <v>513</v>
      </c>
      <c r="G109" s="5"/>
      <c r="H109" s="5">
        <v>7972</v>
      </c>
      <c r="I109" s="5">
        <f>6763+1142</f>
        <v>7905</v>
      </c>
      <c r="J109" s="5">
        <v>59</v>
      </c>
      <c r="K109" s="5">
        <v>8</v>
      </c>
      <c r="L109" s="5">
        <f t="shared" si="42"/>
        <v>7972</v>
      </c>
      <c r="M109" s="5">
        <f t="shared" si="43"/>
        <v>0</v>
      </c>
      <c r="N109" s="6">
        <f t="shared" si="44"/>
        <v>0.984194681384847</v>
      </c>
      <c r="O109">
        <v>40</v>
      </c>
      <c r="R109" s="2">
        <v>2299</v>
      </c>
      <c r="S109">
        <f>905+1133+108+152</f>
        <v>2298</v>
      </c>
      <c r="T109">
        <v>1</v>
      </c>
      <c r="U109">
        <v>0</v>
      </c>
      <c r="V109">
        <f t="shared" si="45"/>
        <v>2299</v>
      </c>
      <c r="W109">
        <f t="shared" si="46"/>
        <v>0</v>
      </c>
      <c r="X109" s="6">
        <f>(S109-T109)/R109</f>
        <v>0.99913005654632447</v>
      </c>
      <c r="Y109">
        <v>21</v>
      </c>
      <c r="AA109" s="2"/>
      <c r="AB109">
        <v>12517</v>
      </c>
      <c r="AC109">
        <f>6135+6301</f>
        <v>12436</v>
      </c>
      <c r="AD109">
        <f>67+5</f>
        <v>72</v>
      </c>
      <c r="AE109">
        <f>1+4+3+1</f>
        <v>9</v>
      </c>
      <c r="AF109">
        <f t="shared" si="48"/>
        <v>12517</v>
      </c>
      <c r="AG109">
        <f t="shared" si="49"/>
        <v>0</v>
      </c>
      <c r="AH109">
        <f t="shared" si="50"/>
        <v>0.98777662379164333</v>
      </c>
    </row>
    <row r="110" spans="1:34" x14ac:dyDescent="0.2">
      <c r="A110">
        <v>251200</v>
      </c>
      <c r="B110" t="s">
        <v>123</v>
      </c>
      <c r="C110" t="s">
        <v>150</v>
      </c>
      <c r="D110" t="s">
        <v>146</v>
      </c>
      <c r="E110" s="4">
        <v>28</v>
      </c>
      <c r="F110" s="5" t="s">
        <v>532</v>
      </c>
      <c r="G110" s="5"/>
      <c r="H110" s="5">
        <v>46784</v>
      </c>
      <c r="I110" s="5">
        <v>45893</v>
      </c>
      <c r="J110" s="5">
        <v>877</v>
      </c>
      <c r="K110" s="5">
        <v>14</v>
      </c>
      <c r="L110" s="5">
        <f t="shared" si="42"/>
        <v>46784</v>
      </c>
      <c r="M110" s="5">
        <f t="shared" si="43"/>
        <v>0</v>
      </c>
      <c r="N110" s="6">
        <f t="shared" si="44"/>
        <v>0.96220930232558144</v>
      </c>
      <c r="O110">
        <v>34</v>
      </c>
      <c r="R110">
        <v>45982</v>
      </c>
      <c r="S110">
        <f>17584+4185+18904+4512</f>
        <v>45185</v>
      </c>
      <c r="T110">
        <f>388+403</f>
        <v>791</v>
      </c>
      <c r="U110">
        <v>6</v>
      </c>
      <c r="V110">
        <f t="shared" si="45"/>
        <v>45982</v>
      </c>
      <c r="W110">
        <f t="shared" si="46"/>
        <v>0</v>
      </c>
      <c r="X110" s="6">
        <f>(S110-T110)/R110</f>
        <v>0.96546474707494234</v>
      </c>
      <c r="Y110">
        <v>21</v>
      </c>
      <c r="AA110" s="2"/>
      <c r="AB110">
        <v>43544</v>
      </c>
      <c r="AC110">
        <f>20579+22271</f>
        <v>42850</v>
      </c>
      <c r="AD110">
        <f>308+356</f>
        <v>664</v>
      </c>
      <c r="AE110">
        <f>2+10+3+6+1+6+2</f>
        <v>30</v>
      </c>
      <c r="AF110">
        <f t="shared" si="48"/>
        <v>43544</v>
      </c>
      <c r="AG110">
        <f t="shared" si="49"/>
        <v>0</v>
      </c>
      <c r="AH110">
        <f t="shared" si="50"/>
        <v>0.9688131545103803</v>
      </c>
    </row>
    <row r="111" spans="1:34" s="2" customFormat="1" x14ac:dyDescent="0.2">
      <c r="A111" s="2">
        <v>25017090</v>
      </c>
      <c r="B111" s="2" t="s">
        <v>123</v>
      </c>
      <c r="C111" s="2" t="s">
        <v>151</v>
      </c>
      <c r="D111" s="2" t="s">
        <v>146</v>
      </c>
      <c r="E111" s="4">
        <v>28</v>
      </c>
      <c r="F111" s="8" t="s">
        <v>514</v>
      </c>
      <c r="G111" s="8"/>
      <c r="H111" s="8">
        <v>23214</v>
      </c>
      <c r="I111" s="8">
        <v>23047</v>
      </c>
      <c r="J111" s="8">
        <v>167</v>
      </c>
      <c r="K111" s="8">
        <v>0</v>
      </c>
      <c r="L111" s="8">
        <f t="shared" si="42"/>
        <v>23214</v>
      </c>
      <c r="M111" s="8">
        <f t="shared" si="43"/>
        <v>0</v>
      </c>
      <c r="N111" s="9">
        <f t="shared" si="44"/>
        <v>0.9856121306108383</v>
      </c>
      <c r="O111" s="2">
        <v>41</v>
      </c>
      <c r="P111" s="2" t="s">
        <v>610</v>
      </c>
      <c r="Q111" s="2">
        <v>1</v>
      </c>
      <c r="R111" s="2">
        <v>1064569</v>
      </c>
      <c r="S111" s="2">
        <f>508105+545877</f>
        <v>1053982</v>
      </c>
      <c r="T111" s="2">
        <f>4632+4920</f>
        <v>9552</v>
      </c>
      <c r="U111" s="2">
        <f>684+351</f>
        <v>1035</v>
      </c>
      <c r="V111">
        <f t="shared" si="45"/>
        <v>1064569</v>
      </c>
      <c r="W111">
        <f t="shared" si="46"/>
        <v>0</v>
      </c>
      <c r="X111" s="6">
        <f t="shared" ref="X111" si="52">(S111-T111)/R111</f>
        <v>0.98108248502445594</v>
      </c>
      <c r="Y111" s="2">
        <v>25</v>
      </c>
      <c r="AB111" s="2">
        <v>44526</v>
      </c>
      <c r="AC111" s="2">
        <v>44252</v>
      </c>
      <c r="AD111" s="8">
        <v>213</v>
      </c>
      <c r="AE111" s="8">
        <v>61</v>
      </c>
      <c r="AF111">
        <f t="shared" si="48"/>
        <v>44526</v>
      </c>
      <c r="AG111">
        <f t="shared" si="49"/>
        <v>0</v>
      </c>
      <c r="AH111">
        <f t="shared" si="50"/>
        <v>0.98906257018371291</v>
      </c>
    </row>
    <row r="112" spans="1:34" x14ac:dyDescent="0.2">
      <c r="B112" t="s">
        <v>123</v>
      </c>
      <c r="C112" s="1" t="s">
        <v>152</v>
      </c>
      <c r="D112" t="s">
        <v>146</v>
      </c>
      <c r="E112" s="4"/>
      <c r="F112" s="5"/>
      <c r="G112" s="5"/>
      <c r="H112" s="5"/>
      <c r="I112" s="5"/>
      <c r="J112" s="5"/>
      <c r="K112" s="5"/>
      <c r="L112" s="5">
        <f t="shared" si="42"/>
        <v>0</v>
      </c>
      <c r="M112" s="5">
        <f t="shared" si="43"/>
        <v>0</v>
      </c>
      <c r="N112" s="6"/>
      <c r="V112">
        <f t="shared" si="45"/>
        <v>0</v>
      </c>
      <c r="W112">
        <f t="shared" si="46"/>
        <v>0</v>
      </c>
      <c r="X112" s="6"/>
      <c r="AF112">
        <f t="shared" si="48"/>
        <v>0</v>
      </c>
      <c r="AG112">
        <f t="shared" si="49"/>
        <v>0</v>
      </c>
    </row>
    <row r="113" spans="1:34" x14ac:dyDescent="0.2">
      <c r="A113">
        <v>252180</v>
      </c>
      <c r="B113" t="s">
        <v>123</v>
      </c>
      <c r="C113" t="s">
        <v>153</v>
      </c>
      <c r="D113" t="s">
        <v>146</v>
      </c>
      <c r="E113" s="4">
        <v>28</v>
      </c>
      <c r="F113" s="5" t="s">
        <v>533</v>
      </c>
      <c r="G113" s="5"/>
      <c r="H113" s="5">
        <v>101389</v>
      </c>
      <c r="I113" s="5">
        <f>39915+41919+9012+10406</f>
        <v>101252</v>
      </c>
      <c r="J113" s="5">
        <f>50+44</f>
        <v>94</v>
      </c>
      <c r="K113" s="5">
        <f>39+4</f>
        <v>43</v>
      </c>
      <c r="L113" s="5">
        <f t="shared" si="42"/>
        <v>101389</v>
      </c>
      <c r="M113" s="5">
        <f t="shared" si="43"/>
        <v>0</v>
      </c>
      <c r="N113" s="6">
        <f t="shared" ref="N113:N139" si="53">(I113-J113)/H113</f>
        <v>0.99772164633244242</v>
      </c>
      <c r="O113">
        <v>34</v>
      </c>
      <c r="R113">
        <v>97249</v>
      </c>
      <c r="S113">
        <f>39671+6307+42986+8076</f>
        <v>97040</v>
      </c>
      <c r="T113">
        <f>81+76</f>
        <v>157</v>
      </c>
      <c r="U113">
        <f>36+16</f>
        <v>52</v>
      </c>
      <c r="V113">
        <f t="shared" si="45"/>
        <v>97249</v>
      </c>
      <c r="W113">
        <f t="shared" si="46"/>
        <v>0</v>
      </c>
      <c r="X113" s="6">
        <f>(S113-T113)/R113</f>
        <v>0.99623646515645403</v>
      </c>
      <c r="Y113">
        <v>21</v>
      </c>
      <c r="AB113">
        <v>92107</v>
      </c>
      <c r="AC113">
        <f>43309+48305</f>
        <v>91614</v>
      </c>
      <c r="AD113">
        <f>199+191</f>
        <v>390</v>
      </c>
      <c r="AE113">
        <f>7+7+22+6+21+2+14+15+5+4</f>
        <v>103</v>
      </c>
      <c r="AF113">
        <f t="shared" si="48"/>
        <v>92107</v>
      </c>
      <c r="AG113">
        <f t="shared" si="49"/>
        <v>0</v>
      </c>
      <c r="AH113">
        <f t="shared" ref="AH113:AH139" si="54">(AC113-AD113)/AB113</f>
        <v>0.99041332363446866</v>
      </c>
    </row>
    <row r="114" spans="1:34" x14ac:dyDescent="0.2">
      <c r="A114">
        <v>252230</v>
      </c>
      <c r="B114" t="s">
        <v>123</v>
      </c>
      <c r="C114" t="s">
        <v>154</v>
      </c>
      <c r="D114" t="s">
        <v>146</v>
      </c>
      <c r="E114" s="4">
        <v>28</v>
      </c>
      <c r="F114" s="5" t="s">
        <v>534</v>
      </c>
      <c r="G114" s="5"/>
      <c r="H114" s="5">
        <v>58010</v>
      </c>
      <c r="I114" s="5">
        <v>57514</v>
      </c>
      <c r="J114" s="5">
        <v>479</v>
      </c>
      <c r="K114" s="5">
        <v>17</v>
      </c>
      <c r="L114" s="5">
        <f t="shared" si="42"/>
        <v>58010</v>
      </c>
      <c r="M114" s="5">
        <f t="shared" si="43"/>
        <v>0</v>
      </c>
      <c r="N114" s="6">
        <f t="shared" si="53"/>
        <v>0.98319255300810204</v>
      </c>
      <c r="O114">
        <v>34</v>
      </c>
      <c r="R114">
        <v>59804</v>
      </c>
      <c r="S114">
        <f>23142+4796+25420+5873</f>
        <v>59231</v>
      </c>
      <c r="T114">
        <f>268+277</f>
        <v>545</v>
      </c>
      <c r="U114">
        <f>17+11</f>
        <v>28</v>
      </c>
      <c r="V114">
        <f t="shared" si="45"/>
        <v>59804</v>
      </c>
      <c r="W114">
        <f t="shared" si="46"/>
        <v>0</v>
      </c>
      <c r="X114" s="6">
        <f>(S114-T114)/R114</f>
        <v>0.98130559828774</v>
      </c>
      <c r="Y114">
        <v>21</v>
      </c>
      <c r="AB114">
        <v>57676</v>
      </c>
      <c r="AC114">
        <f>26677+30203</f>
        <v>56880</v>
      </c>
      <c r="AD114">
        <f>355+363</f>
        <v>718</v>
      </c>
      <c r="AE114">
        <f>1+38+3+2+4+4+24+1+1</f>
        <v>78</v>
      </c>
      <c r="AF114">
        <f t="shared" si="48"/>
        <v>57676</v>
      </c>
      <c r="AG114">
        <f t="shared" si="49"/>
        <v>0</v>
      </c>
      <c r="AH114">
        <f t="shared" si="54"/>
        <v>0.97374991330882865</v>
      </c>
    </row>
    <row r="115" spans="1:34" x14ac:dyDescent="0.2">
      <c r="A115">
        <v>252400</v>
      </c>
      <c r="B115" t="s">
        <v>123</v>
      </c>
      <c r="C115" t="s">
        <v>155</v>
      </c>
      <c r="D115" t="s">
        <v>146</v>
      </c>
      <c r="E115" s="4">
        <v>28</v>
      </c>
      <c r="F115" s="5" t="s">
        <v>535</v>
      </c>
      <c r="G115" s="5"/>
      <c r="H115" s="5">
        <v>63083</v>
      </c>
      <c r="I115" s="5">
        <v>62420</v>
      </c>
      <c r="J115" s="5">
        <v>648</v>
      </c>
      <c r="K115" s="5">
        <v>15</v>
      </c>
      <c r="L115" s="5">
        <f t="shared" si="42"/>
        <v>63083</v>
      </c>
      <c r="M115" s="5">
        <f t="shared" si="43"/>
        <v>0</v>
      </c>
      <c r="N115" s="6">
        <f t="shared" si="53"/>
        <v>0.97921785584071774</v>
      </c>
      <c r="O115">
        <v>34</v>
      </c>
      <c r="R115">
        <v>66113</v>
      </c>
      <c r="S115">
        <f>26503+4959+28269+5559</f>
        <v>65290</v>
      </c>
      <c r="T115">
        <f>381+421</f>
        <v>802</v>
      </c>
      <c r="U115">
        <f>14+7</f>
        <v>21</v>
      </c>
      <c r="V115">
        <f t="shared" si="45"/>
        <v>66113</v>
      </c>
      <c r="W115">
        <f t="shared" si="46"/>
        <v>0</v>
      </c>
      <c r="X115" s="6">
        <f>(S115-T115)/R115</f>
        <v>0.97542087032807467</v>
      </c>
      <c r="Y115">
        <v>21</v>
      </c>
      <c r="AB115">
        <v>64971</v>
      </c>
      <c r="AC115">
        <f>30628+33189</f>
        <v>63817</v>
      </c>
      <c r="AD115">
        <f>505+582</f>
        <v>1087</v>
      </c>
      <c r="AE115">
        <f>8+3+16+2+9+3+6+12+1+7</f>
        <v>67</v>
      </c>
      <c r="AF115">
        <f t="shared" si="48"/>
        <v>64971</v>
      </c>
      <c r="AG115">
        <f t="shared" si="49"/>
        <v>0</v>
      </c>
      <c r="AH115">
        <f t="shared" si="54"/>
        <v>0.96550768804543563</v>
      </c>
    </row>
    <row r="116" spans="1:34" x14ac:dyDescent="0.2">
      <c r="A116">
        <v>252830</v>
      </c>
      <c r="B116" t="s">
        <v>123</v>
      </c>
      <c r="C116" t="s">
        <v>156</v>
      </c>
      <c r="D116" t="s">
        <v>146</v>
      </c>
      <c r="E116" s="4">
        <v>28</v>
      </c>
      <c r="F116" s="5" t="s">
        <v>536</v>
      </c>
      <c r="G116" s="5"/>
      <c r="H116" s="5">
        <v>69873</v>
      </c>
      <c r="I116" s="5">
        <v>69161</v>
      </c>
      <c r="J116" s="5">
        <v>680</v>
      </c>
      <c r="K116" s="5">
        <v>32</v>
      </c>
      <c r="L116" s="5">
        <f t="shared" si="42"/>
        <v>69873</v>
      </c>
      <c r="M116" s="5">
        <f t="shared" si="43"/>
        <v>0</v>
      </c>
      <c r="N116" s="6">
        <f t="shared" si="53"/>
        <v>0.98007814177149977</v>
      </c>
      <c r="O116">
        <v>34</v>
      </c>
      <c r="R116">
        <v>81904</v>
      </c>
      <c r="S116">
        <f>33269+4443+37401+6232</f>
        <v>81345</v>
      </c>
      <c r="T116">
        <f>196+304</f>
        <v>500</v>
      </c>
      <c r="U116">
        <f>37+22</f>
        <v>59</v>
      </c>
      <c r="V116">
        <f t="shared" si="45"/>
        <v>81904</v>
      </c>
      <c r="W116">
        <f t="shared" si="46"/>
        <v>0</v>
      </c>
      <c r="X116" s="6">
        <f>(S116-T116)/R116</f>
        <v>0.98707022856026572</v>
      </c>
      <c r="Y116">
        <v>21</v>
      </c>
      <c r="AB116">
        <v>92384</v>
      </c>
      <c r="AC116">
        <f>42934+48584</f>
        <v>91518</v>
      </c>
      <c r="AD116">
        <f>244+428</f>
        <v>672</v>
      </c>
      <c r="AE116">
        <f>5+10+75+6+9+5+10+58+5+11</f>
        <v>194</v>
      </c>
      <c r="AF116">
        <f t="shared" si="48"/>
        <v>92384</v>
      </c>
      <c r="AG116">
        <f t="shared" si="49"/>
        <v>0</v>
      </c>
      <c r="AH116">
        <f t="shared" si="54"/>
        <v>0.98335209560096981</v>
      </c>
    </row>
    <row r="117" spans="1:34" x14ac:dyDescent="0.2">
      <c r="A117">
        <v>253920</v>
      </c>
      <c r="B117" t="s">
        <v>123</v>
      </c>
      <c r="C117" t="s">
        <v>157</v>
      </c>
      <c r="D117" t="s">
        <v>146</v>
      </c>
      <c r="E117" s="4">
        <v>28</v>
      </c>
      <c r="F117" s="5" t="s">
        <v>537</v>
      </c>
      <c r="G117" s="5"/>
      <c r="H117" s="5">
        <v>102177</v>
      </c>
      <c r="I117" s="5">
        <f>37859+40173+11325+12530</f>
        <v>101887</v>
      </c>
      <c r="J117" s="5">
        <f>123+139</f>
        <v>262</v>
      </c>
      <c r="K117" s="5">
        <f>25+3</f>
        <v>28</v>
      </c>
      <c r="L117" s="5">
        <f t="shared" si="42"/>
        <v>102177</v>
      </c>
      <c r="M117" s="5">
        <f t="shared" si="43"/>
        <v>0</v>
      </c>
      <c r="N117" s="6">
        <f t="shared" si="53"/>
        <v>0.99459761002965441</v>
      </c>
      <c r="O117">
        <v>34</v>
      </c>
      <c r="R117">
        <v>102351</v>
      </c>
      <c r="S117">
        <f>39804+9265+42232+10656</f>
        <v>101957</v>
      </c>
      <c r="T117">
        <f>151+168</f>
        <v>319</v>
      </c>
      <c r="U117">
        <f>54+21</f>
        <v>75</v>
      </c>
      <c r="V117">
        <f t="shared" si="45"/>
        <v>102351</v>
      </c>
      <c r="W117">
        <f t="shared" si="46"/>
        <v>0</v>
      </c>
      <c r="X117" s="6">
        <f>(S117-T117)/R117</f>
        <v>0.99303377592793429</v>
      </c>
      <c r="Y117">
        <v>21</v>
      </c>
      <c r="AB117">
        <v>94697</v>
      </c>
      <c r="AC117">
        <f>44860+49367</f>
        <v>94227</v>
      </c>
      <c r="AD117">
        <f>165+185</f>
        <v>350</v>
      </c>
      <c r="AE117">
        <f>2+8+28+4+14+4+12+23+11+14</f>
        <v>120</v>
      </c>
      <c r="AF117">
        <f t="shared" si="48"/>
        <v>94697</v>
      </c>
      <c r="AG117">
        <f t="shared" si="49"/>
        <v>0</v>
      </c>
      <c r="AH117">
        <f t="shared" si="54"/>
        <v>0.99134080277094316</v>
      </c>
    </row>
    <row r="118" spans="1:34" s="2" customFormat="1" x14ac:dyDescent="0.2">
      <c r="A118" s="2">
        <v>25017200</v>
      </c>
      <c r="B118" s="2" t="s">
        <v>123</v>
      </c>
      <c r="C118" s="2" t="s">
        <v>158</v>
      </c>
      <c r="D118" s="2" t="s">
        <v>146</v>
      </c>
      <c r="E118" s="4">
        <v>28</v>
      </c>
      <c r="F118" s="8" t="s">
        <v>515</v>
      </c>
      <c r="G118" s="8"/>
      <c r="H118" s="8">
        <v>10765</v>
      </c>
      <c r="I118" s="8">
        <v>10758</v>
      </c>
      <c r="J118" s="8">
        <v>6</v>
      </c>
      <c r="K118" s="8">
        <v>1</v>
      </c>
      <c r="L118" s="8">
        <f t="shared" si="42"/>
        <v>10765</v>
      </c>
      <c r="M118" s="8">
        <f t="shared" si="43"/>
        <v>0</v>
      </c>
      <c r="N118" s="9">
        <f t="shared" si="53"/>
        <v>0.99879238272178361</v>
      </c>
      <c r="O118" s="2">
        <v>41</v>
      </c>
      <c r="P118" s="2" t="s">
        <v>610</v>
      </c>
      <c r="Q118" s="2">
        <v>1</v>
      </c>
      <c r="R118" s="2">
        <v>1064569</v>
      </c>
      <c r="S118" s="2">
        <f>508105+545877</f>
        <v>1053982</v>
      </c>
      <c r="T118" s="2">
        <f>4632+4920</f>
        <v>9552</v>
      </c>
      <c r="U118" s="2">
        <f>684+351</f>
        <v>1035</v>
      </c>
      <c r="V118">
        <f t="shared" si="45"/>
        <v>1064569</v>
      </c>
      <c r="W118">
        <f t="shared" si="46"/>
        <v>0</v>
      </c>
      <c r="X118" s="6">
        <f t="shared" ref="X118:X119" si="55">(S118-T118)/R118</f>
        <v>0.98108248502445594</v>
      </c>
      <c r="Y118" s="2">
        <v>21</v>
      </c>
      <c r="AA118"/>
      <c r="AB118" s="2">
        <v>17821</v>
      </c>
      <c r="AC118" s="2">
        <f>8425+9328</f>
        <v>17753</v>
      </c>
      <c r="AD118" s="2">
        <f>12+22</f>
        <v>34</v>
      </c>
      <c r="AE118" s="2">
        <f>2+4+8+3+4+7+5+1</f>
        <v>34</v>
      </c>
      <c r="AF118">
        <f t="shared" si="48"/>
        <v>17821</v>
      </c>
      <c r="AG118">
        <f t="shared" si="49"/>
        <v>0</v>
      </c>
      <c r="AH118">
        <f t="shared" si="54"/>
        <v>0.99427641546490098</v>
      </c>
    </row>
    <row r="119" spans="1:34" s="2" customFormat="1" x14ac:dyDescent="0.2">
      <c r="A119" s="2">
        <v>25017215</v>
      </c>
      <c r="B119" s="2" t="s">
        <v>123</v>
      </c>
      <c r="C119" s="2" t="s">
        <v>159</v>
      </c>
      <c r="D119" s="2" t="s">
        <v>146</v>
      </c>
      <c r="E119" s="4">
        <v>28</v>
      </c>
      <c r="F119" s="8" t="s">
        <v>516</v>
      </c>
      <c r="G119" s="8"/>
      <c r="H119" s="8">
        <v>6261</v>
      </c>
      <c r="I119" s="8">
        <f>2361+1866+1382+585</f>
        <v>6194</v>
      </c>
      <c r="J119" s="8">
        <f>38+17</f>
        <v>55</v>
      </c>
      <c r="K119" s="8">
        <v>12</v>
      </c>
      <c r="L119" s="8">
        <f t="shared" si="42"/>
        <v>6261</v>
      </c>
      <c r="M119" s="8">
        <f t="shared" si="43"/>
        <v>0</v>
      </c>
      <c r="N119" s="9">
        <f t="shared" si="53"/>
        <v>0.98051429484107966</v>
      </c>
      <c r="O119" s="2">
        <v>41</v>
      </c>
      <c r="P119" s="2" t="s">
        <v>610</v>
      </c>
      <c r="Q119" s="2">
        <v>1</v>
      </c>
      <c r="R119" s="2">
        <v>1064569</v>
      </c>
      <c r="S119" s="2">
        <f>508105+545877</f>
        <v>1053982</v>
      </c>
      <c r="T119" s="2">
        <f>4632+4920</f>
        <v>9552</v>
      </c>
      <c r="U119" s="2">
        <f>684+351</f>
        <v>1035</v>
      </c>
      <c r="V119">
        <f t="shared" si="45"/>
        <v>1064569</v>
      </c>
      <c r="W119">
        <f t="shared" si="46"/>
        <v>0</v>
      </c>
      <c r="X119" s="6">
        <f t="shared" si="55"/>
        <v>0.98108248502445594</v>
      </c>
      <c r="Y119" s="2">
        <v>21</v>
      </c>
      <c r="AA119"/>
      <c r="AB119" s="2">
        <v>15902</v>
      </c>
      <c r="AC119" s="2">
        <f>8182+7633</f>
        <v>15815</v>
      </c>
      <c r="AD119" s="2">
        <f>43+31</f>
        <v>74</v>
      </c>
      <c r="AE119" s="2">
        <f>12+1</f>
        <v>13</v>
      </c>
      <c r="AF119">
        <f t="shared" si="48"/>
        <v>15902</v>
      </c>
      <c r="AG119">
        <f t="shared" si="49"/>
        <v>0</v>
      </c>
      <c r="AH119">
        <f t="shared" si="54"/>
        <v>0.98987548736008046</v>
      </c>
    </row>
    <row r="120" spans="1:34" x14ac:dyDescent="0.2">
      <c r="A120" s="2">
        <v>254440</v>
      </c>
      <c r="B120" t="s">
        <v>123</v>
      </c>
      <c r="C120" t="s">
        <v>160</v>
      </c>
      <c r="D120" t="s">
        <v>146</v>
      </c>
      <c r="E120" s="4">
        <v>28</v>
      </c>
      <c r="F120" s="5" t="s">
        <v>538</v>
      </c>
      <c r="G120" s="5"/>
      <c r="H120" s="5">
        <v>40020</v>
      </c>
      <c r="I120" s="5">
        <v>39976</v>
      </c>
      <c r="J120" s="5">
        <v>32</v>
      </c>
      <c r="K120" s="5">
        <v>12</v>
      </c>
      <c r="L120" s="5">
        <f t="shared" si="42"/>
        <v>40020</v>
      </c>
      <c r="M120" s="5">
        <f t="shared" si="43"/>
        <v>0</v>
      </c>
      <c r="N120" s="6">
        <f t="shared" si="53"/>
        <v>0.99810094952523742</v>
      </c>
      <c r="O120">
        <v>34</v>
      </c>
      <c r="R120">
        <v>47187</v>
      </c>
      <c r="S120">
        <f>19214+3295+20380+4132</f>
        <v>47021</v>
      </c>
      <c r="T120">
        <f>24+21</f>
        <v>45</v>
      </c>
      <c r="U120">
        <f>71+50</f>
        <v>121</v>
      </c>
      <c r="V120">
        <f t="shared" si="45"/>
        <v>47187</v>
      </c>
      <c r="W120">
        <f t="shared" si="46"/>
        <v>0</v>
      </c>
      <c r="X120" s="6">
        <f>(S120-T120)/R120</f>
        <v>0.99552842944031195</v>
      </c>
      <c r="Y120" s="2">
        <v>21</v>
      </c>
      <c r="AB120" s="2">
        <v>55413</v>
      </c>
      <c r="AC120">
        <f>26528+28676</f>
        <v>55204</v>
      </c>
      <c r="AD120">
        <f>57+52</f>
        <v>109</v>
      </c>
      <c r="AE120">
        <f>1+3+37+5+5+6+30+2+11</f>
        <v>100</v>
      </c>
      <c r="AF120">
        <f t="shared" si="48"/>
        <v>55413</v>
      </c>
      <c r="AG120">
        <f t="shared" si="49"/>
        <v>0</v>
      </c>
      <c r="AH120">
        <f t="shared" si="54"/>
        <v>0.99426127443018786</v>
      </c>
    </row>
    <row r="121" spans="1:34" s="2" customFormat="1" x14ac:dyDescent="0.2">
      <c r="A121" s="2">
        <v>25021020</v>
      </c>
      <c r="B121" s="2" t="s">
        <v>123</v>
      </c>
      <c r="C121" s="2" t="s">
        <v>161</v>
      </c>
      <c r="D121" s="2" t="s">
        <v>162</v>
      </c>
      <c r="E121" s="4">
        <v>28</v>
      </c>
      <c r="F121" s="8" t="s">
        <v>517</v>
      </c>
      <c r="G121" s="8"/>
      <c r="H121" s="8">
        <v>49786</v>
      </c>
      <c r="I121" s="8">
        <v>49450</v>
      </c>
      <c r="J121" s="8">
        <v>279</v>
      </c>
      <c r="K121" s="8">
        <v>57</v>
      </c>
      <c r="L121" s="8">
        <f t="shared" si="42"/>
        <v>49786</v>
      </c>
      <c r="M121" s="8">
        <f t="shared" si="43"/>
        <v>0</v>
      </c>
      <c r="N121" s="9">
        <f t="shared" si="53"/>
        <v>0.98764712971518098</v>
      </c>
      <c r="O121" s="2">
        <v>41</v>
      </c>
      <c r="P121" s="2" t="s">
        <v>611</v>
      </c>
      <c r="Q121" s="2">
        <v>1</v>
      </c>
      <c r="R121" s="2">
        <v>392308</v>
      </c>
      <c r="S121" s="2">
        <f>161003+24462+175126+30321</f>
        <v>390912</v>
      </c>
      <c r="T121" s="2">
        <f>565+573</f>
        <v>1138</v>
      </c>
      <c r="U121" s="2">
        <f>158+100</f>
        <v>258</v>
      </c>
      <c r="V121">
        <f t="shared" si="45"/>
        <v>392308</v>
      </c>
      <c r="W121">
        <f t="shared" si="46"/>
        <v>0</v>
      </c>
      <c r="X121" s="6">
        <f t="shared" ref="X121:X123" si="56">(S121-T121)/R121</f>
        <v>0.99354078937977308</v>
      </c>
      <c r="Y121" s="2">
        <v>21</v>
      </c>
      <c r="AA121"/>
      <c r="AB121" s="2">
        <v>54044</v>
      </c>
      <c r="AC121" s="2">
        <f>23524+29961</f>
        <v>53485</v>
      </c>
      <c r="AD121" s="2">
        <f>47+131</f>
        <v>178</v>
      </c>
      <c r="AE121" s="2">
        <f>7+17+150+23+8+16+142+1+17</f>
        <v>381</v>
      </c>
      <c r="AF121">
        <f t="shared" si="48"/>
        <v>54044</v>
      </c>
      <c r="AG121">
        <f t="shared" si="49"/>
        <v>0</v>
      </c>
      <c r="AH121">
        <f t="shared" si="54"/>
        <v>0.98636296351121311</v>
      </c>
    </row>
    <row r="122" spans="1:34" s="2" customFormat="1" x14ac:dyDescent="0.2">
      <c r="A122" s="2">
        <v>25021075</v>
      </c>
      <c r="B122" s="2" t="s">
        <v>123</v>
      </c>
      <c r="C122" s="2" t="s">
        <v>163</v>
      </c>
      <c r="D122" s="2" t="s">
        <v>162</v>
      </c>
      <c r="E122" s="4">
        <v>28</v>
      </c>
      <c r="F122" s="8" t="s">
        <v>518</v>
      </c>
      <c r="G122" s="8"/>
      <c r="H122" s="8">
        <v>18708</v>
      </c>
      <c r="I122" s="8">
        <v>18659</v>
      </c>
      <c r="J122" s="8">
        <v>46</v>
      </c>
      <c r="K122" s="8">
        <v>3</v>
      </c>
      <c r="L122" s="8">
        <f t="shared" si="42"/>
        <v>18708</v>
      </c>
      <c r="M122" s="8">
        <f t="shared" si="43"/>
        <v>0</v>
      </c>
      <c r="N122" s="9">
        <f t="shared" si="53"/>
        <v>0.99492195852041909</v>
      </c>
      <c r="O122" s="2">
        <v>41</v>
      </c>
      <c r="P122" s="2" t="s">
        <v>611</v>
      </c>
      <c r="Q122" s="2">
        <v>1</v>
      </c>
      <c r="R122" s="2">
        <v>392308</v>
      </c>
      <c r="S122" s="2">
        <f>161003+24462+175126+30321</f>
        <v>390912</v>
      </c>
      <c r="T122" s="2">
        <f>565+573</f>
        <v>1138</v>
      </c>
      <c r="U122" s="2">
        <f>158+100</f>
        <v>258</v>
      </c>
      <c r="V122">
        <f t="shared" si="45"/>
        <v>392308</v>
      </c>
      <c r="W122">
        <f t="shared" si="46"/>
        <v>0</v>
      </c>
      <c r="X122" s="6">
        <f t="shared" si="56"/>
        <v>0.99354078937977308</v>
      </c>
      <c r="Y122" s="2">
        <v>21</v>
      </c>
      <c r="AA122"/>
      <c r="AB122" s="2">
        <v>26375</v>
      </c>
      <c r="AC122" s="2">
        <f>12322+14014</f>
        <v>26336</v>
      </c>
      <c r="AD122" s="2">
        <f>12+21</f>
        <v>33</v>
      </c>
      <c r="AE122" s="2">
        <f>2+3+1</f>
        <v>6</v>
      </c>
      <c r="AF122">
        <f t="shared" si="48"/>
        <v>26375</v>
      </c>
      <c r="AG122">
        <f t="shared" si="49"/>
        <v>0</v>
      </c>
      <c r="AH122">
        <f t="shared" si="54"/>
        <v>0.9972701421800948</v>
      </c>
    </row>
    <row r="123" spans="1:34" s="2" customFormat="1" x14ac:dyDescent="0.2">
      <c r="A123" s="2">
        <v>25021090</v>
      </c>
      <c r="B123" s="2" t="s">
        <v>123</v>
      </c>
      <c r="C123" s="2" t="s">
        <v>164</v>
      </c>
      <c r="D123" s="2" t="s">
        <v>162</v>
      </c>
      <c r="E123" s="4">
        <v>28</v>
      </c>
      <c r="F123" s="8" t="s">
        <v>519</v>
      </c>
      <c r="G123" s="8"/>
      <c r="H123" s="8">
        <v>15383</v>
      </c>
      <c r="I123" s="8">
        <v>15363</v>
      </c>
      <c r="J123" s="8">
        <v>14</v>
      </c>
      <c r="K123" s="8">
        <v>6</v>
      </c>
      <c r="L123" s="8">
        <f t="shared" ref="L123:L139" si="57">I123+J123+K123</f>
        <v>15383</v>
      </c>
      <c r="M123" s="8">
        <f t="shared" ref="M123:M139" si="58">L123-H123</f>
        <v>0</v>
      </c>
      <c r="N123" s="9">
        <f t="shared" si="53"/>
        <v>0.99778976792563223</v>
      </c>
      <c r="O123" s="2">
        <v>41</v>
      </c>
      <c r="P123" s="2" t="s">
        <v>611</v>
      </c>
      <c r="Q123" s="2">
        <v>1</v>
      </c>
      <c r="R123" s="2">
        <v>392308</v>
      </c>
      <c r="S123" s="2">
        <f>161003+24462+175126+30321</f>
        <v>390912</v>
      </c>
      <c r="T123" s="2">
        <f>565+573</f>
        <v>1138</v>
      </c>
      <c r="U123" s="2">
        <f>158+100</f>
        <v>258</v>
      </c>
      <c r="V123">
        <f t="shared" ref="V123:V139" si="59">SUM(S123:U123)</f>
        <v>392308</v>
      </c>
      <c r="W123">
        <f t="shared" ref="W123:W139" si="60">R123-V123</f>
        <v>0</v>
      </c>
      <c r="X123" s="6">
        <f t="shared" si="56"/>
        <v>0.99354078937977308</v>
      </c>
      <c r="Y123" s="2">
        <v>21</v>
      </c>
      <c r="AA123"/>
      <c r="AB123" s="2">
        <v>24898</v>
      </c>
      <c r="AC123" s="2">
        <f>12009+12826</f>
        <v>24835</v>
      </c>
      <c r="AD123" s="2">
        <f>8+18</f>
        <v>26</v>
      </c>
      <c r="AE123" s="2">
        <f>5+5+7+2+2+3+9+4</f>
        <v>37</v>
      </c>
      <c r="AF123">
        <f t="shared" ref="AF123:AF139" si="61">SUM(AC123:AE123)</f>
        <v>24898</v>
      </c>
      <c r="AG123">
        <f t="shared" ref="AG123:AG139" si="62">AB123-AF123</f>
        <v>0</v>
      </c>
      <c r="AH123">
        <f t="shared" si="54"/>
        <v>0.99642541569603982</v>
      </c>
    </row>
    <row r="124" spans="1:34" x14ac:dyDescent="0.2">
      <c r="A124">
        <v>253460</v>
      </c>
      <c r="B124" t="s">
        <v>123</v>
      </c>
      <c r="C124" t="s">
        <v>64</v>
      </c>
      <c r="D124" t="s">
        <v>162</v>
      </c>
      <c r="E124" s="4">
        <v>28</v>
      </c>
      <c r="F124" s="5" t="s">
        <v>539</v>
      </c>
      <c r="G124" s="5"/>
      <c r="H124" s="5">
        <v>75810</v>
      </c>
      <c r="I124" s="5">
        <v>75765</v>
      </c>
      <c r="J124" s="5">
        <v>17</v>
      </c>
      <c r="K124" s="5">
        <v>28</v>
      </c>
      <c r="L124" s="5">
        <f t="shared" si="57"/>
        <v>75810</v>
      </c>
      <c r="M124" s="5">
        <f t="shared" si="58"/>
        <v>0</v>
      </c>
      <c r="N124" s="6">
        <f t="shared" si="53"/>
        <v>0.99918216594116871</v>
      </c>
      <c r="O124">
        <v>34</v>
      </c>
      <c r="R124">
        <v>83835</v>
      </c>
      <c r="S124">
        <f>34379+5882+36643+6858</f>
        <v>83762</v>
      </c>
      <c r="T124">
        <f>13+17</f>
        <v>30</v>
      </c>
      <c r="U124">
        <f>27+16</f>
        <v>43</v>
      </c>
      <c r="V124">
        <f t="shared" si="59"/>
        <v>83835</v>
      </c>
      <c r="W124">
        <f t="shared" si="60"/>
        <v>0</v>
      </c>
      <c r="X124" s="6">
        <f>(S124-T124)/R124</f>
        <v>0.99877139619490662</v>
      </c>
      <c r="Y124" s="2">
        <v>21</v>
      </c>
      <c r="AB124" s="2">
        <v>87409</v>
      </c>
      <c r="AC124">
        <f>41596+45638</f>
        <v>87234</v>
      </c>
      <c r="AD124">
        <f>26+25</f>
        <v>51</v>
      </c>
      <c r="AE124">
        <f>5+4+33+9+14+8+7+28+6+10</f>
        <v>124</v>
      </c>
      <c r="AF124">
        <f t="shared" si="61"/>
        <v>87409</v>
      </c>
      <c r="AG124">
        <f t="shared" si="62"/>
        <v>0</v>
      </c>
      <c r="AH124">
        <f t="shared" si="54"/>
        <v>0.99741445388918759</v>
      </c>
    </row>
    <row r="125" spans="1:34" s="2" customFormat="1" x14ac:dyDescent="0.2">
      <c r="A125" s="2">
        <v>25021135</v>
      </c>
      <c r="B125" s="2" t="s">
        <v>123</v>
      </c>
      <c r="C125" s="2" t="s">
        <v>165</v>
      </c>
      <c r="D125" s="2" t="s">
        <v>162</v>
      </c>
      <c r="E125" s="4">
        <v>28</v>
      </c>
      <c r="F125" s="8" t="s">
        <v>520</v>
      </c>
      <c r="G125" s="8"/>
      <c r="H125" s="8">
        <v>23868</v>
      </c>
      <c r="I125" s="8">
        <v>23810</v>
      </c>
      <c r="J125" s="8">
        <v>48</v>
      </c>
      <c r="K125" s="8">
        <f>6+4</f>
        <v>10</v>
      </c>
      <c r="L125" s="8">
        <f t="shared" si="57"/>
        <v>23868</v>
      </c>
      <c r="M125" s="8">
        <f t="shared" si="58"/>
        <v>0</v>
      </c>
      <c r="N125" s="9">
        <f t="shared" si="53"/>
        <v>0.99555890732361318</v>
      </c>
      <c r="O125" s="2">
        <v>41</v>
      </c>
      <c r="P125" s="2" t="s">
        <v>611</v>
      </c>
      <c r="Q125" s="2">
        <v>1</v>
      </c>
      <c r="R125" s="2">
        <v>392308</v>
      </c>
      <c r="S125" s="2">
        <f>161003+24462+175126+30321</f>
        <v>390912</v>
      </c>
      <c r="T125" s="2">
        <f>565+573</f>
        <v>1138</v>
      </c>
      <c r="U125" s="2">
        <f>158+100</f>
        <v>258</v>
      </c>
      <c r="V125">
        <f t="shared" si="59"/>
        <v>392308</v>
      </c>
      <c r="W125">
        <f t="shared" si="60"/>
        <v>0</v>
      </c>
      <c r="X125" s="6">
        <f t="shared" ref="X125" si="63">(S125-T125)/R125</f>
        <v>0.99354078937977308</v>
      </c>
      <c r="Y125" s="2">
        <v>25</v>
      </c>
      <c r="AB125" s="2">
        <v>48177</v>
      </c>
      <c r="AC125" s="2">
        <v>48019</v>
      </c>
      <c r="AD125" s="8">
        <v>110</v>
      </c>
      <c r="AE125" s="8">
        <v>48</v>
      </c>
      <c r="AF125">
        <f t="shared" si="61"/>
        <v>48177</v>
      </c>
      <c r="AG125">
        <f t="shared" si="62"/>
        <v>0</v>
      </c>
      <c r="AH125">
        <f t="shared" si="54"/>
        <v>0.99443717956701327</v>
      </c>
    </row>
    <row r="126" spans="1:34" x14ac:dyDescent="0.2">
      <c r="A126">
        <v>250540</v>
      </c>
      <c r="B126" t="s">
        <v>123</v>
      </c>
      <c r="C126" t="s">
        <v>166</v>
      </c>
      <c r="D126" t="s">
        <v>167</v>
      </c>
      <c r="E126" s="4">
        <v>28</v>
      </c>
      <c r="F126" s="5" t="s">
        <v>166</v>
      </c>
      <c r="G126" s="5"/>
      <c r="H126" s="5">
        <v>62343</v>
      </c>
      <c r="I126" s="5">
        <v>61795</v>
      </c>
      <c r="J126" s="5">
        <v>506</v>
      </c>
      <c r="K126" s="5">
        <v>42</v>
      </c>
      <c r="L126" s="5">
        <f t="shared" si="57"/>
        <v>62343</v>
      </c>
      <c r="M126" s="5">
        <f t="shared" si="58"/>
        <v>0</v>
      </c>
      <c r="N126" s="6">
        <f t="shared" si="53"/>
        <v>0.98309353094974572</v>
      </c>
      <c r="O126">
        <v>34</v>
      </c>
      <c r="R126">
        <v>62860</v>
      </c>
      <c r="S126">
        <f>25069+4481+27753+4920</f>
        <v>62223</v>
      </c>
      <c r="T126">
        <f>247+306</f>
        <v>553</v>
      </c>
      <c r="U126">
        <f>48+36</f>
        <v>84</v>
      </c>
      <c r="V126">
        <f t="shared" si="59"/>
        <v>62860</v>
      </c>
      <c r="W126">
        <f t="shared" si="60"/>
        <v>0</v>
      </c>
      <c r="X126" s="6">
        <f>(S126-T126)/R126</f>
        <v>0.98106904231625836</v>
      </c>
      <c r="Y126">
        <v>21</v>
      </c>
      <c r="AA126" s="2"/>
      <c r="AB126">
        <v>72813</v>
      </c>
      <c r="AC126">
        <f>34448+37098</f>
        <v>71546</v>
      </c>
      <c r="AD126">
        <f>531+577</f>
        <v>1108</v>
      </c>
      <c r="AE126">
        <f>19+7+24+6+18+23+15+30+2+15</f>
        <v>159</v>
      </c>
      <c r="AF126">
        <f t="shared" si="61"/>
        <v>72813</v>
      </c>
      <c r="AG126">
        <f t="shared" si="62"/>
        <v>0</v>
      </c>
      <c r="AH126">
        <f t="shared" si="54"/>
        <v>0.96738219823383187</v>
      </c>
    </row>
    <row r="127" spans="1:34" x14ac:dyDescent="0.2">
      <c r="A127">
        <v>253400</v>
      </c>
      <c r="B127" t="s">
        <v>123</v>
      </c>
      <c r="C127" t="s">
        <v>167</v>
      </c>
      <c r="D127" t="s">
        <v>167</v>
      </c>
      <c r="E127" s="4">
        <v>28</v>
      </c>
      <c r="F127" s="5" t="s">
        <v>543</v>
      </c>
      <c r="G127" s="5"/>
      <c r="H127" s="5">
        <v>13100</v>
      </c>
      <c r="I127" s="5">
        <v>12814</v>
      </c>
      <c r="J127" s="5">
        <v>281</v>
      </c>
      <c r="K127" s="5">
        <v>5</v>
      </c>
      <c r="L127" s="5">
        <f t="shared" si="57"/>
        <v>13100</v>
      </c>
      <c r="M127" s="5">
        <f t="shared" si="58"/>
        <v>0</v>
      </c>
      <c r="N127" s="6">
        <f t="shared" si="53"/>
        <v>0.95671755725190843</v>
      </c>
      <c r="O127">
        <v>34</v>
      </c>
      <c r="R127">
        <v>10540</v>
      </c>
      <c r="S127">
        <f>4168+841+4465+929</f>
        <v>10403</v>
      </c>
      <c r="T127">
        <f>77+60</f>
        <v>137</v>
      </c>
      <c r="U127">
        <v>0</v>
      </c>
      <c r="V127">
        <f t="shared" si="59"/>
        <v>10540</v>
      </c>
      <c r="W127">
        <f t="shared" si="60"/>
        <v>0</v>
      </c>
      <c r="X127" s="6">
        <f>(S127-T127)/R127</f>
        <v>0.97400379506641366</v>
      </c>
      <c r="Y127">
        <v>21</v>
      </c>
      <c r="AA127" s="2"/>
      <c r="AB127">
        <v>14445</v>
      </c>
      <c r="AC127">
        <f>6754+7436</f>
        <v>14190</v>
      </c>
      <c r="AD127">
        <f>118+115</f>
        <v>233</v>
      </c>
      <c r="AE127">
        <f>8+1+4+4+1+4</f>
        <v>22</v>
      </c>
      <c r="AF127">
        <f t="shared" si="61"/>
        <v>14445</v>
      </c>
      <c r="AG127">
        <f t="shared" si="62"/>
        <v>0</v>
      </c>
      <c r="AH127">
        <f t="shared" si="54"/>
        <v>0.96621668397369331</v>
      </c>
    </row>
    <row r="128" spans="1:34" s="2" customFormat="1" x14ac:dyDescent="0.2">
      <c r="A128" s="2">
        <v>25023105</v>
      </c>
      <c r="B128" s="2" t="s">
        <v>123</v>
      </c>
      <c r="C128" s="2" t="s">
        <v>168</v>
      </c>
      <c r="D128" s="2" t="s">
        <v>167</v>
      </c>
      <c r="E128" s="4">
        <v>28</v>
      </c>
      <c r="F128" s="8" t="s">
        <v>544</v>
      </c>
      <c r="G128" s="8"/>
      <c r="H128" s="8">
        <v>532</v>
      </c>
      <c r="I128" s="8">
        <f>218+211+31+35</f>
        <v>495</v>
      </c>
      <c r="J128" s="8">
        <f>24+12</f>
        <v>36</v>
      </c>
      <c r="K128" s="8">
        <v>1</v>
      </c>
      <c r="L128" s="8">
        <f t="shared" si="57"/>
        <v>532</v>
      </c>
      <c r="M128" s="8">
        <f t="shared" si="58"/>
        <v>0</v>
      </c>
      <c r="N128" s="9">
        <f t="shared" si="53"/>
        <v>0.86278195488721809</v>
      </c>
      <c r="O128" s="2">
        <v>41</v>
      </c>
      <c r="P128" s="2" t="s">
        <v>612</v>
      </c>
      <c r="Q128" s="2">
        <v>1</v>
      </c>
      <c r="R128" s="2">
        <v>189468</v>
      </c>
      <c r="S128" s="2">
        <f>91162+95390</f>
        <v>186552</v>
      </c>
      <c r="T128" s="2">
        <f>1529+1217</f>
        <v>2746</v>
      </c>
      <c r="U128" s="2">
        <f>98+72</f>
        <v>170</v>
      </c>
      <c r="V128">
        <f t="shared" si="59"/>
        <v>189468</v>
      </c>
      <c r="W128">
        <f t="shared" si="60"/>
        <v>0</v>
      </c>
      <c r="X128" s="6">
        <f t="shared" ref="X128:X129" si="64">(S128-T128)/R128</f>
        <v>0.97011632571199358</v>
      </c>
      <c r="Y128" s="2">
        <v>25</v>
      </c>
      <c r="AB128" s="2">
        <v>821</v>
      </c>
      <c r="AC128" s="2">
        <v>792</v>
      </c>
      <c r="AD128" s="8">
        <v>29</v>
      </c>
      <c r="AF128">
        <f t="shared" si="61"/>
        <v>821</v>
      </c>
      <c r="AG128">
        <f t="shared" si="62"/>
        <v>0</v>
      </c>
      <c r="AH128">
        <f t="shared" si="54"/>
        <v>0.92935444579780757</v>
      </c>
    </row>
    <row r="129" spans="1:34" s="2" customFormat="1" x14ac:dyDescent="0.2">
      <c r="A129" s="2">
        <v>25023110</v>
      </c>
      <c r="B129" s="2" t="s">
        <v>123</v>
      </c>
      <c r="C129" s="2" t="s">
        <v>169</v>
      </c>
      <c r="D129" s="2" t="s">
        <v>167</v>
      </c>
      <c r="E129" s="4">
        <v>28</v>
      </c>
      <c r="F129" s="8" t="s">
        <v>545</v>
      </c>
      <c r="G129" s="8"/>
      <c r="H129" s="8">
        <v>1269</v>
      </c>
      <c r="I129" s="8">
        <f>516+463+66+60</f>
        <v>1105</v>
      </c>
      <c r="J129" s="8">
        <f>111+53</f>
        <v>164</v>
      </c>
      <c r="K129" s="8"/>
      <c r="L129" s="8">
        <f t="shared" si="57"/>
        <v>1269</v>
      </c>
      <c r="M129" s="8">
        <f t="shared" si="58"/>
        <v>0</v>
      </c>
      <c r="N129" s="9">
        <f t="shared" si="53"/>
        <v>0.74152876280535851</v>
      </c>
      <c r="O129" s="2">
        <v>41</v>
      </c>
      <c r="P129" s="2" t="s">
        <v>612</v>
      </c>
      <c r="Q129" s="2">
        <v>1</v>
      </c>
      <c r="R129" s="2">
        <v>189468</v>
      </c>
      <c r="S129" s="2">
        <f>91162+95390</f>
        <v>186552</v>
      </c>
      <c r="T129" s="2">
        <f>1529+1217</f>
        <v>2746</v>
      </c>
      <c r="U129" s="2">
        <f>98+72</f>
        <v>170</v>
      </c>
      <c r="V129">
        <f t="shared" si="59"/>
        <v>189468</v>
      </c>
      <c r="W129">
        <f t="shared" si="60"/>
        <v>0</v>
      </c>
      <c r="X129" s="6">
        <f t="shared" si="64"/>
        <v>0.97011632571199358</v>
      </c>
      <c r="Y129" s="2">
        <v>25</v>
      </c>
      <c r="AB129" s="2">
        <v>1559</v>
      </c>
      <c r="AC129" s="2">
        <v>1439</v>
      </c>
      <c r="AD129" s="8">
        <v>120</v>
      </c>
      <c r="AF129">
        <f t="shared" si="61"/>
        <v>1559</v>
      </c>
      <c r="AG129">
        <f t="shared" si="62"/>
        <v>0</v>
      </c>
      <c r="AH129">
        <f t="shared" si="54"/>
        <v>0.84605516356638866</v>
      </c>
    </row>
    <row r="130" spans="1:34" x14ac:dyDescent="0.2">
      <c r="A130">
        <v>25023125</v>
      </c>
      <c r="B130" t="s">
        <v>123</v>
      </c>
      <c r="C130" t="s">
        <v>170</v>
      </c>
      <c r="D130" t="s">
        <v>167</v>
      </c>
      <c r="E130" s="4">
        <v>28</v>
      </c>
      <c r="F130" s="5" t="s">
        <v>546</v>
      </c>
      <c r="G130" s="5"/>
      <c r="H130" s="5">
        <v>6364</v>
      </c>
      <c r="I130" s="5">
        <f>2292+2250+335+355</f>
        <v>5232</v>
      </c>
      <c r="J130" s="5">
        <f>631+497</f>
        <v>1128</v>
      </c>
      <c r="K130" s="5">
        <f>3+1</f>
        <v>4</v>
      </c>
      <c r="L130" s="5">
        <f t="shared" si="57"/>
        <v>6364</v>
      </c>
      <c r="M130" s="5">
        <f t="shared" si="58"/>
        <v>0</v>
      </c>
      <c r="N130" s="6">
        <f t="shared" si="53"/>
        <v>0.64487743557511001</v>
      </c>
      <c r="O130">
        <v>40</v>
      </c>
      <c r="R130">
        <v>1460</v>
      </c>
      <c r="S130">
        <f>618+736+46+60</f>
        <v>1460</v>
      </c>
      <c r="T130">
        <v>0</v>
      </c>
      <c r="U130">
        <v>0</v>
      </c>
      <c r="V130">
        <f t="shared" si="59"/>
        <v>1460</v>
      </c>
      <c r="W130">
        <f t="shared" si="60"/>
        <v>0</v>
      </c>
      <c r="X130" s="6">
        <f>(S130-T130)/R130</f>
        <v>1</v>
      </c>
      <c r="Y130" s="2">
        <v>23</v>
      </c>
      <c r="AA130" s="2"/>
      <c r="AB130">
        <v>1739</v>
      </c>
      <c r="AC130">
        <v>1688</v>
      </c>
      <c r="AD130">
        <v>45</v>
      </c>
      <c r="AE130">
        <v>6</v>
      </c>
      <c r="AF130">
        <f t="shared" si="61"/>
        <v>1739</v>
      </c>
      <c r="AG130">
        <f t="shared" si="62"/>
        <v>0</v>
      </c>
      <c r="AH130">
        <f t="shared" si="54"/>
        <v>0.94479585968947666</v>
      </c>
    </row>
    <row r="131" spans="1:34" x14ac:dyDescent="0.2">
      <c r="A131">
        <v>250440</v>
      </c>
      <c r="B131" t="s">
        <v>123</v>
      </c>
      <c r="C131" t="s">
        <v>171</v>
      </c>
      <c r="D131" t="s">
        <v>172</v>
      </c>
      <c r="E131" s="4">
        <v>28</v>
      </c>
      <c r="F131" s="5" t="s">
        <v>541</v>
      </c>
      <c r="G131" s="5"/>
      <c r="H131" s="5">
        <v>770816</v>
      </c>
      <c r="I131" s="5">
        <f>274671+289931+85581+94983</f>
        <v>745166</v>
      </c>
      <c r="J131" s="5">
        <f>11505+12374</f>
        <v>23879</v>
      </c>
      <c r="K131" s="5">
        <f>1390+381</f>
        <v>1771</v>
      </c>
      <c r="L131" s="5">
        <f t="shared" si="57"/>
        <v>770816</v>
      </c>
      <c r="M131" s="5">
        <f t="shared" si="58"/>
        <v>0</v>
      </c>
      <c r="N131" s="6">
        <f t="shared" si="53"/>
        <v>0.93574471728661579</v>
      </c>
      <c r="O131">
        <v>34</v>
      </c>
      <c r="R131">
        <v>801444</v>
      </c>
      <c r="S131">
        <f>300134+66661+314474+77431</f>
        <v>758700</v>
      </c>
      <c r="T131">
        <f>19448+20609</f>
        <v>40057</v>
      </c>
      <c r="U131">
        <f>1937+750</f>
        <v>2687</v>
      </c>
      <c r="V131">
        <f t="shared" si="59"/>
        <v>801444</v>
      </c>
      <c r="W131">
        <f t="shared" si="60"/>
        <v>0</v>
      </c>
      <c r="X131" s="6">
        <f>(S131-T131)/R131</f>
        <v>0.89668523315415671</v>
      </c>
      <c r="Y131">
        <v>21</v>
      </c>
      <c r="AA131" s="2"/>
      <c r="AB131">
        <v>697197</v>
      </c>
      <c r="AC131">
        <f>301347+327357</f>
        <v>628704</v>
      </c>
      <c r="AD131">
        <f>30081+33084</f>
        <v>63165</v>
      </c>
      <c r="AE131">
        <f>268+134+2277+245+355+281+128+1315+111+214</f>
        <v>5328</v>
      </c>
      <c r="AF131">
        <f t="shared" si="61"/>
        <v>697197</v>
      </c>
      <c r="AG131">
        <f t="shared" si="62"/>
        <v>0</v>
      </c>
      <c r="AH131">
        <f t="shared" si="54"/>
        <v>0.81116097745687377</v>
      </c>
    </row>
    <row r="132" spans="1:34" x14ac:dyDescent="0.2">
      <c r="A132">
        <v>250700</v>
      </c>
      <c r="B132" t="s">
        <v>123</v>
      </c>
      <c r="C132" t="s">
        <v>173</v>
      </c>
      <c r="D132" t="s">
        <v>172</v>
      </c>
      <c r="E132" s="4">
        <v>28</v>
      </c>
      <c r="F132" s="5" t="s">
        <v>173</v>
      </c>
      <c r="G132" s="5"/>
      <c r="H132" s="5">
        <v>41259</v>
      </c>
      <c r="I132" s="5">
        <v>40921</v>
      </c>
      <c r="J132" s="5">
        <v>264</v>
      </c>
      <c r="K132" s="5">
        <v>74</v>
      </c>
      <c r="L132" s="5">
        <f t="shared" si="57"/>
        <v>41259</v>
      </c>
      <c r="M132" s="5">
        <f t="shared" si="58"/>
        <v>0</v>
      </c>
      <c r="N132" s="6">
        <f t="shared" si="53"/>
        <v>0.98540924404372376</v>
      </c>
      <c r="O132">
        <v>34</v>
      </c>
      <c r="R132">
        <v>38912</v>
      </c>
      <c r="S132">
        <f>15069+4428+14472+4618</f>
        <v>38587</v>
      </c>
      <c r="T132">
        <f>149+119</f>
        <v>268</v>
      </c>
      <c r="U132">
        <f>40+17</f>
        <v>57</v>
      </c>
      <c r="V132">
        <f t="shared" si="59"/>
        <v>38912</v>
      </c>
      <c r="W132">
        <f t="shared" si="60"/>
        <v>0</v>
      </c>
      <c r="X132" s="6">
        <f>(S132-T132)/R132</f>
        <v>0.98476048519736847</v>
      </c>
      <c r="Y132">
        <v>21</v>
      </c>
      <c r="AA132" s="2"/>
      <c r="AB132">
        <v>33749</v>
      </c>
      <c r="AC132">
        <f>16646+16707</f>
        <v>33353</v>
      </c>
      <c r="AD132">
        <f>156+170</f>
        <v>326</v>
      </c>
      <c r="AE132">
        <f>4+18+9+8+5+2+14+4+6</f>
        <v>70</v>
      </c>
      <c r="AF132">
        <f t="shared" si="61"/>
        <v>33749</v>
      </c>
      <c r="AG132">
        <f t="shared" si="62"/>
        <v>0</v>
      </c>
      <c r="AH132">
        <f t="shared" si="54"/>
        <v>0.97860677353403058</v>
      </c>
    </row>
    <row r="133" spans="1:34" x14ac:dyDescent="0.2">
      <c r="A133">
        <v>25025</v>
      </c>
      <c r="B133" t="s">
        <v>123</v>
      </c>
      <c r="C133" t="s">
        <v>174</v>
      </c>
      <c r="D133" t="s">
        <v>172</v>
      </c>
      <c r="E133" s="4">
        <v>28</v>
      </c>
      <c r="F133" s="5" t="s">
        <v>551</v>
      </c>
      <c r="G133" s="5">
        <v>1</v>
      </c>
      <c r="H133" s="5">
        <v>863248</v>
      </c>
      <c r="I133" s="5">
        <f>309315+324566+97140+106443</f>
        <v>837464</v>
      </c>
      <c r="J133" s="5">
        <f>11496+12538</f>
        <v>24034</v>
      </c>
      <c r="K133" s="5">
        <f>1344+406</f>
        <v>1750</v>
      </c>
      <c r="L133" s="5">
        <f t="shared" si="57"/>
        <v>863248</v>
      </c>
      <c r="M133" s="5">
        <f t="shared" si="58"/>
        <v>0</v>
      </c>
      <c r="N133" s="6">
        <f t="shared" si="53"/>
        <v>0.94229004874613087</v>
      </c>
      <c r="O133">
        <v>41</v>
      </c>
      <c r="P133" s="2" t="s">
        <v>551</v>
      </c>
      <c r="Q133">
        <v>1</v>
      </c>
      <c r="R133">
        <v>896615</v>
      </c>
      <c r="S133">
        <f>338211+75444+353041+86751</f>
        <v>853447</v>
      </c>
      <c r="T133">
        <f>19661+20756</f>
        <v>40417</v>
      </c>
      <c r="U133">
        <f>1984+767</f>
        <v>2751</v>
      </c>
      <c r="V133">
        <f t="shared" si="59"/>
        <v>896615</v>
      </c>
      <c r="W133">
        <f t="shared" si="60"/>
        <v>0</v>
      </c>
      <c r="X133" s="6">
        <f t="shared" ref="X133:X136" si="65">(S133-T133)/R133</f>
        <v>0.90677715630454547</v>
      </c>
      <c r="Y133">
        <v>25</v>
      </c>
      <c r="AA133">
        <v>1</v>
      </c>
      <c r="AB133">
        <f>697197+33749+40080+20303</f>
        <v>791329</v>
      </c>
      <c r="AC133">
        <f>628704+33353+39910+20240</f>
        <v>722207</v>
      </c>
      <c r="AD133">
        <f>63165+326+147+38</f>
        <v>63676</v>
      </c>
      <c r="AE133">
        <f>5328+70+23+25</f>
        <v>5446</v>
      </c>
      <c r="AF133">
        <f t="shared" si="61"/>
        <v>791329</v>
      </c>
      <c r="AG133">
        <f t="shared" si="62"/>
        <v>0</v>
      </c>
      <c r="AH133">
        <f t="shared" si="54"/>
        <v>0.83218357977528945</v>
      </c>
    </row>
    <row r="134" spans="1:34" x14ac:dyDescent="0.2">
      <c r="A134">
        <v>25025</v>
      </c>
      <c r="B134" t="s">
        <v>123</v>
      </c>
      <c r="C134" t="s">
        <v>175</v>
      </c>
      <c r="D134" t="s">
        <v>172</v>
      </c>
      <c r="E134" s="4">
        <v>28</v>
      </c>
      <c r="F134" s="5" t="s">
        <v>551</v>
      </c>
      <c r="G134" s="5">
        <v>1</v>
      </c>
      <c r="H134" s="5">
        <v>863248</v>
      </c>
      <c r="I134" s="5">
        <f>309315+324566+97140+106443</f>
        <v>837464</v>
      </c>
      <c r="J134" s="5">
        <f>11496+12538</f>
        <v>24034</v>
      </c>
      <c r="K134" s="5">
        <f>1344+406</f>
        <v>1750</v>
      </c>
      <c r="L134" s="5">
        <f t="shared" si="57"/>
        <v>863248</v>
      </c>
      <c r="M134" s="5">
        <f t="shared" si="58"/>
        <v>0</v>
      </c>
      <c r="N134" s="6">
        <f t="shared" si="53"/>
        <v>0.94229004874613087</v>
      </c>
      <c r="O134">
        <v>41</v>
      </c>
      <c r="P134" s="2" t="s">
        <v>551</v>
      </c>
      <c r="Q134">
        <v>1</v>
      </c>
      <c r="R134">
        <v>896615</v>
      </c>
      <c r="S134">
        <f>338211+75444+353041+86751</f>
        <v>853447</v>
      </c>
      <c r="T134">
        <f>19661+20756</f>
        <v>40417</v>
      </c>
      <c r="U134">
        <f>1984+767</f>
        <v>2751</v>
      </c>
      <c r="V134">
        <f t="shared" si="59"/>
        <v>896615</v>
      </c>
      <c r="W134">
        <f t="shared" si="60"/>
        <v>0</v>
      </c>
      <c r="X134" s="6">
        <f t="shared" si="65"/>
        <v>0.90677715630454547</v>
      </c>
      <c r="Y134">
        <v>25</v>
      </c>
      <c r="AA134">
        <v>1</v>
      </c>
      <c r="AB134">
        <f>697197+33749+40080+20303</f>
        <v>791329</v>
      </c>
      <c r="AC134">
        <f>628704+33353+39910+20240</f>
        <v>722207</v>
      </c>
      <c r="AD134">
        <f>63165+326+147+38</f>
        <v>63676</v>
      </c>
      <c r="AE134">
        <f>5328+70+23+25</f>
        <v>5446</v>
      </c>
      <c r="AF134">
        <f t="shared" si="61"/>
        <v>791329</v>
      </c>
      <c r="AG134">
        <f t="shared" si="62"/>
        <v>0</v>
      </c>
      <c r="AH134">
        <f t="shared" si="54"/>
        <v>0.83218357977528945</v>
      </c>
    </row>
    <row r="135" spans="1:34" s="2" customFormat="1" x14ac:dyDescent="0.2">
      <c r="A135" s="2">
        <v>25025020</v>
      </c>
      <c r="B135" s="2" t="s">
        <v>123</v>
      </c>
      <c r="C135" s="2" t="s">
        <v>176</v>
      </c>
      <c r="D135" s="2" t="s">
        <v>172</v>
      </c>
      <c r="E135" s="4">
        <v>28</v>
      </c>
      <c r="F135" s="8" t="s">
        <v>547</v>
      </c>
      <c r="G135" s="8"/>
      <c r="H135" s="8">
        <v>16768</v>
      </c>
      <c r="I135" s="8">
        <v>16723</v>
      </c>
      <c r="J135" s="8">
        <v>45</v>
      </c>
      <c r="K135" s="8">
        <v>0</v>
      </c>
      <c r="L135" s="8">
        <f t="shared" si="57"/>
        <v>16768</v>
      </c>
      <c r="M135" s="8">
        <f t="shared" si="58"/>
        <v>0</v>
      </c>
      <c r="N135" s="9">
        <f t="shared" si="53"/>
        <v>0.99463263358778631</v>
      </c>
      <c r="O135" s="2">
        <v>41</v>
      </c>
      <c r="P135" s="2" t="s">
        <v>551</v>
      </c>
      <c r="Q135" s="2">
        <v>1</v>
      </c>
      <c r="R135">
        <v>896615</v>
      </c>
      <c r="S135">
        <f>338211+75444+353041+86751</f>
        <v>853447</v>
      </c>
      <c r="T135">
        <f>19661+20756</f>
        <v>40417</v>
      </c>
      <c r="U135">
        <f>1984+767</f>
        <v>2751</v>
      </c>
      <c r="V135">
        <f t="shared" si="59"/>
        <v>896615</v>
      </c>
      <c r="W135">
        <f t="shared" si="60"/>
        <v>0</v>
      </c>
      <c r="X135" s="6">
        <f t="shared" si="65"/>
        <v>0.90677715630454547</v>
      </c>
      <c r="Y135" s="2">
        <v>21</v>
      </c>
      <c r="AB135" s="2">
        <v>20303</v>
      </c>
      <c r="AC135" s="2">
        <f>9697+10543</f>
        <v>20240</v>
      </c>
      <c r="AD135" s="2">
        <f>25+13</f>
        <v>38</v>
      </c>
      <c r="AE135" s="2">
        <f>4+4+1+11+4+1</f>
        <v>25</v>
      </c>
      <c r="AF135">
        <f t="shared" si="61"/>
        <v>20303</v>
      </c>
      <c r="AG135">
        <f t="shared" si="62"/>
        <v>0</v>
      </c>
      <c r="AH135">
        <f t="shared" si="54"/>
        <v>0.99502536570950106</v>
      </c>
    </row>
    <row r="136" spans="1:34" s="2" customFormat="1" x14ac:dyDescent="0.2">
      <c r="A136" s="2">
        <v>25027055</v>
      </c>
      <c r="B136" s="2" t="s">
        <v>123</v>
      </c>
      <c r="C136" s="2" t="s">
        <v>177</v>
      </c>
      <c r="D136" s="2" t="s">
        <v>178</v>
      </c>
      <c r="E136" s="4">
        <v>28</v>
      </c>
      <c r="F136" s="8" t="s">
        <v>548</v>
      </c>
      <c r="G136" s="8"/>
      <c r="H136" s="8">
        <v>12440</v>
      </c>
      <c r="I136" s="8">
        <v>12429</v>
      </c>
      <c r="J136" s="8">
        <v>7</v>
      </c>
      <c r="K136" s="8">
        <v>4</v>
      </c>
      <c r="L136" s="8">
        <f t="shared" si="57"/>
        <v>12440</v>
      </c>
      <c r="M136" s="8">
        <f t="shared" si="58"/>
        <v>0</v>
      </c>
      <c r="N136" s="9">
        <f t="shared" si="53"/>
        <v>0.99855305466237942</v>
      </c>
      <c r="O136" s="2">
        <v>41</v>
      </c>
      <c r="P136" s="2" t="s">
        <v>613</v>
      </c>
      <c r="Q136" s="2">
        <v>1</v>
      </c>
      <c r="R136" s="2">
        <v>546401</v>
      </c>
      <c r="S136" s="2">
        <f>227619+39614+235064+41706</f>
        <v>544003</v>
      </c>
      <c r="T136" s="2">
        <f>1066+1049</f>
        <v>2115</v>
      </c>
      <c r="U136" s="2">
        <f>186+97</f>
        <v>283</v>
      </c>
      <c r="V136">
        <f t="shared" si="59"/>
        <v>546401</v>
      </c>
      <c r="W136">
        <f t="shared" si="60"/>
        <v>0</v>
      </c>
      <c r="X136" s="6">
        <f t="shared" si="65"/>
        <v>0.99174049827873667</v>
      </c>
      <c r="Y136" s="2">
        <v>21</v>
      </c>
      <c r="AB136" s="2">
        <v>12848</v>
      </c>
      <c r="AC136" s="2">
        <f>6010+6703</f>
        <v>12713</v>
      </c>
      <c r="AD136" s="2">
        <f>48+62</f>
        <v>110</v>
      </c>
      <c r="AE136" s="2">
        <f>2+5+7+8+3</f>
        <v>25</v>
      </c>
      <c r="AF136">
        <f t="shared" si="61"/>
        <v>12848</v>
      </c>
      <c r="AG136">
        <f t="shared" si="62"/>
        <v>0</v>
      </c>
      <c r="AH136">
        <f t="shared" si="54"/>
        <v>0.98093088418430885</v>
      </c>
    </row>
    <row r="137" spans="1:34" x14ac:dyDescent="0.2">
      <c r="A137">
        <v>251370</v>
      </c>
      <c r="B137" t="s">
        <v>123</v>
      </c>
      <c r="C137" t="s">
        <v>179</v>
      </c>
      <c r="D137" t="s">
        <v>178</v>
      </c>
      <c r="E137" s="4">
        <v>28</v>
      </c>
      <c r="F137" s="5" t="s">
        <v>549</v>
      </c>
      <c r="G137" s="5"/>
      <c r="H137" s="5">
        <v>20206</v>
      </c>
      <c r="I137" s="5">
        <v>20181</v>
      </c>
      <c r="J137" s="5">
        <v>21</v>
      </c>
      <c r="K137" s="5">
        <v>4</v>
      </c>
      <c r="L137" s="5">
        <f t="shared" si="57"/>
        <v>20206</v>
      </c>
      <c r="M137" s="5">
        <f t="shared" si="58"/>
        <v>0</v>
      </c>
      <c r="N137" s="6">
        <f t="shared" si="53"/>
        <v>0.99772344848064931</v>
      </c>
      <c r="O137">
        <v>34</v>
      </c>
      <c r="R137">
        <v>19581</v>
      </c>
      <c r="S137">
        <f>7512+2150+7831+2068</f>
        <v>19561</v>
      </c>
      <c r="T137">
        <f>4+8</f>
        <v>12</v>
      </c>
      <c r="U137">
        <v>8</v>
      </c>
      <c r="V137">
        <f t="shared" si="59"/>
        <v>19581</v>
      </c>
      <c r="W137">
        <f t="shared" si="60"/>
        <v>0</v>
      </c>
      <c r="X137" s="6">
        <f>(S137-T137)/R137</f>
        <v>0.99836576272917621</v>
      </c>
      <c r="Y137">
        <v>21</v>
      </c>
      <c r="AA137" s="2"/>
      <c r="AB137">
        <v>19038</v>
      </c>
      <c r="AC137">
        <f>9270+9733</f>
        <v>19003</v>
      </c>
      <c r="AD137">
        <f>18+7</f>
        <v>25</v>
      </c>
      <c r="AE137">
        <f>4+1+2+3</f>
        <v>10</v>
      </c>
      <c r="AF137">
        <f t="shared" si="61"/>
        <v>19038</v>
      </c>
      <c r="AG137">
        <f t="shared" si="62"/>
        <v>0</v>
      </c>
      <c r="AH137">
        <f t="shared" si="54"/>
        <v>0.99684840844626532</v>
      </c>
    </row>
    <row r="138" spans="1:34" x14ac:dyDescent="0.2">
      <c r="A138">
        <v>25027100</v>
      </c>
      <c r="B138" t="s">
        <v>123</v>
      </c>
      <c r="C138" t="s">
        <v>180</v>
      </c>
      <c r="D138" t="s">
        <v>178</v>
      </c>
      <c r="E138" s="4">
        <v>28</v>
      </c>
      <c r="F138" s="5" t="s">
        <v>550</v>
      </c>
      <c r="G138" s="5"/>
      <c r="H138" s="5">
        <v>3984</v>
      </c>
      <c r="I138" s="5">
        <f>1696+1711+295+278</f>
        <v>3980</v>
      </c>
      <c r="J138" s="5">
        <f>3+1</f>
        <v>4</v>
      </c>
      <c r="K138" s="5">
        <v>0</v>
      </c>
      <c r="L138" s="5">
        <f t="shared" si="57"/>
        <v>3984</v>
      </c>
      <c r="M138" s="5">
        <f t="shared" si="58"/>
        <v>0</v>
      </c>
      <c r="N138" s="6">
        <f t="shared" si="53"/>
        <v>0.99799196787148592</v>
      </c>
      <c r="O138">
        <v>40</v>
      </c>
      <c r="P138" t="s">
        <v>662</v>
      </c>
      <c r="R138">
        <v>1812</v>
      </c>
      <c r="S138">
        <f>787+884+65+76</f>
        <v>1812</v>
      </c>
      <c r="T138">
        <v>0</v>
      </c>
      <c r="V138">
        <f t="shared" si="59"/>
        <v>1812</v>
      </c>
      <c r="W138">
        <f t="shared" si="60"/>
        <v>0</v>
      </c>
      <c r="X138" s="6">
        <f>(S138-T138)/R138</f>
        <v>1</v>
      </c>
      <c r="Y138">
        <v>21</v>
      </c>
      <c r="AA138" s="2"/>
      <c r="AB138">
        <v>10117</v>
      </c>
      <c r="AC138">
        <f>4971+5136</f>
        <v>10107</v>
      </c>
      <c r="AD138">
        <f>2</f>
        <v>2</v>
      </c>
      <c r="AE138">
        <f>1+4+1+2</f>
        <v>8</v>
      </c>
      <c r="AF138">
        <f t="shared" si="61"/>
        <v>10117</v>
      </c>
      <c r="AG138">
        <f t="shared" si="62"/>
        <v>0</v>
      </c>
      <c r="AH138">
        <f t="shared" si="54"/>
        <v>0.99881387763170904</v>
      </c>
    </row>
    <row r="139" spans="1:34" x14ac:dyDescent="0.2">
      <c r="A139">
        <v>255030</v>
      </c>
      <c r="B139" t="s">
        <v>123</v>
      </c>
      <c r="C139" t="s">
        <v>178</v>
      </c>
      <c r="D139" t="s">
        <v>178</v>
      </c>
      <c r="E139" s="4">
        <v>28</v>
      </c>
      <c r="F139" s="5" t="s">
        <v>542</v>
      </c>
      <c r="G139" s="5"/>
      <c r="H139" s="5">
        <v>193694</v>
      </c>
      <c r="I139" s="5">
        <f>73884+78388+19869+20122</f>
        <v>192263</v>
      </c>
      <c r="J139" s="5">
        <f>646+707</f>
        <v>1353</v>
      </c>
      <c r="K139" s="5">
        <f>56+22</f>
        <v>78</v>
      </c>
      <c r="L139" s="5">
        <f t="shared" si="57"/>
        <v>193694</v>
      </c>
      <c r="M139" s="5">
        <f t="shared" si="58"/>
        <v>0</v>
      </c>
      <c r="N139" s="6">
        <f t="shared" si="53"/>
        <v>0.9856268134273648</v>
      </c>
      <c r="O139">
        <v>34</v>
      </c>
      <c r="R139">
        <v>203486</v>
      </c>
      <c r="S139">
        <f>81525+16432+86456+17354</f>
        <v>201767</v>
      </c>
      <c r="T139">
        <f>760+808</f>
        <v>1568</v>
      </c>
      <c r="U139">
        <f>96+55</f>
        <v>151</v>
      </c>
      <c r="V139">
        <f t="shared" si="59"/>
        <v>203486</v>
      </c>
      <c r="W139">
        <f t="shared" si="60"/>
        <v>0</v>
      </c>
      <c r="X139" s="6">
        <f>(S139-T139)/R139</f>
        <v>0.98384655455412162</v>
      </c>
      <c r="Y139">
        <v>21</v>
      </c>
      <c r="AA139" s="2"/>
      <c r="AB139">
        <v>186587</v>
      </c>
      <c r="AC139">
        <f>88326+95954</f>
        <v>184280</v>
      </c>
      <c r="AD139">
        <f>984+1029</f>
        <v>2013</v>
      </c>
      <c r="AE139">
        <f>47+23+50+6+42+49+32+18+3+24</f>
        <v>294</v>
      </c>
      <c r="AF139">
        <f t="shared" si="61"/>
        <v>186587</v>
      </c>
      <c r="AG139">
        <f t="shared" si="62"/>
        <v>0</v>
      </c>
      <c r="AH139">
        <f t="shared" si="54"/>
        <v>0.97684726159914681</v>
      </c>
    </row>
    <row r="140" spans="1:34" x14ac:dyDescent="0.2">
      <c r="E140" s="4"/>
      <c r="F140" s="5"/>
      <c r="G140" s="5"/>
      <c r="H140" s="5"/>
      <c r="I140" s="5"/>
      <c r="J140" s="5"/>
      <c r="K140" s="5"/>
      <c r="L140" s="5"/>
      <c r="M140" s="5"/>
      <c r="N140" s="6"/>
      <c r="X140" s="6"/>
    </row>
    <row r="141" spans="1:34" x14ac:dyDescent="0.2">
      <c r="A141">
        <v>262790</v>
      </c>
      <c r="B141" t="s">
        <v>181</v>
      </c>
      <c r="C141" t="s">
        <v>182</v>
      </c>
      <c r="D141" t="s">
        <v>183</v>
      </c>
      <c r="E141" s="4">
        <v>28</v>
      </c>
      <c r="F141" s="5" t="s">
        <v>505</v>
      </c>
      <c r="G141" s="5"/>
      <c r="H141" s="5">
        <v>22126</v>
      </c>
      <c r="I141" s="5">
        <f>9867+9100+1704+1447</f>
        <v>22118</v>
      </c>
      <c r="J141" s="5">
        <f>4+4</f>
        <v>8</v>
      </c>
      <c r="K141" s="5">
        <v>0</v>
      </c>
      <c r="L141" s="5">
        <f>I141+J141+K141</f>
        <v>22126</v>
      </c>
      <c r="M141" s="5">
        <f>L141-H141</f>
        <v>0</v>
      </c>
      <c r="N141" s="6">
        <f>(I141-J141)/H141</f>
        <v>0.99927686884208622</v>
      </c>
      <c r="O141">
        <v>42</v>
      </c>
      <c r="R141">
        <v>184961</v>
      </c>
      <c r="S141">
        <f>83381+9407+79122+8622</f>
        <v>180532</v>
      </c>
      <c r="T141">
        <f>2238+2024</f>
        <v>4262</v>
      </c>
      <c r="U141">
        <f>118+49</f>
        <v>167</v>
      </c>
      <c r="V141">
        <f>SUM(S141:U141)</f>
        <v>184961</v>
      </c>
      <c r="W141">
        <f>R141-V141</f>
        <v>0</v>
      </c>
      <c r="X141" s="6">
        <f>(S141-T141)/R141</f>
        <v>0.95301171598336942</v>
      </c>
      <c r="Y141">
        <v>21</v>
      </c>
      <c r="AB141">
        <v>89246</v>
      </c>
      <c r="AC141">
        <f>44719+44353</f>
        <v>89072</v>
      </c>
      <c r="AD141">
        <f>4+15</f>
        <v>19</v>
      </c>
      <c r="AE141">
        <f>22+27+16+16+2+20+36+8+5+3</f>
        <v>155</v>
      </c>
      <c r="AF141">
        <f>SUM(AC141:AE141)</f>
        <v>89246</v>
      </c>
      <c r="AG141">
        <f>AB141-AF141</f>
        <v>0</v>
      </c>
      <c r="AH141">
        <f>(AC141-AD141)/AB141</f>
        <v>0.9978374380924635</v>
      </c>
    </row>
    <row r="142" spans="1:34" x14ac:dyDescent="0.2">
      <c r="A142">
        <v>260680</v>
      </c>
      <c r="B142" t="s">
        <v>181</v>
      </c>
      <c r="C142" t="s">
        <v>184</v>
      </c>
      <c r="D142" t="s">
        <v>185</v>
      </c>
      <c r="E142" s="4">
        <v>28</v>
      </c>
      <c r="F142" s="5" t="s">
        <v>506</v>
      </c>
      <c r="G142" s="5"/>
      <c r="H142" s="5">
        <v>1623452</v>
      </c>
      <c r="I142" s="5">
        <f>579520+572478+172297+148367</f>
        <v>1472662</v>
      </c>
      <c r="J142" s="5">
        <f>74485+74634</f>
        <v>149119</v>
      </c>
      <c r="K142" s="5">
        <f>1197+474</f>
        <v>1671</v>
      </c>
      <c r="L142" s="5">
        <f>I142+J142+K142</f>
        <v>1623452</v>
      </c>
      <c r="M142" s="5">
        <f>L142-H142</f>
        <v>0</v>
      </c>
      <c r="N142" s="6">
        <f>(I142-J142)/H142</f>
        <v>0.81526463363253121</v>
      </c>
      <c r="O142">
        <v>34</v>
      </c>
      <c r="R142">
        <v>2659398</v>
      </c>
      <c r="S142">
        <f>966059+194630+971943+176779</f>
        <v>2309411</v>
      </c>
      <c r="T142">
        <f>171024+175150</f>
        <v>346174</v>
      </c>
      <c r="U142">
        <f>2388+1425</f>
        <v>3813</v>
      </c>
      <c r="V142">
        <f>SUM(S142:U142)</f>
        <v>2659398</v>
      </c>
      <c r="W142">
        <f>R142-V142</f>
        <v>0</v>
      </c>
      <c r="X142" s="6">
        <f>(S142-T142)/R142</f>
        <v>0.73822609477784074</v>
      </c>
      <c r="Y142">
        <v>21</v>
      </c>
      <c r="AB142">
        <v>1670144</v>
      </c>
      <c r="AC142">
        <f>579616+603354</f>
        <v>1182970</v>
      </c>
      <c r="AD142">
        <f>232829+249394</f>
        <v>482223</v>
      </c>
      <c r="AE142">
        <f>691+426+883+295+409+735+446+569+161+336</f>
        <v>4951</v>
      </c>
      <c r="AF142">
        <f>SUM(AC142:AE142)</f>
        <v>1670144</v>
      </c>
      <c r="AG142">
        <f>AB142-AF142</f>
        <v>0</v>
      </c>
      <c r="AH142">
        <f>(AC142-AD142)/AB142</f>
        <v>0.41957280330318825</v>
      </c>
    </row>
    <row r="143" spans="1:34" x14ac:dyDescent="0.2">
      <c r="A143">
        <v>262920</v>
      </c>
      <c r="B143" t="s">
        <v>181</v>
      </c>
      <c r="C143" t="s">
        <v>186</v>
      </c>
      <c r="D143" t="s">
        <v>185</v>
      </c>
      <c r="E143" s="4">
        <v>28</v>
      </c>
      <c r="F143" s="5" t="s">
        <v>507</v>
      </c>
      <c r="G143" s="5"/>
      <c r="H143" s="5">
        <v>30618</v>
      </c>
      <c r="I143" s="5">
        <f>13092+12583+2648+2291</f>
        <v>30614</v>
      </c>
      <c r="J143" s="5">
        <f>1+3</f>
        <v>4</v>
      </c>
      <c r="K143" s="5">
        <v>0</v>
      </c>
      <c r="L143" s="5">
        <f>I143+J143+K143</f>
        <v>30618</v>
      </c>
      <c r="M143" s="5">
        <f>L143-H143</f>
        <v>0</v>
      </c>
      <c r="N143" s="6">
        <f>(I143-J143)/H143</f>
        <v>0.99973871578809848</v>
      </c>
      <c r="O143">
        <v>34</v>
      </c>
      <c r="R143">
        <v>36846</v>
      </c>
      <c r="S143">
        <f>16269+2287+16191+2075</f>
        <v>36822</v>
      </c>
      <c r="T143">
        <f>7+9</f>
        <v>16</v>
      </c>
      <c r="U143">
        <f>5+3</f>
        <v>8</v>
      </c>
      <c r="V143">
        <f>SUM(S143:U143)</f>
        <v>36846</v>
      </c>
      <c r="W143">
        <f>R143-V143</f>
        <v>0</v>
      </c>
      <c r="X143" s="6">
        <f>(S143-T143)/R143</f>
        <v>0.99891440047766378</v>
      </c>
      <c r="Y143">
        <v>21</v>
      </c>
      <c r="AB143">
        <v>43519</v>
      </c>
      <c r="AC143">
        <f>21545+21926</f>
        <v>43471</v>
      </c>
      <c r="AD143">
        <f>4+6</f>
        <v>10</v>
      </c>
      <c r="AE143">
        <f>8+5+4+3+7+9+1+1</f>
        <v>38</v>
      </c>
      <c r="AF143">
        <f>SUM(AC143:AE143)</f>
        <v>43519</v>
      </c>
      <c r="AG143">
        <f>AB143-AF143</f>
        <v>0</v>
      </c>
      <c r="AH143">
        <f>(AC143-AD143)/AB143</f>
        <v>0.99866724878788571</v>
      </c>
    </row>
    <row r="144" spans="1:34" x14ac:dyDescent="0.2">
      <c r="E144" s="4"/>
      <c r="F144" s="5"/>
      <c r="G144" s="5"/>
      <c r="H144" s="5"/>
      <c r="I144" s="5"/>
      <c r="J144" s="5"/>
      <c r="K144" s="5"/>
      <c r="L144" s="5"/>
      <c r="M144" s="5"/>
      <c r="N144" s="6"/>
      <c r="X144" s="6"/>
    </row>
    <row r="145" spans="1:34" x14ac:dyDescent="0.2">
      <c r="A145">
        <v>272585</v>
      </c>
      <c r="B145" t="s">
        <v>187</v>
      </c>
      <c r="C145" t="s">
        <v>188</v>
      </c>
      <c r="D145" t="s">
        <v>189</v>
      </c>
      <c r="E145" s="4">
        <v>28</v>
      </c>
      <c r="F145" s="5" t="s">
        <v>504</v>
      </c>
      <c r="G145" s="5"/>
      <c r="H145" s="5">
        <v>492370</v>
      </c>
      <c r="I145" s="5">
        <f>197302+225648+34424+29725</f>
        <v>487099</v>
      </c>
      <c r="J145" s="5">
        <f>2378+2268</f>
        <v>4646</v>
      </c>
      <c r="K145" s="5">
        <f>438+187</f>
        <v>625</v>
      </c>
      <c r="L145" s="5">
        <f>I145+J145+K145</f>
        <v>492370</v>
      </c>
      <c r="M145" s="5">
        <f>L145-H145</f>
        <v>0</v>
      </c>
      <c r="N145" s="6">
        <f>(I145-J145)/H145</f>
        <v>0.97985864289050917</v>
      </c>
      <c r="O145">
        <v>34</v>
      </c>
      <c r="R145">
        <v>521718</v>
      </c>
      <c r="S145">
        <f>218635+25426+245753+23436</f>
        <v>513250</v>
      </c>
      <c r="T145">
        <f>3548+3259</f>
        <v>6807</v>
      </c>
      <c r="U145">
        <f>955+706</f>
        <v>1661</v>
      </c>
      <c r="V145">
        <f>SUM(S145:U145)</f>
        <v>521718</v>
      </c>
      <c r="W145">
        <f>R145-V145</f>
        <v>0</v>
      </c>
      <c r="X145" s="6">
        <f>(S145-T145)/R145</f>
        <v>0.97072173089676794</v>
      </c>
      <c r="Y145">
        <v>21</v>
      </c>
      <c r="AB145">
        <v>482872</v>
      </c>
      <c r="AC145">
        <f>217823+249455</f>
        <v>467278</v>
      </c>
      <c r="AD145">
        <f>5792+5993</f>
        <v>11785</v>
      </c>
      <c r="AE145">
        <f>988+282+325+152+273+1089+276+191+104+129</f>
        <v>3809</v>
      </c>
      <c r="AF145">
        <f>SUM(AC145:AE145)</f>
        <v>482872</v>
      </c>
      <c r="AG145">
        <f>AB145-AF145</f>
        <v>0</v>
      </c>
      <c r="AH145">
        <f>(AC145-AD145)/AB145</f>
        <v>0.94329967361950995</v>
      </c>
    </row>
    <row r="146" spans="1:34" x14ac:dyDescent="0.2">
      <c r="E146" s="4"/>
      <c r="F146" s="5"/>
      <c r="G146" s="5"/>
      <c r="H146" s="5"/>
      <c r="I146" s="5"/>
      <c r="J146" s="5"/>
      <c r="K146" s="5"/>
      <c r="L146" s="5"/>
      <c r="M146" s="5"/>
      <c r="N146" s="6"/>
      <c r="X146" s="6"/>
    </row>
    <row r="147" spans="1:34" x14ac:dyDescent="0.2">
      <c r="A147">
        <v>28033</v>
      </c>
      <c r="B147" t="s">
        <v>190</v>
      </c>
      <c r="C147" t="s">
        <v>191</v>
      </c>
      <c r="D147" t="s">
        <v>191</v>
      </c>
      <c r="E147" s="4">
        <v>28</v>
      </c>
      <c r="F147" s="5" t="s">
        <v>499</v>
      </c>
      <c r="G147" s="5">
        <v>1</v>
      </c>
      <c r="H147" s="5">
        <v>26663</v>
      </c>
      <c r="I147" s="5">
        <f>3666+3534+8+3</f>
        <v>7211</v>
      </c>
      <c r="J147" s="5">
        <f>9800+9639</f>
        <v>19439</v>
      </c>
      <c r="K147" s="5">
        <f>10+3</f>
        <v>13</v>
      </c>
      <c r="L147" s="5">
        <f>I147+J147+K147</f>
        <v>26663</v>
      </c>
      <c r="M147" s="5">
        <f>L147-H147</f>
        <v>0</v>
      </c>
      <c r="N147" s="6">
        <f>(I147-J147)/H147</f>
        <v>-0.45861305929565316</v>
      </c>
      <c r="O147">
        <v>42</v>
      </c>
      <c r="Q147">
        <v>1</v>
      </c>
      <c r="R147">
        <v>24599</v>
      </c>
      <c r="S147">
        <f>4037+32+3974+34</f>
        <v>8077</v>
      </c>
      <c r="T147">
        <f>8240+8259</f>
        <v>16499</v>
      </c>
      <c r="U147">
        <f>11+12</f>
        <v>23</v>
      </c>
      <c r="V147">
        <f>SUM(S147:U147)</f>
        <v>24599</v>
      </c>
      <c r="W147">
        <f>R147-V147</f>
        <v>0</v>
      </c>
      <c r="X147" s="6">
        <f t="shared" ref="X147" si="66">(S147-T147)/R147</f>
        <v>-0.34237164112362289</v>
      </c>
      <c r="Y147">
        <v>25</v>
      </c>
      <c r="AA147">
        <v>1</v>
      </c>
      <c r="AB147">
        <f>7314+4521+3909+2018+6129</f>
        <v>23891</v>
      </c>
      <c r="AC147">
        <f>3334+1934+1167+571+2242</f>
        <v>9248</v>
      </c>
      <c r="AD147">
        <f>3980+2587+2740+1446+3872</f>
        <v>14625</v>
      </c>
      <c r="AE147">
        <f>2+1+15</f>
        <v>18</v>
      </c>
      <c r="AF147">
        <f>SUM(AC147:AE147)</f>
        <v>23891</v>
      </c>
      <c r="AG147">
        <f>AB147-AF147</f>
        <v>0</v>
      </c>
      <c r="AH147">
        <f>(AC147-AD147)/AB147</f>
        <v>-0.22506383156837304</v>
      </c>
    </row>
    <row r="148" spans="1:34" x14ac:dyDescent="0.2">
      <c r="A148">
        <v>280615</v>
      </c>
      <c r="B148" t="s">
        <v>190</v>
      </c>
      <c r="C148" t="s">
        <v>192</v>
      </c>
      <c r="D148" t="s">
        <v>193</v>
      </c>
      <c r="E148" s="4">
        <v>28</v>
      </c>
      <c r="F148" s="5" t="s">
        <v>500</v>
      </c>
      <c r="G148" s="5">
        <v>1</v>
      </c>
      <c r="H148" s="5">
        <v>107273</v>
      </c>
      <c r="I148" s="5">
        <f>24479+26938+262+147</f>
        <v>51826</v>
      </c>
      <c r="J148" s="5">
        <f>26205+29240</f>
        <v>55445</v>
      </c>
      <c r="K148" s="5">
        <v>2</v>
      </c>
      <c r="L148" s="5">
        <f>I148+J148+K148</f>
        <v>107273</v>
      </c>
      <c r="M148" s="5">
        <f>L148-H148</f>
        <v>0</v>
      </c>
      <c r="N148" s="6">
        <f>(I148-J148)/H148</f>
        <v>-3.373635490757227E-2</v>
      </c>
      <c r="O148">
        <v>34</v>
      </c>
      <c r="R148">
        <v>98271</v>
      </c>
      <c r="S148">
        <f>26784+253+30820+223</f>
        <v>58080</v>
      </c>
      <c r="T148">
        <f>18692+21476</f>
        <v>40168</v>
      </c>
      <c r="U148">
        <f>10+13</f>
        <v>23</v>
      </c>
      <c r="V148">
        <f>SUM(S148:U148)</f>
        <v>98271</v>
      </c>
      <c r="W148">
        <f>R148-V148</f>
        <v>0</v>
      </c>
      <c r="X148" s="6">
        <f>(S148-T148)/R148</f>
        <v>0.18227147378168534</v>
      </c>
      <c r="Y148">
        <v>21</v>
      </c>
      <c r="AB148">
        <v>144422</v>
      </c>
      <c r="AC148">
        <f>43725+49068</f>
        <v>92793</v>
      </c>
      <c r="AD148">
        <f>23854+27702</f>
        <v>51556</v>
      </c>
      <c r="AE148">
        <f>9+8+7+1+15+9+10+5+2+7</f>
        <v>73</v>
      </c>
      <c r="AF148">
        <f>SUM(AC148:AE148)</f>
        <v>144422</v>
      </c>
      <c r="AG148">
        <f>AB148-AF148</f>
        <v>0</v>
      </c>
      <c r="AH148">
        <f>(AC148-AD148)/AB148</f>
        <v>0.28553129024663831</v>
      </c>
    </row>
    <row r="149" spans="1:34" x14ac:dyDescent="0.2">
      <c r="A149">
        <v>280655</v>
      </c>
      <c r="B149" t="s">
        <v>190</v>
      </c>
      <c r="C149" t="s">
        <v>194</v>
      </c>
      <c r="D149" t="s">
        <v>195</v>
      </c>
      <c r="E149" s="4">
        <v>28</v>
      </c>
      <c r="F149" s="5" t="s">
        <v>502</v>
      </c>
      <c r="G149" s="5"/>
      <c r="H149" s="5">
        <v>23991</v>
      </c>
      <c r="I149" s="5">
        <f>7370+7717+59+38</f>
        <v>15184</v>
      </c>
      <c r="J149" s="5">
        <f>4094+4713</f>
        <v>8807</v>
      </c>
      <c r="K149" s="5">
        <v>0</v>
      </c>
      <c r="L149" s="5">
        <f>I149+J149+K149</f>
        <v>23991</v>
      </c>
      <c r="M149" s="5">
        <f>L149-H149</f>
        <v>0</v>
      </c>
      <c r="N149" s="6">
        <f>(I149-J149)/H149</f>
        <v>0.26580801133758492</v>
      </c>
      <c r="O149">
        <v>34</v>
      </c>
      <c r="R149">
        <f>25038</f>
        <v>25038</v>
      </c>
      <c r="S149">
        <f>7253+59+8240+43</f>
        <v>15595</v>
      </c>
      <c r="T149">
        <f>4400+5040</f>
        <v>9440</v>
      </c>
      <c r="U149">
        <v>3</v>
      </c>
      <c r="V149">
        <f>SUM(S149:U149)</f>
        <v>25038</v>
      </c>
      <c r="W149">
        <f>R149-V149</f>
        <v>0</v>
      </c>
      <c r="X149" s="6">
        <f>(S149-T149)/R149</f>
        <v>0.24582634395718508</v>
      </c>
      <c r="Y149">
        <v>21</v>
      </c>
      <c r="AB149">
        <v>27889</v>
      </c>
      <c r="AC149">
        <f>8552+9362</f>
        <v>17914</v>
      </c>
      <c r="AD149">
        <f>4615+5352</f>
        <v>9967</v>
      </c>
      <c r="AE149">
        <f>2+2+3+1</f>
        <v>8</v>
      </c>
      <c r="AF149">
        <f>SUM(AC149:AE149)</f>
        <v>27889</v>
      </c>
      <c r="AG149">
        <f>AB149-AF149</f>
        <v>0</v>
      </c>
      <c r="AH149">
        <f>(AC149-AD149)/AB149</f>
        <v>0.28495105597188858</v>
      </c>
    </row>
    <row r="150" spans="1:34" x14ac:dyDescent="0.2">
      <c r="A150">
        <v>28119</v>
      </c>
      <c r="B150" t="s">
        <v>190</v>
      </c>
      <c r="C150" t="s">
        <v>196</v>
      </c>
      <c r="D150" t="s">
        <v>197</v>
      </c>
      <c r="E150" s="4">
        <v>28</v>
      </c>
      <c r="F150" s="5" t="s">
        <v>501</v>
      </c>
      <c r="G150" s="5">
        <v>1</v>
      </c>
      <c r="H150" s="5">
        <v>27191</v>
      </c>
      <c r="I150" s="5">
        <f>4692+4393+25+10</f>
        <v>9120</v>
      </c>
      <c r="J150" s="5">
        <f>9286+8746</f>
        <v>18032</v>
      </c>
      <c r="K150" s="5">
        <f>21+18</f>
        <v>39</v>
      </c>
      <c r="L150" s="5">
        <f>I150+J150+K150</f>
        <v>27191</v>
      </c>
      <c r="M150" s="5">
        <f>L150-H150</f>
        <v>0</v>
      </c>
      <c r="N150" s="6">
        <f>(I150-J150)/H150</f>
        <v>-0.3277555073369865</v>
      </c>
      <c r="O150">
        <v>40</v>
      </c>
      <c r="P150" t="s">
        <v>197</v>
      </c>
      <c r="Q150">
        <v>1</v>
      </c>
      <c r="R150">
        <v>1817</v>
      </c>
      <c r="S150">
        <f>550+643+2+5</f>
        <v>1200</v>
      </c>
      <c r="T150">
        <f>305+312</f>
        <v>617</v>
      </c>
      <c r="V150">
        <f>SUM(S150:U150)</f>
        <v>1817</v>
      </c>
      <c r="W150">
        <f>R150-V150</f>
        <v>0</v>
      </c>
      <c r="X150" s="6">
        <f>(S150-T150)/R150</f>
        <v>0.32085855806274077</v>
      </c>
      <c r="Y150">
        <v>25</v>
      </c>
      <c r="AA150">
        <v>1</v>
      </c>
      <c r="AB150">
        <f>5246+2174+6058+2101+5440</f>
        <v>21019</v>
      </c>
      <c r="AC150">
        <f>1573+456+2509+525+2652</f>
        <v>7715</v>
      </c>
      <c r="AD150">
        <f>3665+1717+3513+1576+2783</f>
        <v>13254</v>
      </c>
      <c r="AE150">
        <f>8+1+36+5</f>
        <v>50</v>
      </c>
      <c r="AF150">
        <f>SUM(AC150:AE150)</f>
        <v>21019</v>
      </c>
      <c r="AG150">
        <f>AB150-AF150</f>
        <v>0</v>
      </c>
      <c r="AH150">
        <f>(AC150-AD150)/AB150</f>
        <v>-0.2635234787573148</v>
      </c>
    </row>
    <row r="151" spans="1:34" x14ac:dyDescent="0.2">
      <c r="B151" t="s">
        <v>190</v>
      </c>
      <c r="C151" t="s">
        <v>198</v>
      </c>
      <c r="D151" t="s">
        <v>199</v>
      </c>
      <c r="E151" s="4">
        <v>29</v>
      </c>
      <c r="F151" s="5" t="s">
        <v>503</v>
      </c>
      <c r="G151" s="5"/>
      <c r="H151" s="5">
        <v>1320</v>
      </c>
      <c r="I151" s="5">
        <f>340+345+15+6</f>
        <v>706</v>
      </c>
      <c r="J151" s="5">
        <f>264+340</f>
        <v>604</v>
      </c>
      <c r="K151" s="5">
        <f>9+1</f>
        <v>10</v>
      </c>
      <c r="L151" s="5">
        <f>I151+J151+K151</f>
        <v>1320</v>
      </c>
      <c r="M151" s="5">
        <f>L151-H151</f>
        <v>0</v>
      </c>
      <c r="N151" s="6">
        <f>(I151-J151)/H151</f>
        <v>7.7272727272727271E-2</v>
      </c>
      <c r="O151">
        <v>40</v>
      </c>
      <c r="R151">
        <v>1229</v>
      </c>
      <c r="S151">
        <f>328+358+6+3</f>
        <v>695</v>
      </c>
      <c r="T151">
        <f>234+279</f>
        <v>513</v>
      </c>
      <c r="U151">
        <f>12+9</f>
        <v>21</v>
      </c>
      <c r="V151">
        <f>SUM(S151:U151)</f>
        <v>1229</v>
      </c>
      <c r="W151">
        <f>R151-V151</f>
        <v>0</v>
      </c>
      <c r="X151" s="6">
        <f>(S151-T151)/R151</f>
        <v>0.14808787632221318</v>
      </c>
      <c r="Y151">
        <v>23</v>
      </c>
      <c r="AB151">
        <v>1619</v>
      </c>
      <c r="AC151">
        <v>956</v>
      </c>
      <c r="AD151">
        <v>651</v>
      </c>
      <c r="AE151">
        <v>12</v>
      </c>
      <c r="AF151">
        <f>SUM(AC151:AE151)</f>
        <v>1619</v>
      </c>
      <c r="AG151">
        <f>AB151-AF151</f>
        <v>0</v>
      </c>
      <c r="AH151">
        <f>(AC151-AD151)/AB151</f>
        <v>0.18838789376158122</v>
      </c>
    </row>
    <row r="152" spans="1:34" x14ac:dyDescent="0.2">
      <c r="E152" s="4"/>
      <c r="F152" s="5"/>
      <c r="G152" s="5"/>
      <c r="H152" s="5"/>
      <c r="I152" s="5"/>
      <c r="J152" s="5"/>
      <c r="K152" s="5"/>
      <c r="L152" s="5"/>
      <c r="M152" s="5"/>
      <c r="N152" s="6"/>
      <c r="X152" s="6"/>
    </row>
    <row r="153" spans="1:34" x14ac:dyDescent="0.2">
      <c r="A153">
        <v>293875</v>
      </c>
      <c r="B153" t="s">
        <v>200</v>
      </c>
      <c r="C153" t="s">
        <v>201</v>
      </c>
      <c r="D153" t="s">
        <v>201</v>
      </c>
      <c r="E153" s="4">
        <v>28</v>
      </c>
      <c r="F153" s="5" t="s">
        <v>498</v>
      </c>
      <c r="G153" s="5"/>
      <c r="H153" s="5">
        <v>816048</v>
      </c>
      <c r="I153" s="5">
        <f>308306+339082+31391+28015</f>
        <v>706794</v>
      </c>
      <c r="J153" s="5">
        <f>51762+57003</f>
        <v>108765</v>
      </c>
      <c r="K153" s="5">
        <f>339+150</f>
        <v>489</v>
      </c>
      <c r="L153" s="5">
        <f>I153+J153+K153</f>
        <v>816048</v>
      </c>
      <c r="M153" s="5">
        <f>L153-H153</f>
        <v>0</v>
      </c>
      <c r="N153" s="6">
        <f>(I153-J153)/H153</f>
        <v>0.73283556849597087</v>
      </c>
      <c r="O153">
        <v>34</v>
      </c>
      <c r="R153">
        <v>856796</v>
      </c>
      <c r="S153">
        <f>312089+21261+348440+20558</f>
        <v>702348</v>
      </c>
      <c r="T153">
        <f>72270+81496</f>
        <v>153766</v>
      </c>
      <c r="U153">
        <f>411+271</f>
        <v>682</v>
      </c>
      <c r="V153">
        <f>SUM(S153:U153)</f>
        <v>856796</v>
      </c>
      <c r="W153">
        <f>R153-V153</f>
        <v>0</v>
      </c>
      <c r="X153" s="6">
        <f>(S153-T153)/R153</f>
        <v>0.64027142983860807</v>
      </c>
      <c r="Y153">
        <v>21</v>
      </c>
      <c r="AB153">
        <v>750026</v>
      </c>
      <c r="AC153">
        <f>247978+286026</f>
        <v>534004</v>
      </c>
      <c r="AD153">
        <f>100159+114218</f>
        <v>214377</v>
      </c>
      <c r="AE153">
        <f>233+122+242+140+147+233+153+206+71+98</f>
        <v>1645</v>
      </c>
      <c r="AF153">
        <f>SUM(AC153:AE153)</f>
        <v>750026</v>
      </c>
      <c r="AG153">
        <f>AB153-AF153</f>
        <v>0</v>
      </c>
      <c r="AH153">
        <f>(AC153-AD153)/AB153</f>
        <v>0.4261545599752542</v>
      </c>
    </row>
    <row r="154" spans="1:34" x14ac:dyDescent="0.2">
      <c r="E154" s="4"/>
      <c r="F154" s="5"/>
      <c r="G154" s="5"/>
      <c r="H154" s="5"/>
      <c r="I154" s="5"/>
      <c r="J154" s="5"/>
      <c r="K154" s="5"/>
      <c r="L154" s="5"/>
      <c r="M154" s="5"/>
      <c r="N154" s="6"/>
      <c r="X154" s="6"/>
    </row>
    <row r="155" spans="1:34" x14ac:dyDescent="0.2">
      <c r="A155">
        <v>311825</v>
      </c>
      <c r="B155" t="s">
        <v>202</v>
      </c>
      <c r="C155" t="s">
        <v>203</v>
      </c>
      <c r="D155" t="s">
        <v>204</v>
      </c>
      <c r="E155" s="4">
        <v>28</v>
      </c>
      <c r="F155" s="5" t="s">
        <v>497</v>
      </c>
      <c r="G155" s="5"/>
      <c r="H155" s="5">
        <v>223844</v>
      </c>
      <c r="I155" s="5">
        <f>91044+98285+11668+10643</f>
        <v>211640</v>
      </c>
      <c r="J155" s="5">
        <f>5920+6095</f>
        <v>12015</v>
      </c>
      <c r="K155" s="5">
        <f>118+71</f>
        <v>189</v>
      </c>
      <c r="L155" s="5">
        <f>I155+J155+K155</f>
        <v>223844</v>
      </c>
      <c r="M155" s="5">
        <f>L155-H155</f>
        <v>0</v>
      </c>
      <c r="N155" s="6">
        <f>(I155-J155)/H155</f>
        <v>0.89180411357909972</v>
      </c>
      <c r="O155">
        <v>34</v>
      </c>
      <c r="R155">
        <v>251117</v>
      </c>
      <c r="S155">
        <f>104750+8783+112181+8521</f>
        <v>234235</v>
      </c>
      <c r="T155">
        <f>8061+8250</f>
        <v>16311</v>
      </c>
      <c r="U155">
        <f>312+259</f>
        <v>571</v>
      </c>
      <c r="V155">
        <f>SUM(S155:U155)</f>
        <v>251117</v>
      </c>
      <c r="W155">
        <f>R155-V155</f>
        <v>0</v>
      </c>
      <c r="X155" s="6">
        <f>(S155-T155)/R155</f>
        <v>0.867818586555271</v>
      </c>
      <c r="Y155">
        <v>21</v>
      </c>
      <c r="AB155">
        <v>301598</v>
      </c>
      <c r="AC155">
        <f>132559+142771</f>
        <v>275330</v>
      </c>
      <c r="AD155">
        <f>12272+12883</f>
        <v>25155</v>
      </c>
      <c r="AE155">
        <f>313+87+73+31+39+341+115+57+16+41</f>
        <v>1113</v>
      </c>
      <c r="AF155">
        <f>SUM(AC155:AE155)</f>
        <v>301598</v>
      </c>
      <c r="AG155">
        <f>AB155-AF155</f>
        <v>0</v>
      </c>
      <c r="AH155">
        <f>(AC155-AD155)/AB155</f>
        <v>0.8294982062215267</v>
      </c>
    </row>
    <row r="156" spans="1:34" x14ac:dyDescent="0.2">
      <c r="E156" s="4"/>
      <c r="F156" s="5"/>
      <c r="G156" s="5"/>
      <c r="H156" s="5"/>
      <c r="I156" s="5"/>
      <c r="J156" s="5"/>
      <c r="K156" s="5"/>
      <c r="L156" s="5"/>
      <c r="M156" s="5"/>
      <c r="N156" s="6"/>
      <c r="X156" s="6"/>
    </row>
    <row r="157" spans="1:34" x14ac:dyDescent="0.2">
      <c r="A157">
        <v>311130</v>
      </c>
      <c r="B157" t="s">
        <v>205</v>
      </c>
      <c r="C157" t="s">
        <v>206</v>
      </c>
      <c r="D157" t="s">
        <v>207</v>
      </c>
      <c r="E157" s="4">
        <v>28</v>
      </c>
      <c r="F157" s="5" t="s">
        <v>492</v>
      </c>
      <c r="G157" s="5"/>
      <c r="H157" s="5">
        <v>3425</v>
      </c>
      <c r="I157" s="5">
        <f>1404+1679+156+173</f>
        <v>3412</v>
      </c>
      <c r="J157" s="5">
        <f>6+7</f>
        <v>13</v>
      </c>
      <c r="K157" s="5">
        <v>0</v>
      </c>
      <c r="L157" s="5">
        <f>I157+J157+K157</f>
        <v>3425</v>
      </c>
      <c r="M157" s="5">
        <f>L157-H157</f>
        <v>0</v>
      </c>
      <c r="N157" s="6">
        <f>(I157-J157)/H157</f>
        <v>0.99240875912408755</v>
      </c>
      <c r="O157">
        <v>38</v>
      </c>
      <c r="R157">
        <v>4999</v>
      </c>
      <c r="S157">
        <f>3472+128+1274+98</f>
        <v>4972</v>
      </c>
      <c r="T157">
        <f>12+3</f>
        <v>15</v>
      </c>
      <c r="U157">
        <f>10+2</f>
        <v>12</v>
      </c>
      <c r="V157">
        <f>SUM(S157:U157)</f>
        <v>4999</v>
      </c>
      <c r="W157">
        <f>R157-V157</f>
        <v>0</v>
      </c>
      <c r="X157" s="6">
        <f>(S157-T157)/R157</f>
        <v>0.99159831966393275</v>
      </c>
      <c r="Y157">
        <v>22</v>
      </c>
      <c r="AB157">
        <v>5649</v>
      </c>
      <c r="AC157">
        <v>5606</v>
      </c>
      <c r="AD157">
        <v>15</v>
      </c>
      <c r="AE157">
        <v>28</v>
      </c>
      <c r="AF157">
        <f>SUM(AC157:AE157)</f>
        <v>5649</v>
      </c>
      <c r="AG157">
        <f>AB157-AF157</f>
        <v>0</v>
      </c>
      <c r="AH157">
        <f>(AC157-AD157)/AB157</f>
        <v>0.98973269605239866</v>
      </c>
    </row>
    <row r="158" spans="1:34" x14ac:dyDescent="0.2">
      <c r="A158">
        <v>311770</v>
      </c>
      <c r="B158" t="s">
        <v>205</v>
      </c>
      <c r="C158" t="s">
        <v>208</v>
      </c>
      <c r="D158" t="s">
        <v>209</v>
      </c>
      <c r="E158" s="4">
        <v>28</v>
      </c>
      <c r="F158" s="5" t="s">
        <v>493</v>
      </c>
      <c r="G158" s="5"/>
      <c r="H158" s="5">
        <v>32927</v>
      </c>
      <c r="I158" s="5">
        <f>12736+13415+3242+3484</f>
        <v>32877</v>
      </c>
      <c r="J158" s="5">
        <f>21+16</f>
        <v>37</v>
      </c>
      <c r="K158" s="5">
        <f>13</f>
        <v>13</v>
      </c>
      <c r="L158" s="5">
        <f>I158+J158+K158</f>
        <v>32927</v>
      </c>
      <c r="M158" s="5">
        <f>L158-H158</f>
        <v>0</v>
      </c>
      <c r="N158" s="6">
        <f>(I158-J158)/H158</f>
        <v>0.99735779147811832</v>
      </c>
      <c r="O158">
        <v>34</v>
      </c>
      <c r="R158">
        <v>34669</v>
      </c>
      <c r="S158">
        <f>13826+2635+15032+3071</f>
        <v>34564</v>
      </c>
      <c r="T158">
        <f>47+47</f>
        <v>94</v>
      </c>
      <c r="U158">
        <f>7+4</f>
        <v>11</v>
      </c>
      <c r="V158">
        <f>SUM(S158:U158)</f>
        <v>34669</v>
      </c>
      <c r="W158">
        <f>R158-V158</f>
        <v>0</v>
      </c>
      <c r="X158" s="6">
        <f>(S158-T158)/R158</f>
        <v>0.99426000173065276</v>
      </c>
      <c r="Y158">
        <v>21</v>
      </c>
      <c r="AB158">
        <v>39096</v>
      </c>
      <c r="AC158">
        <f>18583+20381</f>
        <v>38964</v>
      </c>
      <c r="AD158">
        <f>44+59</f>
        <v>103</v>
      </c>
      <c r="AE158">
        <f>1+7+5+2+3+11</f>
        <v>29</v>
      </c>
      <c r="AF158">
        <f>SUM(AC158:AE158)</f>
        <v>39096</v>
      </c>
      <c r="AG158">
        <f>AB158-AF158</f>
        <v>0</v>
      </c>
      <c r="AH158">
        <f>(AC158-AD158)/AB158</f>
        <v>0.99398915490075712</v>
      </c>
    </row>
    <row r="159" spans="1:34" x14ac:dyDescent="0.2">
      <c r="A159">
        <v>330520</v>
      </c>
      <c r="B159" t="s">
        <v>205</v>
      </c>
      <c r="C159" t="s">
        <v>149</v>
      </c>
      <c r="D159" t="s">
        <v>210</v>
      </c>
      <c r="E159" s="4">
        <v>28</v>
      </c>
      <c r="F159" s="5" t="s">
        <v>494</v>
      </c>
      <c r="G159" s="5"/>
      <c r="H159" s="5">
        <v>27171</v>
      </c>
      <c r="I159" s="5">
        <f>11365+12329+1562+1867</f>
        <v>27123</v>
      </c>
      <c r="J159" s="5">
        <f>28+15</f>
        <v>43</v>
      </c>
      <c r="K159" s="5">
        <f>3+2</f>
        <v>5</v>
      </c>
      <c r="L159" s="5">
        <f>I159+J159+K159</f>
        <v>27171</v>
      </c>
      <c r="M159" s="5">
        <f>L159-H159</f>
        <v>0</v>
      </c>
      <c r="N159" s="6">
        <f>(I159-J159)/H159</f>
        <v>0.996650840970152</v>
      </c>
      <c r="O159">
        <v>34</v>
      </c>
      <c r="R159">
        <v>27988</v>
      </c>
      <c r="S159">
        <f>11897+1238+13245+1569</f>
        <v>27949</v>
      </c>
      <c r="T159">
        <f>21+13</f>
        <v>34</v>
      </c>
      <c r="U159">
        <f>5</f>
        <v>5</v>
      </c>
      <c r="V159">
        <f>SUM(S159:U159)</f>
        <v>27988</v>
      </c>
      <c r="W159">
        <f>R159-V159</f>
        <v>0</v>
      </c>
      <c r="X159" s="6">
        <f>(S159-T159)/R159</f>
        <v>0.9973917393168501</v>
      </c>
      <c r="Y159">
        <v>21</v>
      </c>
      <c r="AB159">
        <v>28991</v>
      </c>
      <c r="AC159">
        <f>13504+15438</f>
        <v>28942</v>
      </c>
      <c r="AD159">
        <f>15+20</f>
        <v>35</v>
      </c>
      <c r="AE159">
        <f>1+3+1+3+5+1</f>
        <v>14</v>
      </c>
      <c r="AF159">
        <f>SUM(AC159:AE159)</f>
        <v>28991</v>
      </c>
      <c r="AG159">
        <f>AB159-AF159</f>
        <v>0</v>
      </c>
      <c r="AH159">
        <f>(AC159-AD159)/AB159</f>
        <v>0.99710254906695184</v>
      </c>
    </row>
    <row r="160" spans="1:34" x14ac:dyDescent="0.2">
      <c r="A160">
        <v>33013095</v>
      </c>
      <c r="B160" t="s">
        <v>205</v>
      </c>
      <c r="C160" t="s">
        <v>211</v>
      </c>
      <c r="D160" t="s">
        <v>210</v>
      </c>
      <c r="E160" s="4">
        <v>28</v>
      </c>
      <c r="F160" s="5" t="s">
        <v>495</v>
      </c>
      <c r="G160" s="5"/>
      <c r="H160" s="5">
        <v>1039</v>
      </c>
      <c r="I160" s="5">
        <f>467+515+27+28</f>
        <v>1037</v>
      </c>
      <c r="J160" s="5">
        <v>1</v>
      </c>
      <c r="K160" s="5">
        <v>1</v>
      </c>
      <c r="L160" s="5">
        <f>I160+J160+K160</f>
        <v>1039</v>
      </c>
      <c r="M160" s="5">
        <f>L160-H160</f>
        <v>0</v>
      </c>
      <c r="N160" s="6">
        <f>(I160-J160)/H160</f>
        <v>0.99711260827718962</v>
      </c>
      <c r="O160">
        <v>40</v>
      </c>
      <c r="R160">
        <v>1002</v>
      </c>
      <c r="S160">
        <f>244+718+9+27</f>
        <v>998</v>
      </c>
      <c r="T160">
        <f>1+3</f>
        <v>4</v>
      </c>
      <c r="V160">
        <f>SUM(S160:U160)</f>
        <v>1002</v>
      </c>
      <c r="W160">
        <f>R160-V160</f>
        <v>0</v>
      </c>
      <c r="X160" s="6">
        <f>(S160-T160)/R160</f>
        <v>0.99201596806387227</v>
      </c>
      <c r="Y160">
        <v>25</v>
      </c>
      <c r="AB160">
        <v>1738</v>
      </c>
      <c r="AC160">
        <v>1737</v>
      </c>
      <c r="AD160">
        <v>0</v>
      </c>
      <c r="AE160">
        <v>1</v>
      </c>
      <c r="AF160">
        <f>SUM(AC160:AE160)</f>
        <v>1738</v>
      </c>
      <c r="AG160">
        <f>AB160-AF160</f>
        <v>0</v>
      </c>
      <c r="AH160">
        <f>(AC160-AD160)/AB160</f>
        <v>0.99942462600690452</v>
      </c>
    </row>
    <row r="161" spans="1:34" x14ac:dyDescent="0.2">
      <c r="A161">
        <v>332170</v>
      </c>
      <c r="B161" t="s">
        <v>205</v>
      </c>
      <c r="C161" t="s">
        <v>212</v>
      </c>
      <c r="D161" t="s">
        <v>213</v>
      </c>
      <c r="E161" s="4">
        <v>28</v>
      </c>
      <c r="F161" s="5" t="s">
        <v>496</v>
      </c>
      <c r="G161" s="5"/>
      <c r="H161" s="5">
        <v>14821</v>
      </c>
      <c r="I161" s="5">
        <f>6358+6629+799+914</f>
        <v>14700</v>
      </c>
      <c r="J161" s="5">
        <f>49+62</f>
        <v>111</v>
      </c>
      <c r="K161" s="5">
        <f>5+5</f>
        <v>10</v>
      </c>
      <c r="L161" s="5">
        <f>I161+J161+K161</f>
        <v>14821</v>
      </c>
      <c r="M161" s="5">
        <f>L161-H161</f>
        <v>0</v>
      </c>
      <c r="N161" s="6">
        <f>(I161-J161)/H161</f>
        <v>0.98434653532150329</v>
      </c>
      <c r="O161">
        <v>34</v>
      </c>
      <c r="R161">
        <v>18830</v>
      </c>
      <c r="S161">
        <f>8200+723+8800+901</f>
        <v>18624</v>
      </c>
      <c r="T161">
        <f>83+98</f>
        <v>181</v>
      </c>
      <c r="U161">
        <f>16+9</f>
        <v>25</v>
      </c>
      <c r="V161">
        <f>SUM(S161:U161)</f>
        <v>18830</v>
      </c>
      <c r="W161">
        <f>R161-V161</f>
        <v>0</v>
      </c>
      <c r="X161" s="6">
        <f>(S161-T161)/R161</f>
        <v>0.97944768985661179</v>
      </c>
      <c r="Y161">
        <v>25</v>
      </c>
      <c r="AB161">
        <v>25833</v>
      </c>
      <c r="AC161">
        <v>24663</v>
      </c>
      <c r="AD161">
        <v>1029</v>
      </c>
      <c r="AE161">
        <v>141</v>
      </c>
      <c r="AF161">
        <f>SUM(AC161:AE161)</f>
        <v>25833</v>
      </c>
      <c r="AG161">
        <f>AB161-AF161</f>
        <v>0</v>
      </c>
      <c r="AH161">
        <f>(AC161-AD161)/AB161</f>
        <v>0.91487632098478688</v>
      </c>
    </row>
    <row r="162" spans="1:34" x14ac:dyDescent="0.2">
      <c r="E162" s="4"/>
      <c r="F162" s="5"/>
      <c r="G162" s="5"/>
      <c r="H162" s="5"/>
      <c r="I162" s="5"/>
      <c r="J162" s="5"/>
      <c r="K162" s="5"/>
      <c r="L162" s="5"/>
      <c r="M162" s="5"/>
      <c r="N162" s="6"/>
      <c r="X162" s="6"/>
    </row>
    <row r="163" spans="1:34" x14ac:dyDescent="0.2">
      <c r="A163">
        <v>341740</v>
      </c>
      <c r="B163" t="s">
        <v>214</v>
      </c>
      <c r="C163" t="s">
        <v>215</v>
      </c>
      <c r="D163" t="s">
        <v>216</v>
      </c>
      <c r="E163" s="4">
        <v>28</v>
      </c>
      <c r="F163" s="5" t="s">
        <v>481</v>
      </c>
      <c r="G163" s="5"/>
      <c r="H163" s="5">
        <v>18966</v>
      </c>
      <c r="I163" s="5">
        <f>6222+6889+1227+1601</f>
        <v>15939</v>
      </c>
      <c r="J163" s="5">
        <f>1342+1657</f>
        <v>2999</v>
      </c>
      <c r="K163" s="5">
        <f>18+10</f>
        <v>28</v>
      </c>
      <c r="L163" s="5">
        <f t="shared" ref="L163:L175" si="67">I163+J163+K163</f>
        <v>18966</v>
      </c>
      <c r="M163" s="5">
        <f t="shared" ref="M163:M175" si="68">L163-H163</f>
        <v>0</v>
      </c>
      <c r="N163" s="6">
        <f t="shared" ref="N163:N175" si="69">(I163-J163)/H163</f>
        <v>0.68227354212801861</v>
      </c>
      <c r="O163">
        <v>34</v>
      </c>
      <c r="R163">
        <v>23145</v>
      </c>
      <c r="S163">
        <f>7422+1327+8590+1590</f>
        <v>18929</v>
      </c>
      <c r="T163">
        <f>1931+2241</f>
        <v>4172</v>
      </c>
      <c r="U163">
        <f>27+17</f>
        <v>44</v>
      </c>
      <c r="V163">
        <f t="shared" ref="V163:V175" si="70">SUM(S163:U163)</f>
        <v>23145</v>
      </c>
      <c r="W163">
        <f t="shared" ref="W163:W175" si="71">R163-V163</f>
        <v>0</v>
      </c>
      <c r="X163" s="6">
        <f t="shared" ref="X163:X172" si="72">(S163-T163)/R163</f>
        <v>0.63758911211924818</v>
      </c>
      <c r="Y163">
        <v>21</v>
      </c>
      <c r="AB163">
        <v>26057</v>
      </c>
      <c r="AC163">
        <f>8784+10158</f>
        <v>18942</v>
      </c>
      <c r="AD163">
        <f>3151+3857</f>
        <v>7008</v>
      </c>
      <c r="AE163">
        <f>8+10+19+6+5+10+8+32+3+6</f>
        <v>107</v>
      </c>
      <c r="AF163">
        <f t="shared" ref="AF163:AF175" si="73">SUM(AC163:AE163)</f>
        <v>26057</v>
      </c>
      <c r="AG163">
        <f t="shared" ref="AG163:AG175" si="74">AB163-AF163</f>
        <v>0</v>
      </c>
      <c r="AH163">
        <f t="shared" ref="AH163:AH175" si="75">(AC163-AD163)/AB163</f>
        <v>0.45799593199524119</v>
      </c>
    </row>
    <row r="164" spans="1:34" x14ac:dyDescent="0.2">
      <c r="A164">
        <v>341355</v>
      </c>
      <c r="B164" t="s">
        <v>214</v>
      </c>
      <c r="C164" t="s">
        <v>147</v>
      </c>
      <c r="D164" t="s">
        <v>147</v>
      </c>
      <c r="E164" s="4">
        <v>28</v>
      </c>
      <c r="F164" s="5" t="s">
        <v>398</v>
      </c>
      <c r="G164" s="5"/>
      <c r="H164" s="5">
        <v>10905</v>
      </c>
      <c r="I164" s="5">
        <f>4070+4212+637+623</f>
        <v>9542</v>
      </c>
      <c r="J164" s="5">
        <f>690+672</f>
        <v>1362</v>
      </c>
      <c r="K164" s="5">
        <v>1</v>
      </c>
      <c r="L164" s="5">
        <f t="shared" si="67"/>
        <v>10905</v>
      </c>
      <c r="M164" s="5">
        <f t="shared" si="68"/>
        <v>0</v>
      </c>
      <c r="N164" s="6">
        <f t="shared" si="69"/>
        <v>0.75011462631820269</v>
      </c>
      <c r="O164">
        <v>34</v>
      </c>
      <c r="R164">
        <v>12051</v>
      </c>
      <c r="S164">
        <f>4426+529+4585+553</f>
        <v>10093</v>
      </c>
      <c r="T164">
        <f>953+1003</f>
        <v>1956</v>
      </c>
      <c r="U164">
        <f>2</f>
        <v>2</v>
      </c>
      <c r="V164">
        <f t="shared" si="70"/>
        <v>12051</v>
      </c>
      <c r="W164">
        <f t="shared" si="71"/>
        <v>0</v>
      </c>
      <c r="X164" s="6">
        <f t="shared" si="72"/>
        <v>0.67521367521367526</v>
      </c>
      <c r="Y164">
        <v>21</v>
      </c>
      <c r="AB164">
        <v>12687</v>
      </c>
      <c r="AC164">
        <f>4789+5142</f>
        <v>9931</v>
      </c>
      <c r="AD164">
        <f>1327+1412</f>
        <v>2739</v>
      </c>
      <c r="AE164">
        <f>4+4+3+3+2+1</f>
        <v>17</v>
      </c>
      <c r="AF164">
        <f t="shared" si="73"/>
        <v>12687</v>
      </c>
      <c r="AG164">
        <f t="shared" si="74"/>
        <v>0</v>
      </c>
      <c r="AH164">
        <f t="shared" si="75"/>
        <v>0.56687948293528811</v>
      </c>
    </row>
    <row r="165" spans="1:34" x14ac:dyDescent="0.2">
      <c r="A165">
        <v>341390</v>
      </c>
      <c r="B165" t="s">
        <v>214</v>
      </c>
      <c r="C165" t="s">
        <v>217</v>
      </c>
      <c r="D165" t="s">
        <v>217</v>
      </c>
      <c r="E165" s="4">
        <v>28</v>
      </c>
      <c r="F165" s="5" t="s">
        <v>482</v>
      </c>
      <c r="G165" s="5"/>
      <c r="H165" s="5">
        <v>117536</v>
      </c>
      <c r="I165" s="5">
        <f>44817+45182+7757+7239</f>
        <v>104995</v>
      </c>
      <c r="J165" s="5">
        <f>6182+6296</f>
        <v>12478</v>
      </c>
      <c r="K165" s="5">
        <f>46+17</f>
        <v>63</v>
      </c>
      <c r="L165" s="5">
        <f t="shared" si="67"/>
        <v>117536</v>
      </c>
      <c r="M165" s="5">
        <f t="shared" si="68"/>
        <v>0</v>
      </c>
      <c r="N165" s="6">
        <f t="shared" si="69"/>
        <v>0.78713755785461481</v>
      </c>
      <c r="O165">
        <v>34</v>
      </c>
      <c r="R165">
        <v>124555</v>
      </c>
      <c r="S165">
        <f>46666+6154+48113+6039</f>
        <v>106972</v>
      </c>
      <c r="T165">
        <f>8507+8927</f>
        <v>17434</v>
      </c>
      <c r="U165">
        <f>85+64</f>
        <v>149</v>
      </c>
      <c r="V165">
        <f t="shared" si="70"/>
        <v>124555</v>
      </c>
      <c r="W165">
        <f t="shared" si="71"/>
        <v>0</v>
      </c>
      <c r="X165" s="6">
        <f t="shared" si="72"/>
        <v>0.71886315282405366</v>
      </c>
      <c r="Y165">
        <v>21</v>
      </c>
      <c r="AB165">
        <v>117159</v>
      </c>
      <c r="AC165">
        <f>43643+45624</f>
        <v>89267</v>
      </c>
      <c r="AD165">
        <f>13157+14306</f>
        <v>27463</v>
      </c>
      <c r="AE165">
        <f>53+1+53+15+82+76+20+39+14+76</f>
        <v>429</v>
      </c>
      <c r="AF165">
        <f t="shared" si="73"/>
        <v>117159</v>
      </c>
      <c r="AG165">
        <f t="shared" si="74"/>
        <v>0</v>
      </c>
      <c r="AH165">
        <f t="shared" si="75"/>
        <v>0.52752242678752803</v>
      </c>
    </row>
    <row r="166" spans="1:34" x14ac:dyDescent="0.2">
      <c r="A166">
        <v>342895</v>
      </c>
      <c r="B166" t="s">
        <v>214</v>
      </c>
      <c r="C166" t="s">
        <v>218</v>
      </c>
      <c r="D166" t="s">
        <v>134</v>
      </c>
      <c r="E166" s="4">
        <v>28</v>
      </c>
      <c r="F166" s="5" t="s">
        <v>483</v>
      </c>
      <c r="G166" s="5"/>
      <c r="H166" s="5">
        <v>429760</v>
      </c>
      <c r="I166" s="5">
        <f>144867+148321+46882+43464</f>
        <v>383534</v>
      </c>
      <c r="J166" s="5">
        <f>21734+24026</f>
        <v>45760</v>
      </c>
      <c r="K166" s="5">
        <f>357+109</f>
        <v>466</v>
      </c>
      <c r="L166" s="5">
        <f t="shared" si="67"/>
        <v>429760</v>
      </c>
      <c r="M166" s="5">
        <f t="shared" si="68"/>
        <v>0</v>
      </c>
      <c r="N166" s="6">
        <f t="shared" si="69"/>
        <v>0.78595960536113174</v>
      </c>
      <c r="O166">
        <v>34</v>
      </c>
      <c r="R166">
        <v>438776</v>
      </c>
      <c r="S166">
        <f>143008+36200+149479+34462</f>
        <v>363149</v>
      </c>
      <c r="T166">
        <f>35797+39168</f>
        <v>74965</v>
      </c>
      <c r="U166">
        <f>462+200</f>
        <v>662</v>
      </c>
      <c r="V166">
        <f t="shared" si="70"/>
        <v>438776</v>
      </c>
      <c r="W166">
        <f t="shared" si="71"/>
        <v>0</v>
      </c>
      <c r="X166" s="6">
        <f t="shared" si="72"/>
        <v>0.65679070869874379</v>
      </c>
      <c r="Y166">
        <v>21</v>
      </c>
      <c r="AB166">
        <v>405220</v>
      </c>
      <c r="AC166">
        <f>130258+135631</f>
        <v>265889</v>
      </c>
      <c r="AD166">
        <f>65538+72497</f>
        <v>138035</v>
      </c>
      <c r="AE166">
        <f>95+29+314+148+127+110+48+225+94+106</f>
        <v>1296</v>
      </c>
      <c r="AF166">
        <f t="shared" si="73"/>
        <v>405220</v>
      </c>
      <c r="AG166">
        <f t="shared" si="74"/>
        <v>0</v>
      </c>
      <c r="AH166">
        <f t="shared" si="75"/>
        <v>0.31551749666847639</v>
      </c>
    </row>
    <row r="167" spans="1:34" x14ac:dyDescent="0.2">
      <c r="A167">
        <v>342290</v>
      </c>
      <c r="B167" t="s">
        <v>214</v>
      </c>
      <c r="C167" t="s">
        <v>219</v>
      </c>
      <c r="D167" t="s">
        <v>220</v>
      </c>
      <c r="E167" s="4">
        <v>28</v>
      </c>
      <c r="F167" s="5" t="s">
        <v>489</v>
      </c>
      <c r="G167" s="5"/>
      <c r="H167" s="5">
        <v>301173</v>
      </c>
      <c r="I167" s="5">
        <f>113970+118468+27206+25954</f>
        <v>285598</v>
      </c>
      <c r="J167" s="5">
        <f>8402+7014</f>
        <v>15416</v>
      </c>
      <c r="K167" s="5">
        <f>125+34</f>
        <v>159</v>
      </c>
      <c r="L167" s="5">
        <f t="shared" si="67"/>
        <v>301173</v>
      </c>
      <c r="M167" s="5">
        <f t="shared" si="68"/>
        <v>0</v>
      </c>
      <c r="N167" s="6">
        <f t="shared" si="69"/>
        <v>0.89709900953936772</v>
      </c>
      <c r="O167">
        <v>34</v>
      </c>
      <c r="R167">
        <v>299017</v>
      </c>
      <c r="S167">
        <f>115642+20466+121375+20568</f>
        <v>278051</v>
      </c>
      <c r="T167">
        <f>9882+10876</f>
        <v>20758</v>
      </c>
      <c r="U167">
        <f>137+71</f>
        <v>208</v>
      </c>
      <c r="V167">
        <f t="shared" si="70"/>
        <v>299017</v>
      </c>
      <c r="W167">
        <f t="shared" si="71"/>
        <v>0</v>
      </c>
      <c r="X167" s="6">
        <f t="shared" si="72"/>
        <v>0.86046278305246859</v>
      </c>
      <c r="Y167">
        <v>21</v>
      </c>
      <c r="AB167">
        <v>276101</v>
      </c>
      <c r="AC167">
        <f>116038+122789</f>
        <v>238827</v>
      </c>
      <c r="AD167">
        <f>17294+19398</f>
        <v>36692</v>
      </c>
      <c r="AE167">
        <f>26+8+109+51+61+39+25+96+121+46</f>
        <v>582</v>
      </c>
      <c r="AF167">
        <f t="shared" si="73"/>
        <v>276101</v>
      </c>
      <c r="AG167">
        <f t="shared" si="74"/>
        <v>0</v>
      </c>
      <c r="AH167">
        <f t="shared" si="75"/>
        <v>0.73210528031408795</v>
      </c>
    </row>
    <row r="168" spans="1:34" x14ac:dyDescent="0.2">
      <c r="A168">
        <v>343255</v>
      </c>
      <c r="B168" t="s">
        <v>214</v>
      </c>
      <c r="C168" t="s">
        <v>221</v>
      </c>
      <c r="D168" t="s">
        <v>222</v>
      </c>
      <c r="E168" s="4">
        <v>28</v>
      </c>
      <c r="F168" s="5" t="s">
        <v>490</v>
      </c>
      <c r="G168" s="5"/>
      <c r="H168" s="5">
        <v>3251</v>
      </c>
      <c r="I168" s="5">
        <f>1034+1027+258+265</f>
        <v>2584</v>
      </c>
      <c r="J168" s="5">
        <f>292+372</f>
        <v>664</v>
      </c>
      <c r="K168" s="5">
        <v>3</v>
      </c>
      <c r="L168" s="5">
        <f t="shared" si="67"/>
        <v>3251</v>
      </c>
      <c r="M168" s="5">
        <f t="shared" si="68"/>
        <v>0</v>
      </c>
      <c r="N168" s="6">
        <f t="shared" si="69"/>
        <v>0.59058751153491229</v>
      </c>
      <c r="O168">
        <v>34</v>
      </c>
      <c r="R168">
        <v>12230</v>
      </c>
      <c r="S168">
        <f>6441+632+3530+625</f>
        <v>11228</v>
      </c>
      <c r="T168">
        <f>444+485</f>
        <v>929</v>
      </c>
      <c r="U168">
        <f>42+31</f>
        <v>73</v>
      </c>
      <c r="V168">
        <f t="shared" si="70"/>
        <v>12230</v>
      </c>
      <c r="W168">
        <f t="shared" si="71"/>
        <v>0</v>
      </c>
      <c r="X168" s="6">
        <f t="shared" si="72"/>
        <v>0.84210956663941128</v>
      </c>
      <c r="Y168">
        <v>21</v>
      </c>
      <c r="AB168">
        <v>11890</v>
      </c>
      <c r="AC168">
        <f>6766+4024</f>
        <v>10790</v>
      </c>
      <c r="AD168">
        <f>445+503</f>
        <v>948</v>
      </c>
      <c r="AE168">
        <f>11+24+38+2+39+1+12+15+3+7</f>
        <v>152</v>
      </c>
      <c r="AF168">
        <f t="shared" si="73"/>
        <v>11890</v>
      </c>
      <c r="AG168">
        <f t="shared" si="74"/>
        <v>0</v>
      </c>
      <c r="AH168">
        <f t="shared" si="75"/>
        <v>0.82775441547518924</v>
      </c>
    </row>
    <row r="169" spans="1:34" x14ac:dyDescent="0.2">
      <c r="A169">
        <v>343770</v>
      </c>
      <c r="B169" t="s">
        <v>214</v>
      </c>
      <c r="C169" t="s">
        <v>223</v>
      </c>
      <c r="D169" t="s">
        <v>222</v>
      </c>
      <c r="E169" s="4">
        <v>28</v>
      </c>
      <c r="F169" s="5" t="s">
        <v>484</v>
      </c>
      <c r="G169" s="5"/>
      <c r="H169" s="5">
        <v>124697</v>
      </c>
      <c r="I169" s="5">
        <f>46115+47386+11337+10519</f>
        <v>115357</v>
      </c>
      <c r="J169" s="5">
        <f>4703+4605</f>
        <v>9308</v>
      </c>
      <c r="K169" s="5">
        <f>20+12</f>
        <v>32</v>
      </c>
      <c r="L169" s="5">
        <f t="shared" si="67"/>
        <v>124697</v>
      </c>
      <c r="M169" s="5">
        <f t="shared" si="68"/>
        <v>0</v>
      </c>
      <c r="N169" s="6">
        <f t="shared" si="69"/>
        <v>0.85045349928226022</v>
      </c>
      <c r="O169">
        <v>34</v>
      </c>
      <c r="R169">
        <v>128009</v>
      </c>
      <c r="S169">
        <f>47001+8847+48838+8791</f>
        <v>113477</v>
      </c>
      <c r="T169">
        <f>7378+7101</f>
        <v>14479</v>
      </c>
      <c r="U169">
        <f>32+21</f>
        <v>53</v>
      </c>
      <c r="V169">
        <f t="shared" si="70"/>
        <v>128009</v>
      </c>
      <c r="W169">
        <f t="shared" si="71"/>
        <v>0</v>
      </c>
      <c r="X169" s="6">
        <f t="shared" si="72"/>
        <v>0.77336749759782519</v>
      </c>
      <c r="Y169">
        <v>21</v>
      </c>
      <c r="AB169">
        <v>114167</v>
      </c>
      <c r="AC169">
        <f>42956+45359</f>
        <v>88315</v>
      </c>
      <c r="AD169">
        <f>12728+12910</f>
        <v>25638</v>
      </c>
      <c r="AE169">
        <f>45+5+19+17+18+34+24+20+16+16</f>
        <v>214</v>
      </c>
      <c r="AF169">
        <f t="shared" si="73"/>
        <v>114167</v>
      </c>
      <c r="AG169">
        <f t="shared" si="74"/>
        <v>0</v>
      </c>
      <c r="AH169">
        <f t="shared" si="75"/>
        <v>0.5489940175357152</v>
      </c>
    </row>
    <row r="170" spans="1:34" x14ac:dyDescent="0.2">
      <c r="A170">
        <v>342900</v>
      </c>
      <c r="B170" t="s">
        <v>214</v>
      </c>
      <c r="C170" t="s">
        <v>224</v>
      </c>
      <c r="D170" t="s">
        <v>146</v>
      </c>
      <c r="E170" s="4">
        <v>28</v>
      </c>
      <c r="F170" s="5" t="s">
        <v>485</v>
      </c>
      <c r="G170" s="5"/>
      <c r="H170" s="5">
        <v>33180</v>
      </c>
      <c r="I170" s="5">
        <f>11835+12599+3322+3313</f>
        <v>31069</v>
      </c>
      <c r="J170" s="5">
        <f>992+1106</f>
        <v>2098</v>
      </c>
      <c r="K170" s="5">
        <f>11+2</f>
        <v>13</v>
      </c>
      <c r="L170" s="5">
        <f t="shared" si="67"/>
        <v>33180</v>
      </c>
      <c r="M170" s="5">
        <f t="shared" si="68"/>
        <v>0</v>
      </c>
      <c r="N170" s="6">
        <f t="shared" si="69"/>
        <v>0.87314647377938515</v>
      </c>
      <c r="O170">
        <v>34</v>
      </c>
      <c r="R170">
        <v>38811</v>
      </c>
      <c r="S170">
        <f>14311+2882+14697+2893</f>
        <v>34783</v>
      </c>
      <c r="T170">
        <f>1940+2033</f>
        <v>3973</v>
      </c>
      <c r="U170">
        <f>42+13</f>
        <v>55</v>
      </c>
      <c r="V170">
        <f t="shared" si="70"/>
        <v>38811</v>
      </c>
      <c r="W170">
        <f t="shared" si="71"/>
        <v>0</v>
      </c>
      <c r="X170" s="6">
        <f t="shared" si="72"/>
        <v>0.79384710520213342</v>
      </c>
      <c r="Y170">
        <v>21</v>
      </c>
      <c r="AB170">
        <v>40139</v>
      </c>
      <c r="AC170">
        <f>16888+16922</f>
        <v>33810</v>
      </c>
      <c r="AD170">
        <f>3031+3156</f>
        <v>6187</v>
      </c>
      <c r="AE170">
        <f>6+10+41+4+31+3+6+19+6+16</f>
        <v>142</v>
      </c>
      <c r="AF170">
        <f t="shared" si="73"/>
        <v>40139</v>
      </c>
      <c r="AG170">
        <f t="shared" si="74"/>
        <v>0</v>
      </c>
      <c r="AH170">
        <f t="shared" si="75"/>
        <v>0.68818356212162735</v>
      </c>
    </row>
    <row r="171" spans="1:34" x14ac:dyDescent="0.2">
      <c r="A171">
        <v>343230</v>
      </c>
      <c r="B171" t="s">
        <v>214</v>
      </c>
      <c r="C171" t="s">
        <v>225</v>
      </c>
      <c r="D171" t="s">
        <v>226</v>
      </c>
      <c r="E171" s="4">
        <v>28</v>
      </c>
      <c r="F171" s="5" t="s">
        <v>491</v>
      </c>
      <c r="G171" s="5"/>
      <c r="H171" s="5">
        <v>2082</v>
      </c>
      <c r="I171" s="5">
        <f>947+961+58+88</f>
        <v>2054</v>
      </c>
      <c r="J171" s="5">
        <f>11+17</f>
        <v>28</v>
      </c>
      <c r="K171" s="5">
        <v>0</v>
      </c>
      <c r="L171" s="5">
        <f t="shared" si="67"/>
        <v>2082</v>
      </c>
      <c r="M171" s="5">
        <f t="shared" si="68"/>
        <v>0</v>
      </c>
      <c r="N171" s="6">
        <f t="shared" si="69"/>
        <v>0.9731027857829011</v>
      </c>
      <c r="O171">
        <v>38</v>
      </c>
      <c r="R171">
        <v>4009</v>
      </c>
      <c r="S171">
        <f>1833+136+1805+181</f>
        <v>3955</v>
      </c>
      <c r="T171">
        <f>26+28</f>
        <v>54</v>
      </c>
      <c r="V171">
        <f t="shared" si="70"/>
        <v>4009</v>
      </c>
      <c r="W171">
        <f t="shared" si="71"/>
        <v>0</v>
      </c>
      <c r="X171" s="6">
        <f t="shared" si="72"/>
        <v>0.97306061361935647</v>
      </c>
      <c r="Y171">
        <v>21</v>
      </c>
      <c r="AB171">
        <v>10182</v>
      </c>
      <c r="AC171">
        <f>4965+5126</f>
        <v>10091</v>
      </c>
      <c r="AD171">
        <f>46+41</f>
        <v>87</v>
      </c>
      <c r="AE171">
        <f>2+1+1</f>
        <v>4</v>
      </c>
      <c r="AF171">
        <f t="shared" si="73"/>
        <v>10182</v>
      </c>
      <c r="AG171">
        <f t="shared" si="74"/>
        <v>0</v>
      </c>
      <c r="AH171">
        <f t="shared" si="75"/>
        <v>0.98251816931840508</v>
      </c>
    </row>
    <row r="172" spans="1:34" x14ac:dyDescent="0.2">
      <c r="A172">
        <v>34029</v>
      </c>
      <c r="B172" t="s">
        <v>214</v>
      </c>
      <c r="C172" t="s">
        <v>453</v>
      </c>
      <c r="D172" t="s">
        <v>226</v>
      </c>
      <c r="E172" s="4">
        <v>28</v>
      </c>
      <c r="F172" s="5" t="s">
        <v>626</v>
      </c>
      <c r="G172" s="5">
        <v>1</v>
      </c>
      <c r="H172" s="5">
        <v>37706</v>
      </c>
      <c r="I172" s="5">
        <f>16174+15400+2459+2325</f>
        <v>36358</v>
      </c>
      <c r="J172" s="5">
        <f>666+664</f>
        <v>1330</v>
      </c>
      <c r="K172" s="5">
        <f>14+4</f>
        <v>18</v>
      </c>
      <c r="L172" s="5">
        <f t="shared" si="67"/>
        <v>37706</v>
      </c>
      <c r="M172" s="5">
        <f t="shared" si="68"/>
        <v>0</v>
      </c>
      <c r="N172" s="6">
        <f t="shared" si="69"/>
        <v>0.92897682066514609</v>
      </c>
      <c r="O172">
        <v>42</v>
      </c>
      <c r="R172">
        <v>56622</v>
      </c>
      <c r="S172">
        <f>24320+3433+23696+3557</f>
        <v>55006</v>
      </c>
      <c r="T172">
        <f>800+736</f>
        <v>1536</v>
      </c>
      <c r="U172">
        <f>53+27</f>
        <v>80</v>
      </c>
      <c r="V172">
        <f t="shared" si="70"/>
        <v>56622</v>
      </c>
      <c r="W172">
        <f t="shared" si="71"/>
        <v>0</v>
      </c>
      <c r="X172" s="6">
        <f t="shared" si="72"/>
        <v>0.94433259157218041</v>
      </c>
      <c r="Y172">
        <v>25</v>
      </c>
      <c r="AA172">
        <v>1</v>
      </c>
      <c r="AB172">
        <f>287+824+1041+2765+4272+16299+17414+766+134+1150+5939+1940+2780+16020+832+847+1561+3779+160+921+706+985+3281+10182+3873+954+1054+717+1603+1930+419+1536+1270</f>
        <v>108241</v>
      </c>
      <c r="AC172">
        <f>287+820+1041+2756+3794+16280+17247+766+134+1146+5694+1936+2584+14258+832+847+1554+3475+155+920+705+974+3164+10091+3811+952+1054+716+1473+1928+419+1536+1185</f>
        <v>104534</v>
      </c>
      <c r="AD172">
        <f>4+477+10+123+4+212+4+157+1649+7+262+5+1+9+65+87+61+1+126+2+85</f>
        <v>3351</v>
      </c>
      <c r="AE172">
        <f>9+1+9+44+33+39+113+42+1+2+52+4+1+1+1+4</f>
        <v>356</v>
      </c>
      <c r="AF172">
        <f t="shared" si="73"/>
        <v>108241</v>
      </c>
      <c r="AG172">
        <f t="shared" si="74"/>
        <v>0</v>
      </c>
      <c r="AH172">
        <f t="shared" si="75"/>
        <v>0.93479365489971455</v>
      </c>
    </row>
    <row r="173" spans="1:34" x14ac:dyDescent="0.2">
      <c r="A173">
        <v>343110</v>
      </c>
      <c r="B173" t="s">
        <v>214</v>
      </c>
      <c r="C173" t="s">
        <v>227</v>
      </c>
      <c r="D173" t="s">
        <v>227</v>
      </c>
      <c r="E173" s="4">
        <v>28</v>
      </c>
      <c r="F173" s="5" t="s">
        <v>486</v>
      </c>
      <c r="G173" s="5"/>
      <c r="H173" s="5">
        <v>61394</v>
      </c>
      <c r="I173" s="5">
        <f>20438+21207+8943+8777</f>
        <v>59365</v>
      </c>
      <c r="J173" s="5">
        <f>957+1046</f>
        <v>2003</v>
      </c>
      <c r="K173" s="5">
        <f>19+7</f>
        <v>26</v>
      </c>
      <c r="L173" s="5">
        <f t="shared" si="67"/>
        <v>61394</v>
      </c>
      <c r="M173" s="5">
        <f t="shared" si="68"/>
        <v>0</v>
      </c>
      <c r="N173" s="6">
        <f t="shared" si="69"/>
        <v>0.9343258298856566</v>
      </c>
      <c r="O173">
        <v>34</v>
      </c>
      <c r="R173">
        <v>57702</v>
      </c>
      <c r="S173">
        <f>19713+6881+21011+7086</f>
        <v>54691</v>
      </c>
      <c r="T173">
        <f>1373+1571</f>
        <v>2944</v>
      </c>
      <c r="U173">
        <f>48+19</f>
        <v>67</v>
      </c>
      <c r="V173">
        <f t="shared" si="70"/>
        <v>57702</v>
      </c>
      <c r="W173">
        <f t="shared" si="71"/>
        <v>0</v>
      </c>
      <c r="X173" s="6">
        <f>(S173-T173)/R173</f>
        <v>0.89679733804720807</v>
      </c>
      <c r="Y173">
        <v>21</v>
      </c>
      <c r="AB173">
        <v>53963</v>
      </c>
      <c r="AC173">
        <f>23732+25471</f>
        <v>49203</v>
      </c>
      <c r="AD173">
        <f>2157+2504</f>
        <v>4661</v>
      </c>
      <c r="AE173">
        <f>2+2+26+5+15+1+4+20+12+12</f>
        <v>99</v>
      </c>
      <c r="AF173">
        <f t="shared" si="73"/>
        <v>53963</v>
      </c>
      <c r="AG173">
        <f t="shared" si="74"/>
        <v>0</v>
      </c>
      <c r="AH173">
        <f t="shared" si="75"/>
        <v>0.82541741563663995</v>
      </c>
    </row>
    <row r="174" spans="1:34" x14ac:dyDescent="0.2">
      <c r="A174">
        <v>341715</v>
      </c>
      <c r="B174" t="s">
        <v>214</v>
      </c>
      <c r="C174" t="s">
        <v>228</v>
      </c>
      <c r="D174" t="s">
        <v>229</v>
      </c>
      <c r="E174" s="4">
        <v>28</v>
      </c>
      <c r="F174" s="5" t="s">
        <v>487</v>
      </c>
      <c r="G174" s="5"/>
      <c r="H174" s="5">
        <v>109912</v>
      </c>
      <c r="I174" s="5">
        <f>40601+41704+11789+10816</f>
        <v>104910</v>
      </c>
      <c r="J174" s="5">
        <f>2437+2504</f>
        <v>4941</v>
      </c>
      <c r="K174" s="5">
        <f>51+10</f>
        <v>61</v>
      </c>
      <c r="L174" s="5">
        <f t="shared" si="67"/>
        <v>109912</v>
      </c>
      <c r="M174" s="5">
        <f t="shared" si="68"/>
        <v>0</v>
      </c>
      <c r="N174" s="6">
        <f t="shared" si="69"/>
        <v>0.90953672028531918</v>
      </c>
      <c r="O174">
        <v>34</v>
      </c>
      <c r="R174">
        <v>112817</v>
      </c>
      <c r="S174">
        <f>42286+9365+44551+9148</f>
        <v>105350</v>
      </c>
      <c r="T174">
        <f>3529+3811</f>
        <v>7340</v>
      </c>
      <c r="U174">
        <f>90+37</f>
        <v>127</v>
      </c>
      <c r="V174">
        <f t="shared" si="70"/>
        <v>112817</v>
      </c>
      <c r="W174">
        <f t="shared" si="71"/>
        <v>0</v>
      </c>
      <c r="X174" s="6">
        <f>(S174-T174)/R174</f>
        <v>0.86875204977973175</v>
      </c>
      <c r="Y174">
        <v>21</v>
      </c>
      <c r="AB174">
        <v>107698</v>
      </c>
      <c r="AC174">
        <f>46520+49298</f>
        <v>95818</v>
      </c>
      <c r="AD174">
        <f>5579+6118</f>
        <v>11697</v>
      </c>
      <c r="AE174">
        <f>9+1+35+45+19+13+8+19+21+13</f>
        <v>183</v>
      </c>
      <c r="AF174">
        <f t="shared" si="73"/>
        <v>107698</v>
      </c>
      <c r="AG174">
        <f t="shared" si="74"/>
        <v>0</v>
      </c>
      <c r="AH174">
        <f t="shared" si="75"/>
        <v>0.78108228565061566</v>
      </c>
    </row>
    <row r="175" spans="1:34" x14ac:dyDescent="0.2">
      <c r="A175">
        <v>343205</v>
      </c>
      <c r="B175" t="s">
        <v>214</v>
      </c>
      <c r="C175" t="s">
        <v>230</v>
      </c>
      <c r="D175" t="s">
        <v>229</v>
      </c>
      <c r="E175" s="4">
        <v>28</v>
      </c>
      <c r="F175" s="5" t="s">
        <v>488</v>
      </c>
      <c r="G175" s="5"/>
      <c r="H175" s="5">
        <v>37469</v>
      </c>
      <c r="I175" s="5">
        <f>13104+14630+2553+2593</f>
        <v>32880</v>
      </c>
      <c r="J175" s="5">
        <f>2140+2434</f>
        <v>4574</v>
      </c>
      <c r="K175" s="5">
        <f>10+5</f>
        <v>15</v>
      </c>
      <c r="L175" s="5">
        <f t="shared" si="67"/>
        <v>37469</v>
      </c>
      <c r="M175" s="5">
        <f t="shared" si="68"/>
        <v>0</v>
      </c>
      <c r="N175" s="6">
        <f t="shared" si="69"/>
        <v>0.75545117296965492</v>
      </c>
      <c r="O175">
        <v>34</v>
      </c>
      <c r="R175">
        <v>42366</v>
      </c>
      <c r="S175">
        <f>15057+2285+16841+2415</f>
        <v>36598</v>
      </c>
      <c r="T175">
        <f>2676+3048</f>
        <v>5724</v>
      </c>
      <c r="U175">
        <f>29+15</f>
        <v>44</v>
      </c>
      <c r="V175">
        <f t="shared" si="70"/>
        <v>42366</v>
      </c>
      <c r="W175">
        <f t="shared" si="71"/>
        <v>0</v>
      </c>
      <c r="X175" s="6">
        <f>(S175-T175)/R175</f>
        <v>0.72874474814709911</v>
      </c>
      <c r="Y175">
        <v>21</v>
      </c>
      <c r="AB175">
        <v>45330</v>
      </c>
      <c r="AC175">
        <f>16649+18740</f>
        <v>35389</v>
      </c>
      <c r="AD175">
        <f>4663+5173</f>
        <v>9836</v>
      </c>
      <c r="AE175">
        <f>13+2+25+10+11+4+23+5+12</f>
        <v>105</v>
      </c>
      <c r="AF175">
        <f t="shared" si="73"/>
        <v>45330</v>
      </c>
      <c r="AG175">
        <f t="shared" si="74"/>
        <v>0</v>
      </c>
      <c r="AH175">
        <f t="shared" si="75"/>
        <v>0.56371056695345245</v>
      </c>
    </row>
    <row r="176" spans="1:34" x14ac:dyDescent="0.2">
      <c r="E176" s="4"/>
      <c r="F176" s="5"/>
      <c r="G176" s="5"/>
      <c r="H176" s="5"/>
      <c r="I176" s="5"/>
      <c r="J176" s="5"/>
      <c r="K176" s="5"/>
      <c r="L176" s="5"/>
      <c r="M176" s="5"/>
      <c r="N176" s="6"/>
      <c r="X176" s="6"/>
    </row>
    <row r="177" spans="1:34" x14ac:dyDescent="0.2">
      <c r="A177">
        <v>360030</v>
      </c>
      <c r="B177" t="s">
        <v>231</v>
      </c>
      <c r="C177" t="s">
        <v>232</v>
      </c>
      <c r="D177" t="s">
        <v>232</v>
      </c>
      <c r="E177" s="4">
        <v>28</v>
      </c>
      <c r="F177" s="5" t="s">
        <v>466</v>
      </c>
      <c r="G177" s="5"/>
      <c r="H177" s="5">
        <v>130577</v>
      </c>
      <c r="I177" s="5">
        <f>53392+58994+7960+7218</f>
        <v>127564</v>
      </c>
      <c r="J177" s="5">
        <f>1454+1475</f>
        <v>2929</v>
      </c>
      <c r="K177" s="5">
        <f>58+26</f>
        <v>84</v>
      </c>
      <c r="L177" s="5">
        <f t="shared" ref="L177:L190" si="76">I177+J177+K177</f>
        <v>130577</v>
      </c>
      <c r="M177" s="5">
        <f t="shared" ref="M177:M190" si="77">L177-H177</f>
        <v>0</v>
      </c>
      <c r="N177" s="6">
        <f t="shared" ref="N177:N189" si="78">(I177-J177)/H177</f>
        <v>0.95449428306669626</v>
      </c>
      <c r="O177">
        <v>34</v>
      </c>
      <c r="R177">
        <v>134995</v>
      </c>
      <c r="S177">
        <f>54935+6415+61704+6060</f>
        <v>129114</v>
      </c>
      <c r="T177">
        <f>2791+2968</f>
        <v>5759</v>
      </c>
      <c r="U177">
        <f>78+44</f>
        <v>122</v>
      </c>
      <c r="V177">
        <f t="shared" ref="V177:V190" si="79">SUM(S177:U177)</f>
        <v>134995</v>
      </c>
      <c r="W177">
        <f t="shared" ref="W177:W190" si="80">R177-V177</f>
        <v>0</v>
      </c>
      <c r="X177" s="6">
        <f t="shared" ref="X177:X189" si="81">(S177-T177)/R177</f>
        <v>0.91377458424386093</v>
      </c>
      <c r="Y177">
        <v>21</v>
      </c>
      <c r="AB177">
        <v>129726</v>
      </c>
      <c r="AC177">
        <f>55188+63566</f>
        <v>118754</v>
      </c>
      <c r="AD177">
        <f>5130+5606</f>
        <v>10736</v>
      </c>
      <c r="AE177">
        <f>32+21+30+25+25+26+24+16+10+27</f>
        <v>236</v>
      </c>
      <c r="AF177">
        <f t="shared" ref="AF177:AF190" si="82">SUM(AC177:AE177)</f>
        <v>129726</v>
      </c>
      <c r="AG177">
        <f t="shared" ref="AG177:AG190" si="83">AB177-AF177</f>
        <v>0</v>
      </c>
      <c r="AH177">
        <f t="shared" ref="AH177:AH190" si="84">(AC177-AD177)/AB177</f>
        <v>0.83266268905231022</v>
      </c>
    </row>
    <row r="178" spans="1:34" x14ac:dyDescent="0.2">
      <c r="A178">
        <v>363100</v>
      </c>
      <c r="B178" t="s">
        <v>231</v>
      </c>
      <c r="C178" t="s">
        <v>169</v>
      </c>
      <c r="D178" t="s">
        <v>14</v>
      </c>
      <c r="E178" s="4">
        <v>28</v>
      </c>
      <c r="F178" s="5" t="s">
        <v>467</v>
      </c>
      <c r="G178" s="5"/>
      <c r="H178" s="5">
        <v>324975</v>
      </c>
      <c r="I178" s="5">
        <f>125293+136154+30574+29533</f>
        <v>321554</v>
      </c>
      <c r="J178" s="5">
        <f>1620+1642</f>
        <v>3262</v>
      </c>
      <c r="K178" s="5">
        <f>87+72</f>
        <v>159</v>
      </c>
      <c r="L178" s="5">
        <f t="shared" si="76"/>
        <v>324975</v>
      </c>
      <c r="M178" s="5">
        <f t="shared" si="77"/>
        <v>0</v>
      </c>
      <c r="N178" s="6">
        <f t="shared" si="78"/>
        <v>0.97943534118009079</v>
      </c>
      <c r="O178">
        <v>34</v>
      </c>
      <c r="R178">
        <v>332488</v>
      </c>
      <c r="S178">
        <f>130184+24549+145332+24578</f>
        <v>324643</v>
      </c>
      <c r="T178">
        <f>3809+3781</f>
        <v>7590</v>
      </c>
      <c r="U178">
        <f>144+111</f>
        <v>255</v>
      </c>
      <c r="V178">
        <f t="shared" si="79"/>
        <v>332488</v>
      </c>
      <c r="W178">
        <f t="shared" si="80"/>
        <v>0</v>
      </c>
      <c r="X178" s="6">
        <f t="shared" si="81"/>
        <v>0.95357727196169484</v>
      </c>
      <c r="Y178">
        <v>21</v>
      </c>
      <c r="AB178">
        <v>318611</v>
      </c>
      <c r="AC178">
        <f>139604+154779</f>
        <v>294383</v>
      </c>
      <c r="AD178">
        <f>11491+12095</f>
        <v>23586</v>
      </c>
      <c r="AE178">
        <f>153+44+50+16+84+167+39+30+4+55</f>
        <v>642</v>
      </c>
      <c r="AF178">
        <f t="shared" si="82"/>
        <v>318611</v>
      </c>
      <c r="AG178">
        <f t="shared" si="83"/>
        <v>0</v>
      </c>
      <c r="AH178">
        <f t="shared" si="84"/>
        <v>0.84992985176280789</v>
      </c>
    </row>
    <row r="179" spans="1:34" x14ac:dyDescent="0.2">
      <c r="A179">
        <v>361040</v>
      </c>
      <c r="B179" t="s">
        <v>231</v>
      </c>
      <c r="C179" t="s">
        <v>233</v>
      </c>
      <c r="D179" t="s">
        <v>234</v>
      </c>
      <c r="E179" s="4">
        <v>30</v>
      </c>
      <c r="F179" s="5" t="s">
        <v>472</v>
      </c>
      <c r="G179" s="5"/>
      <c r="H179" s="5">
        <v>5610</v>
      </c>
      <c r="I179" s="5">
        <f>4962+632</f>
        <v>5594</v>
      </c>
      <c r="J179" s="5">
        <f>15</f>
        <v>15</v>
      </c>
      <c r="K179" s="5">
        <v>1</v>
      </c>
      <c r="L179" s="5">
        <f t="shared" si="76"/>
        <v>5610</v>
      </c>
      <c r="M179" s="5">
        <f t="shared" si="77"/>
        <v>0</v>
      </c>
      <c r="N179" s="6">
        <f t="shared" si="78"/>
        <v>0.99447415329768274</v>
      </c>
      <c r="O179">
        <v>38</v>
      </c>
      <c r="R179">
        <v>7970</v>
      </c>
      <c r="S179">
        <f>3405+343+3741+413</f>
        <v>7902</v>
      </c>
      <c r="T179">
        <f>3+56</f>
        <v>59</v>
      </c>
      <c r="U179">
        <f>6+3</f>
        <v>9</v>
      </c>
      <c r="V179">
        <f t="shared" si="79"/>
        <v>7970</v>
      </c>
      <c r="W179">
        <f t="shared" si="80"/>
        <v>0</v>
      </c>
      <c r="X179" s="6">
        <f t="shared" si="81"/>
        <v>0.98406524466750311</v>
      </c>
      <c r="Y179">
        <v>21</v>
      </c>
      <c r="AB179">
        <v>10721</v>
      </c>
      <c r="AC179">
        <f>5033+5545</f>
        <v>10578</v>
      </c>
      <c r="AD179">
        <f>3+129</f>
        <v>132</v>
      </c>
      <c r="AE179">
        <f>6+1+3+1</f>
        <v>11</v>
      </c>
      <c r="AF179">
        <f t="shared" si="82"/>
        <v>10721</v>
      </c>
      <c r="AG179">
        <f t="shared" si="83"/>
        <v>0</v>
      </c>
      <c r="AH179">
        <f t="shared" si="84"/>
        <v>0.97434940770450518</v>
      </c>
    </row>
    <row r="180" spans="1:34" x14ac:dyDescent="0.2">
      <c r="A180">
        <v>362505</v>
      </c>
      <c r="B180" t="s">
        <v>231</v>
      </c>
      <c r="C180" t="s">
        <v>235</v>
      </c>
      <c r="E180" s="4" t="s">
        <v>474</v>
      </c>
      <c r="F180" s="5" t="s">
        <v>475</v>
      </c>
      <c r="G180" s="5"/>
      <c r="H180" s="5">
        <v>7454995</v>
      </c>
      <c r="I180" s="5">
        <f>4897481+2080020</f>
        <v>6977501</v>
      </c>
      <c r="J180" s="5">
        <v>458444</v>
      </c>
      <c r="K180" s="5">
        <v>19050</v>
      </c>
      <c r="L180" s="5">
        <f t="shared" si="76"/>
        <v>7454995</v>
      </c>
      <c r="M180" s="5">
        <f t="shared" si="77"/>
        <v>0</v>
      </c>
      <c r="N180" s="6">
        <f t="shared" si="78"/>
        <v>0.87445491244460927</v>
      </c>
      <c r="O180">
        <v>34</v>
      </c>
      <c r="R180">
        <v>7891957</v>
      </c>
      <c r="S180">
        <f>2581236+882118+2750999+902088</f>
        <v>7116441</v>
      </c>
      <c r="T180">
        <f>338831+408777</f>
        <v>747608</v>
      </c>
      <c r="U180">
        <f>19603+8305</f>
        <v>27908</v>
      </c>
      <c r="V180">
        <f t="shared" si="79"/>
        <v>7891957</v>
      </c>
      <c r="W180">
        <f t="shared" si="80"/>
        <v>0</v>
      </c>
      <c r="X180" s="6">
        <f t="shared" si="81"/>
        <v>0.80700300318412788</v>
      </c>
      <c r="Y180">
        <v>21</v>
      </c>
      <c r="AB180">
        <v>7781984</v>
      </c>
      <c r="AC180">
        <f>3189229+3451433</f>
        <v>6640662</v>
      </c>
      <c r="AD180">
        <f>498167+589764</f>
        <v>1087931</v>
      </c>
      <c r="AE180">
        <f>1555+3169+20658+2744+3735+1707+2822+12173+1537+3291</f>
        <v>53391</v>
      </c>
      <c r="AF180">
        <f t="shared" si="82"/>
        <v>7781984</v>
      </c>
      <c r="AG180">
        <f t="shared" si="83"/>
        <v>0</v>
      </c>
      <c r="AH180">
        <f t="shared" si="84"/>
        <v>0.71353667650820152</v>
      </c>
    </row>
    <row r="181" spans="1:34" x14ac:dyDescent="0.2">
      <c r="A181">
        <v>363565</v>
      </c>
      <c r="B181" t="s">
        <v>231</v>
      </c>
      <c r="C181" t="s">
        <v>236</v>
      </c>
      <c r="D181" t="s">
        <v>237</v>
      </c>
      <c r="E181" s="4">
        <v>28</v>
      </c>
      <c r="F181" s="5" t="s">
        <v>468</v>
      </c>
      <c r="G181" s="5"/>
      <c r="H181" s="5">
        <v>205967</v>
      </c>
      <c r="I181" s="5">
        <f>84843+91247+14339+13211</f>
        <v>203640</v>
      </c>
      <c r="J181" s="5">
        <f>997+1085</f>
        <v>2082</v>
      </c>
      <c r="K181" s="5">
        <f>117+128</f>
        <v>245</v>
      </c>
      <c r="L181" s="5">
        <f t="shared" si="76"/>
        <v>205967</v>
      </c>
      <c r="M181" s="5">
        <f t="shared" si="77"/>
        <v>0</v>
      </c>
      <c r="N181" s="6">
        <f t="shared" si="78"/>
        <v>0.97859365820738275</v>
      </c>
      <c r="O181">
        <v>34</v>
      </c>
      <c r="R181">
        <v>220583</v>
      </c>
      <c r="S181">
        <f>93078+11944+98952+11551</f>
        <v>215525</v>
      </c>
      <c r="T181">
        <f>2268+2298</f>
        <v>4566</v>
      </c>
      <c r="U181">
        <f>265+227</f>
        <v>492</v>
      </c>
      <c r="V181">
        <f t="shared" si="79"/>
        <v>220583</v>
      </c>
      <c r="W181">
        <f t="shared" si="80"/>
        <v>0</v>
      </c>
      <c r="X181" s="6">
        <f t="shared" si="81"/>
        <v>0.95637016451857126</v>
      </c>
      <c r="Y181">
        <v>21</v>
      </c>
      <c r="AB181">
        <v>216038</v>
      </c>
      <c r="AC181">
        <f>97452+106305</f>
        <v>203757</v>
      </c>
      <c r="AD181">
        <f>5522+5688</f>
        <v>11210</v>
      </c>
      <c r="AE181">
        <f>298+22+59+27+134+364+35+37+28+67</f>
        <v>1071</v>
      </c>
      <c r="AF181">
        <f t="shared" si="82"/>
        <v>216038</v>
      </c>
      <c r="AG181">
        <f t="shared" si="83"/>
        <v>0</v>
      </c>
      <c r="AH181">
        <f t="shared" si="84"/>
        <v>0.89126449976393041</v>
      </c>
    </row>
    <row r="182" spans="1:34" x14ac:dyDescent="0.2">
      <c r="A182">
        <v>362260</v>
      </c>
      <c r="B182" t="s">
        <v>231</v>
      </c>
      <c r="C182" t="s">
        <v>238</v>
      </c>
      <c r="D182" t="s">
        <v>239</v>
      </c>
      <c r="E182" s="4">
        <v>28</v>
      </c>
      <c r="F182" s="5" t="s">
        <v>476</v>
      </c>
      <c r="G182" s="5"/>
      <c r="H182" s="5">
        <v>21908</v>
      </c>
      <c r="I182" s="5">
        <f>8615+9950+1449+1304</f>
        <v>21318</v>
      </c>
      <c r="J182" s="5">
        <f>292+286</f>
        <v>578</v>
      </c>
      <c r="K182" s="5">
        <f>11+1</f>
        <v>12</v>
      </c>
      <c r="L182" s="5">
        <f t="shared" si="76"/>
        <v>21908</v>
      </c>
      <c r="M182" s="5">
        <f t="shared" si="77"/>
        <v>0</v>
      </c>
      <c r="N182" s="6">
        <f t="shared" si="78"/>
        <v>0.94668614204856671</v>
      </c>
      <c r="O182">
        <v>34</v>
      </c>
      <c r="R182">
        <v>22586</v>
      </c>
      <c r="S182">
        <f>8930+1319+10353+1223</f>
        <v>21825</v>
      </c>
      <c r="T182">
        <f>380+368</f>
        <v>748</v>
      </c>
      <c r="U182">
        <f>10+3</f>
        <v>13</v>
      </c>
      <c r="V182">
        <f t="shared" si="79"/>
        <v>22586</v>
      </c>
      <c r="W182">
        <f t="shared" si="80"/>
        <v>0</v>
      </c>
      <c r="X182" s="6">
        <f t="shared" si="81"/>
        <v>0.93318870096519968</v>
      </c>
      <c r="Y182">
        <v>21</v>
      </c>
      <c r="AB182">
        <v>23475</v>
      </c>
      <c r="AC182">
        <f>10588+11867</f>
        <v>22455</v>
      </c>
      <c r="AD182">
        <f>507+473</f>
        <v>980</v>
      </c>
      <c r="AE182">
        <f>2+1+2+11+4+4+3+2+7+4</f>
        <v>40</v>
      </c>
      <c r="AF182">
        <f t="shared" si="82"/>
        <v>23475</v>
      </c>
      <c r="AG182">
        <f t="shared" si="83"/>
        <v>0</v>
      </c>
      <c r="AH182">
        <f t="shared" si="84"/>
        <v>0.91480298189563369</v>
      </c>
    </row>
    <row r="183" spans="1:34" x14ac:dyDescent="0.2">
      <c r="A183">
        <v>36081</v>
      </c>
      <c r="B183" t="s">
        <v>231</v>
      </c>
      <c r="C183" t="s">
        <v>240</v>
      </c>
      <c r="D183" t="s">
        <v>241</v>
      </c>
      <c r="E183" s="4">
        <v>28</v>
      </c>
      <c r="F183" s="5" t="s">
        <v>477</v>
      </c>
      <c r="G183" s="5">
        <v>1</v>
      </c>
      <c r="H183" s="5">
        <v>1297634</v>
      </c>
      <c r="I183" s="5">
        <f>486379+507764+140003+136585</f>
        <v>1270731</v>
      </c>
      <c r="J183" s="5">
        <f>11525+14365</f>
        <v>25890</v>
      </c>
      <c r="K183" s="5">
        <f>698+315</f>
        <v>1013</v>
      </c>
      <c r="L183" s="5">
        <f t="shared" si="76"/>
        <v>1297634</v>
      </c>
      <c r="M183" s="5">
        <f t="shared" si="77"/>
        <v>0</v>
      </c>
      <c r="N183" s="6">
        <f t="shared" si="78"/>
        <v>0.95931595503816947</v>
      </c>
      <c r="O183">
        <v>41</v>
      </c>
      <c r="Q183">
        <v>1</v>
      </c>
      <c r="R183">
        <v>1550849</v>
      </c>
      <c r="S183">
        <f>583329+142021+625600+146176</f>
        <v>1497126</v>
      </c>
      <c r="T183">
        <f>23490+28034</f>
        <v>51524</v>
      </c>
      <c r="U183">
        <f>1311+888</f>
        <v>2199</v>
      </c>
      <c r="V183">
        <f t="shared" si="79"/>
        <v>1550849</v>
      </c>
      <c r="W183">
        <f t="shared" si="80"/>
        <v>0</v>
      </c>
      <c r="X183" s="6">
        <f t="shared" si="81"/>
        <v>0.93213588170092643</v>
      </c>
      <c r="Y183" t="s">
        <v>619</v>
      </c>
      <c r="AF183">
        <f t="shared" si="82"/>
        <v>0</v>
      </c>
      <c r="AG183">
        <f t="shared" si="83"/>
        <v>0</v>
      </c>
      <c r="AH183" t="e">
        <f t="shared" si="84"/>
        <v>#DIV/0!</v>
      </c>
    </row>
    <row r="184" spans="1:34" x14ac:dyDescent="0.2">
      <c r="A184">
        <v>363625</v>
      </c>
      <c r="B184" t="s">
        <v>231</v>
      </c>
      <c r="C184" t="s">
        <v>242</v>
      </c>
      <c r="D184" t="s">
        <v>243</v>
      </c>
      <c r="E184" s="4">
        <v>28</v>
      </c>
      <c r="F184" s="5" t="s">
        <v>469</v>
      </c>
      <c r="G184" s="5"/>
      <c r="H184" s="5">
        <v>70304</v>
      </c>
      <c r="I184" s="5">
        <f>29213+32911+3693+3861</f>
        <v>69678</v>
      </c>
      <c r="J184" s="5">
        <f>309+303</f>
        <v>612</v>
      </c>
      <c r="K184" s="5">
        <f>13+1</f>
        <v>14</v>
      </c>
      <c r="L184" s="5">
        <f t="shared" si="76"/>
        <v>70304</v>
      </c>
      <c r="M184" s="5">
        <f t="shared" si="77"/>
        <v>0</v>
      </c>
      <c r="N184" s="6">
        <f t="shared" si="78"/>
        <v>0.98239076012744653</v>
      </c>
      <c r="O184">
        <v>34</v>
      </c>
      <c r="R184">
        <v>72311</v>
      </c>
      <c r="S184">
        <f>31880+2829+33758+2866</f>
        <v>71333</v>
      </c>
      <c r="T184">
        <f>444+470</f>
        <v>914</v>
      </c>
      <c r="U184">
        <f>46+18</f>
        <v>64</v>
      </c>
      <c r="V184">
        <f t="shared" si="79"/>
        <v>72311</v>
      </c>
      <c r="W184">
        <f t="shared" si="80"/>
        <v>0</v>
      </c>
      <c r="X184" s="6">
        <f t="shared" si="81"/>
        <v>0.97383523945181227</v>
      </c>
      <c r="Y184">
        <v>21</v>
      </c>
      <c r="AB184">
        <v>67492</v>
      </c>
      <c r="AC184">
        <f>31380+34020</f>
        <v>65400</v>
      </c>
      <c r="AD184">
        <f>926+990</f>
        <v>1916</v>
      </c>
      <c r="AE184">
        <f>8+9+48+11+39+7+17+18+6+13</f>
        <v>176</v>
      </c>
      <c r="AF184">
        <f t="shared" si="82"/>
        <v>67492</v>
      </c>
      <c r="AG184">
        <f t="shared" si="83"/>
        <v>0</v>
      </c>
      <c r="AH184">
        <f t="shared" si="84"/>
        <v>0.94061518402180999</v>
      </c>
    </row>
    <row r="185" spans="1:34" x14ac:dyDescent="0.2">
      <c r="A185">
        <v>363285</v>
      </c>
      <c r="B185" t="s">
        <v>231</v>
      </c>
      <c r="C185" t="s">
        <v>244</v>
      </c>
      <c r="D185" t="s">
        <v>244</v>
      </c>
      <c r="E185" s="4">
        <v>28</v>
      </c>
      <c r="F185" s="5" t="s">
        <v>470</v>
      </c>
      <c r="G185" s="5"/>
      <c r="H185" s="5">
        <v>87549</v>
      </c>
      <c r="I185" s="5">
        <f>34857+36566+8107+7307</f>
        <v>86837</v>
      </c>
      <c r="J185" s="5">
        <f>360+328</f>
        <v>688</v>
      </c>
      <c r="K185" s="5">
        <f>14+10</f>
        <v>24</v>
      </c>
      <c r="L185" s="5">
        <f t="shared" si="76"/>
        <v>87549</v>
      </c>
      <c r="M185" s="5">
        <f t="shared" si="77"/>
        <v>0</v>
      </c>
      <c r="N185" s="6">
        <f t="shared" si="78"/>
        <v>0.98400895498520824</v>
      </c>
      <c r="O185">
        <v>34</v>
      </c>
      <c r="R185">
        <v>91785</v>
      </c>
      <c r="S185">
        <f>37930+6414+39972+5993</f>
        <v>90309</v>
      </c>
      <c r="T185">
        <f>734+693</f>
        <v>1427</v>
      </c>
      <c r="U185">
        <f>33+16</f>
        <v>49</v>
      </c>
      <c r="V185">
        <f t="shared" si="79"/>
        <v>91785</v>
      </c>
      <c r="W185">
        <f t="shared" si="80"/>
        <v>0</v>
      </c>
      <c r="X185" s="6">
        <f t="shared" si="81"/>
        <v>0.96837173830146539</v>
      </c>
      <c r="Y185">
        <v>21</v>
      </c>
      <c r="AB185">
        <v>81682</v>
      </c>
      <c r="AC185">
        <f>37963+41536</f>
        <v>79499</v>
      </c>
      <c r="AD185">
        <f>998+1055</f>
        <v>2053</v>
      </c>
      <c r="AE185">
        <f>11+6+20+6+18+19+7+18+6+19</f>
        <v>130</v>
      </c>
      <c r="AF185">
        <f t="shared" si="82"/>
        <v>81682</v>
      </c>
      <c r="AG185">
        <f t="shared" si="83"/>
        <v>0</v>
      </c>
      <c r="AH185">
        <f t="shared" si="84"/>
        <v>0.94814034915893342</v>
      </c>
    </row>
    <row r="186" spans="1:34" x14ac:dyDescent="0.2">
      <c r="A186">
        <v>361742</v>
      </c>
      <c r="B186" t="s">
        <v>231</v>
      </c>
      <c r="C186" t="s">
        <v>245</v>
      </c>
      <c r="D186" t="s">
        <v>172</v>
      </c>
      <c r="E186" s="4">
        <v>28</v>
      </c>
      <c r="F186" s="5" t="s">
        <v>478</v>
      </c>
      <c r="G186" s="5"/>
      <c r="H186" s="5">
        <v>51182</v>
      </c>
      <c r="I186" s="5">
        <f>17250+17702+6874+7156</f>
        <v>48982</v>
      </c>
      <c r="J186" s="5">
        <f>975+1102</f>
        <v>2077</v>
      </c>
      <c r="K186" s="5">
        <f>114+9</f>
        <v>123</v>
      </c>
      <c r="L186" s="5">
        <f t="shared" si="76"/>
        <v>51182</v>
      </c>
      <c r="M186" s="5">
        <f t="shared" si="77"/>
        <v>0</v>
      </c>
      <c r="N186" s="6">
        <f t="shared" si="78"/>
        <v>0.91643546559337263</v>
      </c>
      <c r="O186">
        <v>38</v>
      </c>
      <c r="R186">
        <v>5234</v>
      </c>
      <c r="S186">
        <f>2142+2266+385+416</f>
        <v>5209</v>
      </c>
      <c r="T186">
        <f>9+11</f>
        <v>20</v>
      </c>
      <c r="U186">
        <f>1+1</f>
        <v>2</v>
      </c>
      <c r="V186">
        <f t="shared" si="79"/>
        <v>5231</v>
      </c>
      <c r="W186">
        <f t="shared" si="80"/>
        <v>3</v>
      </c>
      <c r="X186" s="6">
        <f t="shared" si="81"/>
        <v>0.99140236912495228</v>
      </c>
      <c r="Y186" t="s">
        <v>619</v>
      </c>
      <c r="AF186">
        <f t="shared" si="82"/>
        <v>0</v>
      </c>
      <c r="AG186">
        <f t="shared" si="83"/>
        <v>0</v>
      </c>
      <c r="AH186" t="e">
        <f t="shared" si="84"/>
        <v>#DIV/0!</v>
      </c>
    </row>
    <row r="187" spans="1:34" x14ac:dyDescent="0.2">
      <c r="A187">
        <v>36115050</v>
      </c>
      <c r="B187" t="s">
        <v>231</v>
      </c>
      <c r="C187" t="s">
        <v>50</v>
      </c>
      <c r="D187" t="s">
        <v>57</v>
      </c>
      <c r="E187" s="4">
        <v>28</v>
      </c>
      <c r="F187" s="5" t="s">
        <v>479</v>
      </c>
      <c r="G187" s="5"/>
      <c r="H187" s="5">
        <v>1088</v>
      </c>
      <c r="I187" s="5">
        <f>565+482+17+15</f>
        <v>1079</v>
      </c>
      <c r="J187" s="5">
        <f>4+5</f>
        <v>9</v>
      </c>
      <c r="K187" s="5">
        <v>0</v>
      </c>
      <c r="L187" s="5">
        <f t="shared" si="76"/>
        <v>1088</v>
      </c>
      <c r="M187" s="5">
        <f t="shared" si="77"/>
        <v>0</v>
      </c>
      <c r="N187" s="6">
        <f t="shared" si="78"/>
        <v>0.98345588235294112</v>
      </c>
      <c r="O187">
        <v>41</v>
      </c>
      <c r="Q187">
        <v>1</v>
      </c>
      <c r="R187">
        <v>47144</v>
      </c>
      <c r="S187">
        <f>22251+1160+22125+1104</f>
        <v>46640</v>
      </c>
      <c r="T187">
        <f>439+40</f>
        <v>479</v>
      </c>
      <c r="U187">
        <f>21+4</f>
        <v>25</v>
      </c>
      <c r="V187">
        <f t="shared" si="79"/>
        <v>47144</v>
      </c>
      <c r="W187">
        <f t="shared" si="80"/>
        <v>0</v>
      </c>
      <c r="X187" s="6">
        <f t="shared" si="81"/>
        <v>0.97914899032750724</v>
      </c>
      <c r="Y187" t="s">
        <v>619</v>
      </c>
      <c r="AF187">
        <f t="shared" si="82"/>
        <v>0</v>
      </c>
      <c r="AG187">
        <f t="shared" si="83"/>
        <v>0</v>
      </c>
      <c r="AH187" t="e">
        <f t="shared" si="84"/>
        <v>#DIV/0!</v>
      </c>
    </row>
    <row r="188" spans="1:34" x14ac:dyDescent="0.2">
      <c r="A188">
        <v>362380</v>
      </c>
      <c r="B188" t="s">
        <v>231</v>
      </c>
      <c r="C188" t="s">
        <v>246</v>
      </c>
      <c r="D188" t="s">
        <v>247</v>
      </c>
      <c r="E188" s="4">
        <v>30</v>
      </c>
      <c r="F188" s="5" t="s">
        <v>473</v>
      </c>
      <c r="G188" s="5"/>
      <c r="H188" s="5">
        <v>5941</v>
      </c>
      <c r="I188" s="5">
        <f>4495+1259</f>
        <v>5754</v>
      </c>
      <c r="J188" s="5">
        <v>181</v>
      </c>
      <c r="K188" s="5">
        <v>6</v>
      </c>
      <c r="L188" s="5">
        <f t="shared" si="76"/>
        <v>5941</v>
      </c>
      <c r="M188" s="5">
        <f t="shared" si="77"/>
        <v>0</v>
      </c>
      <c r="N188" s="6">
        <f t="shared" si="78"/>
        <v>0.93805756606631885</v>
      </c>
      <c r="O188">
        <v>38</v>
      </c>
      <c r="R188">
        <v>5907</v>
      </c>
      <c r="S188">
        <f>2189+522+2509+495</f>
        <v>5715</v>
      </c>
      <c r="T188">
        <f>81+111</f>
        <v>192</v>
      </c>
      <c r="V188">
        <f t="shared" si="79"/>
        <v>5907</v>
      </c>
      <c r="W188">
        <f t="shared" si="80"/>
        <v>0</v>
      </c>
      <c r="X188" s="6">
        <f t="shared" si="81"/>
        <v>0.9349923819197562</v>
      </c>
      <c r="Y188">
        <v>22</v>
      </c>
      <c r="AB188">
        <v>6805</v>
      </c>
      <c r="AC188">
        <v>6425</v>
      </c>
      <c r="AD188">
        <v>373</v>
      </c>
      <c r="AE188">
        <v>7</v>
      </c>
      <c r="AF188">
        <f t="shared" si="82"/>
        <v>6805</v>
      </c>
      <c r="AG188">
        <f t="shared" si="83"/>
        <v>0</v>
      </c>
      <c r="AH188">
        <f t="shared" si="84"/>
        <v>0.88934606906686264</v>
      </c>
    </row>
    <row r="189" spans="1:34" x14ac:dyDescent="0.2">
      <c r="A189">
        <v>363970</v>
      </c>
      <c r="B189" t="s">
        <v>231</v>
      </c>
      <c r="C189" t="s">
        <v>248</v>
      </c>
      <c r="D189" t="s">
        <v>247</v>
      </c>
      <c r="E189" s="4">
        <v>28</v>
      </c>
      <c r="F189" s="5" t="s">
        <v>471</v>
      </c>
      <c r="G189" s="5"/>
      <c r="H189" s="5">
        <v>40327</v>
      </c>
      <c r="I189" s="5">
        <f>14225+15989+3592+3365</f>
        <v>37171</v>
      </c>
      <c r="J189" s="5">
        <f>1334+1807</f>
        <v>3141</v>
      </c>
      <c r="K189" s="5">
        <v>15</v>
      </c>
      <c r="L189" s="5">
        <f t="shared" si="76"/>
        <v>40327</v>
      </c>
      <c r="M189" s="5">
        <f t="shared" si="77"/>
        <v>0</v>
      </c>
      <c r="N189" s="6">
        <f t="shared" si="78"/>
        <v>0.84385151387407942</v>
      </c>
      <c r="O189">
        <v>34</v>
      </c>
      <c r="R189">
        <v>43466</v>
      </c>
      <c r="S189">
        <f>15008+3266+17498+3367</f>
        <v>39139</v>
      </c>
      <c r="T189">
        <f>1910+2383</f>
        <v>4293</v>
      </c>
      <c r="U189">
        <f>17+17</f>
        <v>34</v>
      </c>
      <c r="V189">
        <f t="shared" si="79"/>
        <v>43466</v>
      </c>
      <c r="W189">
        <f t="shared" si="80"/>
        <v>0</v>
      </c>
      <c r="X189" s="6">
        <f t="shared" si="81"/>
        <v>0.80168407490912441</v>
      </c>
      <c r="Y189">
        <v>21</v>
      </c>
      <c r="AB189">
        <v>50485</v>
      </c>
      <c r="AC189">
        <f>20682+23804</f>
        <v>44486</v>
      </c>
      <c r="AD189">
        <f>2568+3312</f>
        <v>5880</v>
      </c>
      <c r="AE189">
        <f>3+3+44+5+7+9+3+36+3+6</f>
        <v>119</v>
      </c>
      <c r="AF189">
        <f t="shared" si="82"/>
        <v>50485</v>
      </c>
      <c r="AG189">
        <f t="shared" si="83"/>
        <v>0</v>
      </c>
      <c r="AH189">
        <f t="shared" si="84"/>
        <v>0.76470238684757852</v>
      </c>
    </row>
    <row r="190" spans="1:34" x14ac:dyDescent="0.2">
      <c r="B190" t="s">
        <v>231</v>
      </c>
      <c r="C190" s="1" t="s">
        <v>249</v>
      </c>
      <c r="D190" t="s">
        <v>480</v>
      </c>
      <c r="E190" s="4"/>
      <c r="F190" s="5"/>
      <c r="G190" s="5"/>
      <c r="H190" s="5"/>
      <c r="I190" s="5"/>
      <c r="J190" s="5"/>
      <c r="K190" s="5"/>
      <c r="L190" s="5">
        <f t="shared" si="76"/>
        <v>0</v>
      </c>
      <c r="M190" s="5">
        <f t="shared" si="77"/>
        <v>0</v>
      </c>
      <c r="N190" s="6"/>
      <c r="V190">
        <f t="shared" si="79"/>
        <v>0</v>
      </c>
      <c r="W190">
        <f t="shared" si="80"/>
        <v>0</v>
      </c>
      <c r="X190" s="6"/>
      <c r="AF190">
        <f t="shared" si="82"/>
        <v>0</v>
      </c>
      <c r="AG190">
        <f t="shared" si="83"/>
        <v>0</v>
      </c>
      <c r="AH190" t="e">
        <f t="shared" si="84"/>
        <v>#DIV/0!</v>
      </c>
    </row>
    <row r="191" spans="1:34" x14ac:dyDescent="0.2">
      <c r="E191" s="4"/>
      <c r="F191" s="5"/>
      <c r="G191" s="5"/>
      <c r="H191" s="5"/>
      <c r="I191" s="5"/>
      <c r="J191" s="5"/>
      <c r="K191" s="5"/>
      <c r="L191" s="5"/>
      <c r="M191" s="5"/>
      <c r="N191" s="6"/>
      <c r="X191" s="6"/>
    </row>
    <row r="192" spans="1:34" x14ac:dyDescent="0.2">
      <c r="A192">
        <v>372655</v>
      </c>
      <c r="B192" t="s">
        <v>250</v>
      </c>
      <c r="C192" t="s">
        <v>57</v>
      </c>
      <c r="D192" t="s">
        <v>251</v>
      </c>
      <c r="E192" s="4">
        <v>28</v>
      </c>
      <c r="F192" s="5" t="s">
        <v>434</v>
      </c>
      <c r="G192" s="5"/>
      <c r="H192" s="5">
        <v>12195</v>
      </c>
      <c r="I192" s="5">
        <f>3475+3711+14+12</f>
        <v>7212</v>
      </c>
      <c r="J192" s="5">
        <f>2355+2628</f>
        <v>4983</v>
      </c>
      <c r="K192" s="5">
        <v>0</v>
      </c>
      <c r="L192" s="5">
        <f t="shared" ref="L192:L218" si="85">I192+J192+K192</f>
        <v>12195</v>
      </c>
      <c r="M192" s="5">
        <f t="shared" ref="M192:M218" si="86">L192-H192</f>
        <v>0</v>
      </c>
      <c r="N192" s="6">
        <f t="shared" ref="N192:N217" si="87">(I192-J192)/H192</f>
        <v>0.18277982779827798</v>
      </c>
      <c r="O192">
        <v>38</v>
      </c>
      <c r="R192">
        <v>9698</v>
      </c>
      <c r="S192">
        <f>2725+21+3043+21</f>
        <v>5810</v>
      </c>
      <c r="T192">
        <f>1836+2051</f>
        <v>3887</v>
      </c>
      <c r="U192">
        <v>1</v>
      </c>
      <c r="V192">
        <f t="shared" ref="V192:V218" si="88">SUM(S192:U192)</f>
        <v>9698</v>
      </c>
      <c r="W192">
        <f t="shared" ref="W192:W218" si="89">R192-V192</f>
        <v>0</v>
      </c>
      <c r="X192" s="6">
        <f t="shared" ref="X192:X217" si="90">(S192-T192)/R192</f>
        <v>0.19828830686739535</v>
      </c>
      <c r="Y192">
        <v>22</v>
      </c>
      <c r="AB192">
        <v>9939</v>
      </c>
      <c r="AC192">
        <v>5948</v>
      </c>
      <c r="AD192">
        <v>3983</v>
      </c>
      <c r="AE192">
        <v>8</v>
      </c>
      <c r="AF192">
        <f t="shared" ref="AF192:AF218" si="91">SUM(AC192:AE192)</f>
        <v>9939</v>
      </c>
      <c r="AG192">
        <f t="shared" ref="AG192:AG218" si="92">AB192-AF192</f>
        <v>0</v>
      </c>
      <c r="AH192">
        <f t="shared" ref="AH192:AH218" si="93">(AC192-AD192)/AB192</f>
        <v>0.19770600664050708</v>
      </c>
    </row>
    <row r="193" spans="1:34" x14ac:dyDescent="0.2">
      <c r="A193">
        <v>37017045</v>
      </c>
      <c r="B193" t="s">
        <v>250</v>
      </c>
      <c r="C193" t="s">
        <v>252</v>
      </c>
      <c r="D193" t="s">
        <v>253</v>
      </c>
      <c r="E193" s="4">
        <v>28</v>
      </c>
      <c r="F193" s="5" t="s">
        <v>446</v>
      </c>
      <c r="G193" s="5"/>
      <c r="H193" s="5">
        <v>4004</v>
      </c>
      <c r="I193" s="5">
        <f>1040+1038+4+3</f>
        <v>2085</v>
      </c>
      <c r="J193" s="5">
        <f>967+952</f>
        <v>1919</v>
      </c>
      <c r="K193" s="5">
        <v>0</v>
      </c>
      <c r="L193" s="5">
        <f t="shared" si="85"/>
        <v>4004</v>
      </c>
      <c r="M193" s="5">
        <f t="shared" si="86"/>
        <v>0</v>
      </c>
      <c r="N193" s="6">
        <f t="shared" si="87"/>
        <v>4.1458541458541456E-2</v>
      </c>
      <c r="O193">
        <v>40</v>
      </c>
      <c r="R193">
        <v>1611</v>
      </c>
      <c r="S193">
        <f>628+640+7+4</f>
        <v>1279</v>
      </c>
      <c r="T193">
        <f>160+171</f>
        <v>331</v>
      </c>
      <c r="U193">
        <v>1</v>
      </c>
      <c r="V193">
        <f t="shared" si="88"/>
        <v>1611</v>
      </c>
      <c r="W193">
        <f t="shared" si="89"/>
        <v>0</v>
      </c>
      <c r="X193" s="6">
        <f t="shared" si="90"/>
        <v>0.58845437616387342</v>
      </c>
      <c r="Y193">
        <v>23</v>
      </c>
      <c r="AB193">
        <v>1625</v>
      </c>
      <c r="AC193">
        <v>1291</v>
      </c>
      <c r="AD193">
        <v>334</v>
      </c>
      <c r="AF193">
        <f t="shared" si="91"/>
        <v>1625</v>
      </c>
      <c r="AG193">
        <f t="shared" si="92"/>
        <v>0</v>
      </c>
      <c r="AH193">
        <f t="shared" si="93"/>
        <v>0.58892307692307688</v>
      </c>
    </row>
    <row r="194" spans="1:34" x14ac:dyDescent="0.2">
      <c r="A194">
        <v>371435</v>
      </c>
      <c r="B194" t="s">
        <v>250</v>
      </c>
      <c r="C194" t="s">
        <v>254</v>
      </c>
      <c r="D194" t="s">
        <v>255</v>
      </c>
      <c r="E194" s="4">
        <v>28</v>
      </c>
      <c r="F194" s="5" t="s">
        <v>447</v>
      </c>
      <c r="G194" s="5"/>
      <c r="H194" s="5">
        <v>11776</v>
      </c>
      <c r="I194" s="5">
        <f>5301+5367+13+8</f>
        <v>10689</v>
      </c>
      <c r="J194" s="5">
        <f>535+552</f>
        <v>1087</v>
      </c>
      <c r="K194" s="5">
        <v>0</v>
      </c>
      <c r="L194" s="5">
        <f t="shared" si="85"/>
        <v>11776</v>
      </c>
      <c r="M194" s="5">
        <f t="shared" si="86"/>
        <v>0</v>
      </c>
      <c r="N194" s="6">
        <f t="shared" si="87"/>
        <v>0.81538722826086951</v>
      </c>
      <c r="O194">
        <v>38</v>
      </c>
      <c r="R194">
        <v>7888</v>
      </c>
      <c r="S194">
        <f>3073+8+3251+9</f>
        <v>6341</v>
      </c>
      <c r="T194">
        <f>757+788</f>
        <v>1545</v>
      </c>
      <c r="U194">
        <f>1+1</f>
        <v>2</v>
      </c>
      <c r="V194">
        <f t="shared" si="88"/>
        <v>7888</v>
      </c>
      <c r="W194">
        <f t="shared" si="89"/>
        <v>0</v>
      </c>
      <c r="X194" s="6">
        <f t="shared" si="90"/>
        <v>0.60801217038539557</v>
      </c>
      <c r="Y194">
        <v>21</v>
      </c>
      <c r="AB194">
        <v>10257</v>
      </c>
      <c r="AC194">
        <f>3926+4352</f>
        <v>8278</v>
      </c>
      <c r="AD194">
        <f>951+1026</f>
        <v>1977</v>
      </c>
      <c r="AE194">
        <f>1+1</f>
        <v>2</v>
      </c>
      <c r="AF194">
        <f t="shared" si="91"/>
        <v>10257</v>
      </c>
      <c r="AG194">
        <f t="shared" si="92"/>
        <v>0</v>
      </c>
      <c r="AH194">
        <f t="shared" si="93"/>
        <v>0.61431217704981966</v>
      </c>
    </row>
    <row r="195" spans="1:34" x14ac:dyDescent="0.2">
      <c r="A195">
        <v>37033005</v>
      </c>
      <c r="B195" t="s">
        <v>250</v>
      </c>
      <c r="C195" t="s">
        <v>320</v>
      </c>
      <c r="D195" t="s">
        <v>256</v>
      </c>
      <c r="E195" s="4">
        <v>28</v>
      </c>
      <c r="F195" s="5" t="s">
        <v>408</v>
      </c>
      <c r="G195" s="5"/>
      <c r="H195" s="5">
        <v>1648</v>
      </c>
      <c r="I195" s="5">
        <f>489+481</f>
        <v>970</v>
      </c>
      <c r="J195" s="5">
        <f>365+313</f>
        <v>678</v>
      </c>
      <c r="K195" s="5">
        <v>0</v>
      </c>
      <c r="L195" s="5">
        <f t="shared" si="85"/>
        <v>1648</v>
      </c>
      <c r="M195" s="5">
        <f t="shared" si="86"/>
        <v>0</v>
      </c>
      <c r="N195" s="6">
        <f t="shared" si="87"/>
        <v>0.17718446601941748</v>
      </c>
      <c r="O195">
        <v>42</v>
      </c>
      <c r="P195" t="s">
        <v>622</v>
      </c>
      <c r="Q195">
        <v>1</v>
      </c>
      <c r="R195">
        <v>20870</v>
      </c>
      <c r="S195">
        <f>5540+7+5381+14</f>
        <v>10942</v>
      </c>
      <c r="T195">
        <f>5122+4800</f>
        <v>9922</v>
      </c>
      <c r="U195">
        <f>5+1</f>
        <v>6</v>
      </c>
      <c r="V195">
        <f t="shared" si="88"/>
        <v>20870</v>
      </c>
      <c r="W195">
        <f t="shared" si="89"/>
        <v>0</v>
      </c>
      <c r="X195" s="6">
        <f t="shared" si="90"/>
        <v>4.8873981792046002E-2</v>
      </c>
      <c r="Y195">
        <v>25</v>
      </c>
      <c r="Z195" t="s">
        <v>616</v>
      </c>
      <c r="AB195">
        <v>1842</v>
      </c>
      <c r="AC195">
        <v>982</v>
      </c>
      <c r="AD195">
        <v>860</v>
      </c>
      <c r="AF195">
        <f t="shared" si="91"/>
        <v>1842</v>
      </c>
      <c r="AG195">
        <f t="shared" si="92"/>
        <v>0</v>
      </c>
      <c r="AH195">
        <f t="shared" si="93"/>
        <v>6.6232356134636267E-2</v>
      </c>
    </row>
    <row r="196" spans="1:34" x14ac:dyDescent="0.2">
      <c r="A196">
        <v>370795</v>
      </c>
      <c r="B196" t="s">
        <v>250</v>
      </c>
      <c r="C196" t="s">
        <v>257</v>
      </c>
      <c r="D196" t="s">
        <v>258</v>
      </c>
      <c r="E196" s="4">
        <v>28</v>
      </c>
      <c r="F196" s="5" t="s">
        <v>435</v>
      </c>
      <c r="G196" s="5"/>
      <c r="H196" s="5">
        <v>6386</v>
      </c>
      <c r="I196" s="5">
        <f>1563+1645+9+7</f>
        <v>3224</v>
      </c>
      <c r="J196" s="5">
        <f>1466+1696</f>
        <v>3162</v>
      </c>
      <c r="K196" s="5">
        <v>0</v>
      </c>
      <c r="L196" s="5">
        <f t="shared" si="85"/>
        <v>6386</v>
      </c>
      <c r="M196" s="5">
        <f t="shared" si="86"/>
        <v>0</v>
      </c>
      <c r="N196" s="6">
        <f t="shared" si="87"/>
        <v>9.7087378640776691E-3</v>
      </c>
      <c r="O196">
        <v>38</v>
      </c>
      <c r="R196">
        <v>4468</v>
      </c>
      <c r="S196">
        <f>1318+11+1448+11</f>
        <v>2788</v>
      </c>
      <c r="T196">
        <f>780+900</f>
        <v>1680</v>
      </c>
      <c r="V196">
        <f t="shared" si="88"/>
        <v>4468</v>
      </c>
      <c r="W196">
        <f t="shared" si="89"/>
        <v>0</v>
      </c>
      <c r="X196" s="6">
        <f t="shared" si="90"/>
        <v>0.24798567591763654</v>
      </c>
      <c r="Y196">
        <v>22</v>
      </c>
      <c r="AB196">
        <v>4458</v>
      </c>
      <c r="AC196">
        <f>2761</f>
        <v>2761</v>
      </c>
      <c r="AD196">
        <v>1695</v>
      </c>
      <c r="AE196">
        <v>2</v>
      </c>
      <c r="AF196">
        <f t="shared" si="91"/>
        <v>4458</v>
      </c>
      <c r="AG196">
        <f t="shared" si="92"/>
        <v>0</v>
      </c>
      <c r="AH196">
        <f t="shared" si="93"/>
        <v>0.23912068192014357</v>
      </c>
    </row>
    <row r="197" spans="1:34" s="2" customFormat="1" x14ac:dyDescent="0.2">
      <c r="A197" s="2">
        <v>37079010</v>
      </c>
      <c r="B197" s="2" t="s">
        <v>250</v>
      </c>
      <c r="C197" s="2" t="s">
        <v>454</v>
      </c>
      <c r="D197" s="2" t="s">
        <v>456</v>
      </c>
      <c r="E197" s="7">
        <v>28</v>
      </c>
      <c r="F197" s="8" t="s">
        <v>457</v>
      </c>
      <c r="G197" s="8"/>
      <c r="H197" s="8">
        <v>1040</v>
      </c>
      <c r="I197" s="8">
        <f>395+372+3+1</f>
        <v>771</v>
      </c>
      <c r="J197" s="8">
        <f>146+123</f>
        <v>269</v>
      </c>
      <c r="K197" s="8">
        <v>0</v>
      </c>
      <c r="L197" s="8">
        <f t="shared" si="85"/>
        <v>1040</v>
      </c>
      <c r="M197" s="8">
        <f t="shared" si="86"/>
        <v>0</v>
      </c>
      <c r="N197" s="9">
        <f t="shared" si="87"/>
        <v>0.4826923076923077</v>
      </c>
      <c r="O197" s="2">
        <v>42</v>
      </c>
      <c r="P197" s="2" t="s">
        <v>456</v>
      </c>
      <c r="Q197" s="2">
        <v>1</v>
      </c>
      <c r="R197" s="2">
        <v>101639</v>
      </c>
      <c r="S197" s="2">
        <f>33142+337+34025+312</f>
        <v>67816</v>
      </c>
      <c r="T197" s="2">
        <f>15819+17962</f>
        <v>33781</v>
      </c>
      <c r="U197" s="2">
        <f>29+13</f>
        <v>42</v>
      </c>
      <c r="V197" s="2">
        <f t="shared" si="88"/>
        <v>101639</v>
      </c>
      <c r="W197" s="2">
        <f t="shared" si="89"/>
        <v>0</v>
      </c>
      <c r="X197" s="6">
        <f t="shared" si="90"/>
        <v>0.33486161807967413</v>
      </c>
      <c r="Y197" s="2">
        <v>25</v>
      </c>
      <c r="Z197" s="2" t="s">
        <v>457</v>
      </c>
      <c r="AB197" s="2">
        <v>1169</v>
      </c>
      <c r="AC197" s="2">
        <v>912</v>
      </c>
      <c r="AD197" s="2">
        <v>257</v>
      </c>
      <c r="AE197" s="2">
        <v>0</v>
      </c>
      <c r="AF197" s="2">
        <f t="shared" si="91"/>
        <v>1169</v>
      </c>
      <c r="AG197" s="2">
        <f t="shared" si="92"/>
        <v>0</v>
      </c>
      <c r="AH197" s="2">
        <f t="shared" si="93"/>
        <v>0.56030795551753632</v>
      </c>
    </row>
    <row r="198" spans="1:34" x14ac:dyDescent="0.2">
      <c r="A198">
        <v>372785</v>
      </c>
      <c r="B198" t="s">
        <v>250</v>
      </c>
      <c r="C198" t="s">
        <v>259</v>
      </c>
      <c r="D198" t="s">
        <v>260</v>
      </c>
      <c r="E198" s="4">
        <v>52</v>
      </c>
      <c r="F198" s="5" t="s">
        <v>449</v>
      </c>
      <c r="G198" s="5"/>
      <c r="H198" s="5">
        <v>109833</v>
      </c>
      <c r="I198" s="5">
        <f>70368+417</f>
        <v>70785</v>
      </c>
      <c r="J198" s="5">
        <v>39035</v>
      </c>
      <c r="K198" s="5">
        <v>13</v>
      </c>
      <c r="L198" s="5">
        <f t="shared" si="85"/>
        <v>109833</v>
      </c>
      <c r="M198" s="5">
        <f t="shared" si="86"/>
        <v>0</v>
      </c>
      <c r="N198" s="6">
        <f t="shared" si="87"/>
        <v>0.28907523239827737</v>
      </c>
      <c r="O198">
        <v>34</v>
      </c>
      <c r="R198">
        <v>87811</v>
      </c>
      <c r="S198">
        <f>23735+241+26821+254</f>
        <v>51051</v>
      </c>
      <c r="T198">
        <f>16990+19740</f>
        <v>36730</v>
      </c>
      <c r="U198">
        <f>13+17</f>
        <v>30</v>
      </c>
      <c r="V198">
        <f t="shared" si="88"/>
        <v>87811</v>
      </c>
      <c r="W198">
        <f t="shared" si="89"/>
        <v>0</v>
      </c>
      <c r="X198" s="6">
        <f t="shared" si="90"/>
        <v>0.16308890685677194</v>
      </c>
      <c r="Y198">
        <v>21</v>
      </c>
      <c r="Z198" t="s">
        <v>615</v>
      </c>
      <c r="AB198">
        <v>111135</v>
      </c>
      <c r="AC198">
        <f>33291+36604</f>
        <v>69895</v>
      </c>
      <c r="AD198">
        <f>18922+22263</f>
        <v>41185</v>
      </c>
      <c r="AE198">
        <f>6+5+7+1+11+7+8+5+1+4</f>
        <v>55</v>
      </c>
      <c r="AF198">
        <f t="shared" si="91"/>
        <v>111135</v>
      </c>
      <c r="AG198">
        <f t="shared" si="92"/>
        <v>0</v>
      </c>
      <c r="AH198">
        <f t="shared" si="93"/>
        <v>0.25833445809151034</v>
      </c>
    </row>
    <row r="199" spans="1:34" s="2" customFormat="1" x14ac:dyDescent="0.2">
      <c r="A199" s="2">
        <v>370990</v>
      </c>
      <c r="B199" s="2" t="s">
        <v>250</v>
      </c>
      <c r="C199" s="2" t="s">
        <v>261</v>
      </c>
      <c r="D199" s="2" t="s">
        <v>262</v>
      </c>
      <c r="E199" s="7">
        <v>28</v>
      </c>
      <c r="F199" s="8" t="s">
        <v>625</v>
      </c>
      <c r="G199" s="8"/>
      <c r="H199" s="8">
        <v>39062</v>
      </c>
      <c r="I199" s="8">
        <f>16047+16720+73+44</f>
        <v>32884</v>
      </c>
      <c r="J199" s="8">
        <f>2884+3294</f>
        <v>6178</v>
      </c>
      <c r="K199" s="8">
        <v>0</v>
      </c>
      <c r="L199" s="8">
        <f t="shared" si="85"/>
        <v>39062</v>
      </c>
      <c r="M199" s="8">
        <f t="shared" si="86"/>
        <v>0</v>
      </c>
      <c r="N199" s="9">
        <f t="shared" si="87"/>
        <v>0.68368235113409448</v>
      </c>
      <c r="O199" s="2">
        <v>34</v>
      </c>
      <c r="P199" s="2" t="s">
        <v>614</v>
      </c>
      <c r="R199" s="2">
        <v>23069</v>
      </c>
      <c r="S199" s="2">
        <f>8753+56+9387+62</f>
        <v>18258</v>
      </c>
      <c r="T199" s="2">
        <f>2201+2605</f>
        <v>4806</v>
      </c>
      <c r="U199" s="2">
        <f>3+2</f>
        <v>5</v>
      </c>
      <c r="V199" s="2">
        <f t="shared" si="88"/>
        <v>23069</v>
      </c>
      <c r="W199" s="2">
        <f t="shared" si="89"/>
        <v>0</v>
      </c>
      <c r="X199" s="6">
        <f t="shared" si="90"/>
        <v>0.58312020460358061</v>
      </c>
      <c r="Y199" s="2">
        <v>21</v>
      </c>
      <c r="Z199" s="2" t="s">
        <v>614</v>
      </c>
      <c r="AB199" s="2">
        <v>37276</v>
      </c>
      <c r="AC199" s="2">
        <f>14677+15933</f>
        <v>30610</v>
      </c>
      <c r="AD199" s="2">
        <f>3034+3616</f>
        <v>6650</v>
      </c>
      <c r="AE199" s="2">
        <f>6+1+4+3+2</f>
        <v>16</v>
      </c>
      <c r="AF199" s="2">
        <f t="shared" si="91"/>
        <v>37276</v>
      </c>
      <c r="AG199" s="2">
        <f t="shared" si="92"/>
        <v>0</v>
      </c>
      <c r="AH199" s="2">
        <f t="shared" si="93"/>
        <v>0.64277282970275784</v>
      </c>
    </row>
    <row r="200" spans="1:34" x14ac:dyDescent="0.2">
      <c r="A200" s="2">
        <v>37079040</v>
      </c>
      <c r="B200" t="s">
        <v>250</v>
      </c>
      <c r="C200" t="s">
        <v>263</v>
      </c>
      <c r="D200" t="s">
        <v>262</v>
      </c>
      <c r="E200" s="4">
        <v>28</v>
      </c>
      <c r="F200" s="5" t="s">
        <v>436</v>
      </c>
      <c r="G200" s="5"/>
      <c r="H200" s="5">
        <v>1897</v>
      </c>
      <c r="I200" s="5">
        <f>639+626+1+1</f>
        <v>1267</v>
      </c>
      <c r="J200" s="5">
        <f>302+328</f>
        <v>630</v>
      </c>
      <c r="K200" s="5">
        <v>0</v>
      </c>
      <c r="L200" s="5">
        <f t="shared" si="85"/>
        <v>1897</v>
      </c>
      <c r="M200" s="5">
        <f t="shared" si="86"/>
        <v>0</v>
      </c>
      <c r="N200" s="6">
        <f t="shared" si="87"/>
        <v>0.33579335793357934</v>
      </c>
      <c r="O200">
        <v>42</v>
      </c>
      <c r="P200" s="2" t="s">
        <v>623</v>
      </c>
      <c r="Q200">
        <v>1</v>
      </c>
      <c r="R200">
        <v>18024</v>
      </c>
      <c r="S200">
        <f>4880+6+4742+6</f>
        <v>9634</v>
      </c>
      <c r="T200">
        <f>4237+4149</f>
        <v>8386</v>
      </c>
      <c r="U200">
        <f>1+3</f>
        <v>4</v>
      </c>
      <c r="V200">
        <f t="shared" si="88"/>
        <v>18024</v>
      </c>
      <c r="W200">
        <f t="shared" si="89"/>
        <v>0</v>
      </c>
      <c r="X200" s="6">
        <f t="shared" si="90"/>
        <v>6.92410119840213E-2</v>
      </c>
      <c r="Y200">
        <v>23</v>
      </c>
      <c r="AB200">
        <v>1043</v>
      </c>
      <c r="AC200">
        <v>827</v>
      </c>
      <c r="AD200">
        <v>216</v>
      </c>
      <c r="AF200">
        <f t="shared" si="91"/>
        <v>1043</v>
      </c>
      <c r="AG200">
        <f t="shared" si="92"/>
        <v>0</v>
      </c>
      <c r="AH200">
        <f t="shared" si="93"/>
        <v>0.58581016299137101</v>
      </c>
    </row>
    <row r="201" spans="1:34" x14ac:dyDescent="0.2">
      <c r="A201">
        <v>371065</v>
      </c>
      <c r="B201" t="s">
        <v>250</v>
      </c>
      <c r="C201" t="s">
        <v>7</v>
      </c>
      <c r="D201" t="s">
        <v>264</v>
      </c>
      <c r="E201" s="4">
        <v>28</v>
      </c>
      <c r="F201" s="5" t="s">
        <v>463</v>
      </c>
      <c r="G201" s="5"/>
      <c r="H201" s="5">
        <v>36896</v>
      </c>
      <c r="I201" s="5">
        <f>14346+15641+206+168</f>
        <v>30361</v>
      </c>
      <c r="J201" s="5">
        <f>3128+3400</f>
        <v>6528</v>
      </c>
      <c r="K201" s="5">
        <f>5+2</f>
        <v>7</v>
      </c>
      <c r="L201" s="5">
        <f t="shared" si="85"/>
        <v>36896</v>
      </c>
      <c r="M201" s="5">
        <f t="shared" si="86"/>
        <v>0</v>
      </c>
      <c r="N201" s="6">
        <f t="shared" si="87"/>
        <v>0.64595078057241972</v>
      </c>
      <c r="O201">
        <v>34</v>
      </c>
      <c r="R201">
        <v>74389</v>
      </c>
      <c r="S201">
        <f>24481+373+30023+371</f>
        <v>55248</v>
      </c>
      <c r="T201">
        <f>8721+10388</f>
        <v>19109</v>
      </c>
      <c r="U201">
        <f>18+14</f>
        <v>32</v>
      </c>
      <c r="V201">
        <f t="shared" si="88"/>
        <v>74389</v>
      </c>
      <c r="W201">
        <f t="shared" si="89"/>
        <v>0</v>
      </c>
      <c r="X201" s="6">
        <f t="shared" si="90"/>
        <v>0.48581107421796232</v>
      </c>
      <c r="Y201">
        <v>21</v>
      </c>
      <c r="AA201" s="2"/>
      <c r="AB201">
        <v>119574</v>
      </c>
      <c r="AC201">
        <f>41029+47415</f>
        <v>88444</v>
      </c>
      <c r="AD201">
        <f>14707+16110</f>
        <v>30817</v>
      </c>
      <c r="AE201">
        <f>150+3+12+9+109+5+11+14</f>
        <v>313</v>
      </c>
      <c r="AF201">
        <f t="shared" si="91"/>
        <v>119574</v>
      </c>
      <c r="AG201">
        <f t="shared" si="92"/>
        <v>0</v>
      </c>
      <c r="AH201">
        <f t="shared" si="93"/>
        <v>0.48193587234683127</v>
      </c>
    </row>
    <row r="202" spans="1:34" x14ac:dyDescent="0.2">
      <c r="A202">
        <v>371195</v>
      </c>
      <c r="B202" t="s">
        <v>250</v>
      </c>
      <c r="C202" t="s">
        <v>265</v>
      </c>
      <c r="D202" t="s">
        <v>264</v>
      </c>
      <c r="E202" s="4">
        <v>28</v>
      </c>
      <c r="F202" s="5" t="s">
        <v>448</v>
      </c>
      <c r="G202" s="5"/>
      <c r="H202" s="5">
        <v>45181</v>
      </c>
      <c r="I202" s="5">
        <f>17961+18969+129+76</f>
        <v>37135</v>
      </c>
      <c r="J202" s="5">
        <f>3722+4319</f>
        <v>8041</v>
      </c>
      <c r="K202" s="5">
        <f>2+3</f>
        <v>5</v>
      </c>
      <c r="L202" s="5">
        <f t="shared" si="85"/>
        <v>45181</v>
      </c>
      <c r="M202" s="5">
        <f t="shared" si="86"/>
        <v>0</v>
      </c>
      <c r="N202" s="6">
        <f t="shared" si="87"/>
        <v>0.643943250481397</v>
      </c>
      <c r="O202">
        <v>34</v>
      </c>
      <c r="R202">
        <v>39973</v>
      </c>
      <c r="S202">
        <f>15032+107+16469+91</f>
        <v>31699</v>
      </c>
      <c r="T202">
        <f>3880+4384</f>
        <v>8264</v>
      </c>
      <c r="U202">
        <f>7+3</f>
        <v>10</v>
      </c>
      <c r="V202">
        <f t="shared" si="88"/>
        <v>39973</v>
      </c>
      <c r="W202">
        <f t="shared" si="89"/>
        <v>0</v>
      </c>
      <c r="X202" s="6">
        <f t="shared" si="90"/>
        <v>0.58627073274460262</v>
      </c>
      <c r="Y202">
        <v>21</v>
      </c>
      <c r="AA202" s="2"/>
      <c r="AB202">
        <v>62063</v>
      </c>
      <c r="AC202">
        <f>24376+26464</f>
        <v>50840</v>
      </c>
      <c r="AD202">
        <f>5339+5862</f>
        <v>11201</v>
      </c>
      <c r="AE202">
        <f>6+2+1+1+5+4+3</f>
        <v>22</v>
      </c>
      <c r="AF202">
        <f t="shared" si="91"/>
        <v>62063</v>
      </c>
      <c r="AG202">
        <f t="shared" si="92"/>
        <v>0</v>
      </c>
      <c r="AH202">
        <f t="shared" si="93"/>
        <v>0.63868971851183476</v>
      </c>
    </row>
    <row r="203" spans="1:34" x14ac:dyDescent="0.2">
      <c r="A203">
        <v>37083</v>
      </c>
      <c r="B203" t="s">
        <v>250</v>
      </c>
      <c r="C203" s="2" t="s">
        <v>323</v>
      </c>
      <c r="D203" t="s">
        <v>266</v>
      </c>
      <c r="E203" s="4">
        <v>28</v>
      </c>
      <c r="F203" s="8" t="s">
        <v>624</v>
      </c>
      <c r="G203" s="5">
        <v>1</v>
      </c>
      <c r="H203" s="5">
        <v>56512</v>
      </c>
      <c r="I203" s="5">
        <f>12180+12171+42+39</f>
        <v>24432</v>
      </c>
      <c r="J203" s="5">
        <f>15794+16256</f>
        <v>32050</v>
      </c>
      <c r="K203" s="5">
        <v>30</v>
      </c>
      <c r="L203" s="5">
        <f t="shared" si="85"/>
        <v>56512</v>
      </c>
      <c r="M203" s="5">
        <f t="shared" si="86"/>
        <v>0</v>
      </c>
      <c r="N203" s="6">
        <f t="shared" si="87"/>
        <v>-0.13480322763306909</v>
      </c>
      <c r="O203">
        <v>42</v>
      </c>
      <c r="Q203">
        <v>1</v>
      </c>
      <c r="R203">
        <v>58377</v>
      </c>
      <c r="S203">
        <f>12345+58+12877+69</f>
        <v>25349</v>
      </c>
      <c r="T203">
        <f>16242+16746</f>
        <v>32988</v>
      </c>
      <c r="U203">
        <f>23+17</f>
        <v>40</v>
      </c>
      <c r="V203">
        <f t="shared" si="88"/>
        <v>58377</v>
      </c>
      <c r="W203">
        <f t="shared" si="89"/>
        <v>0</v>
      </c>
      <c r="X203" s="6">
        <f t="shared" si="90"/>
        <v>-0.1308563304040975</v>
      </c>
      <c r="Y203">
        <v>25</v>
      </c>
      <c r="AA203" s="2">
        <v>1</v>
      </c>
      <c r="AB203">
        <f>4838+772+1618+8746+2522+3529+3149+2128+17664+1550+5699+6741</f>
        <v>58956</v>
      </c>
      <c r="AC203">
        <f>516+287+238+2152+1028+886+804+689+14071+297+2376+3148</f>
        <v>26492</v>
      </c>
      <c r="AD203">
        <f>3809+484+1380+6592+1494+2643+2345+1437+3573+1253+3323+3593</f>
        <v>31926</v>
      </c>
      <c r="AE203">
        <f>513+1+2+2+20</f>
        <v>538</v>
      </c>
      <c r="AF203">
        <f t="shared" si="91"/>
        <v>58956</v>
      </c>
      <c r="AG203">
        <f t="shared" si="92"/>
        <v>0</v>
      </c>
      <c r="AH203">
        <f t="shared" si="93"/>
        <v>-9.2170432186715515E-2</v>
      </c>
    </row>
    <row r="204" spans="1:34" x14ac:dyDescent="0.2">
      <c r="A204">
        <v>37085050</v>
      </c>
      <c r="B204" t="s">
        <v>250</v>
      </c>
      <c r="C204" t="s">
        <v>267</v>
      </c>
      <c r="D204" t="s">
        <v>268</v>
      </c>
      <c r="E204" s="4">
        <v>28</v>
      </c>
      <c r="F204" s="5" t="s">
        <v>437</v>
      </c>
      <c r="G204" s="5"/>
      <c r="H204" s="5">
        <v>2798</v>
      </c>
      <c r="I204" s="5">
        <f>790+770</f>
        <v>1560</v>
      </c>
      <c r="J204" s="5">
        <f>661+577</f>
        <v>1238</v>
      </c>
      <c r="K204" s="5">
        <v>0</v>
      </c>
      <c r="L204" s="5">
        <f t="shared" si="85"/>
        <v>2798</v>
      </c>
      <c r="M204" s="5">
        <f t="shared" si="86"/>
        <v>0</v>
      </c>
      <c r="N204" s="6">
        <f t="shared" si="87"/>
        <v>0.11508220157255182</v>
      </c>
      <c r="O204">
        <v>40</v>
      </c>
      <c r="R204">
        <v>1061</v>
      </c>
      <c r="S204">
        <f>437+483+3+1</f>
        <v>924</v>
      </c>
      <c r="T204">
        <f>58+79</f>
        <v>137</v>
      </c>
      <c r="V204">
        <f t="shared" si="88"/>
        <v>1061</v>
      </c>
      <c r="W204">
        <f t="shared" si="89"/>
        <v>0</v>
      </c>
      <c r="X204" s="6">
        <f t="shared" si="90"/>
        <v>0.74175306314797362</v>
      </c>
      <c r="Y204">
        <v>23</v>
      </c>
      <c r="AA204" s="2"/>
      <c r="AB204">
        <v>1242</v>
      </c>
      <c r="AC204">
        <v>1128</v>
      </c>
      <c r="AD204">
        <v>114</v>
      </c>
      <c r="AF204">
        <f t="shared" si="91"/>
        <v>1242</v>
      </c>
      <c r="AG204">
        <f t="shared" si="92"/>
        <v>0</v>
      </c>
      <c r="AH204">
        <f t="shared" si="93"/>
        <v>0.81642512077294682</v>
      </c>
    </row>
    <row r="205" spans="1:34" x14ac:dyDescent="0.2">
      <c r="A205">
        <v>370480</v>
      </c>
      <c r="B205" t="s">
        <v>250</v>
      </c>
      <c r="C205" t="s">
        <v>269</v>
      </c>
      <c r="D205" t="s">
        <v>270</v>
      </c>
      <c r="E205" s="4">
        <v>28</v>
      </c>
      <c r="F205" s="5" t="s">
        <v>450</v>
      </c>
      <c r="G205" s="5"/>
      <c r="H205" s="5">
        <v>112986</v>
      </c>
      <c r="I205" s="5">
        <f>37988+41027+540+410</f>
        <v>79965</v>
      </c>
      <c r="J205" s="5">
        <f>15078+17922</f>
        <v>33000</v>
      </c>
      <c r="K205" s="5">
        <f>15+6</f>
        <v>21</v>
      </c>
      <c r="L205" s="5">
        <f t="shared" si="85"/>
        <v>112986</v>
      </c>
      <c r="M205" s="5">
        <f t="shared" si="86"/>
        <v>0</v>
      </c>
      <c r="N205" s="6">
        <f t="shared" si="87"/>
        <v>0.41567096808454146</v>
      </c>
      <c r="O205">
        <v>34</v>
      </c>
      <c r="R205">
        <v>134042</v>
      </c>
      <c r="S205">
        <f>44652+698+50571+610</f>
        <v>96531</v>
      </c>
      <c r="T205">
        <f>17518+19963</f>
        <v>37481</v>
      </c>
      <c r="U205">
        <f>20+10</f>
        <v>30</v>
      </c>
      <c r="V205">
        <f t="shared" si="88"/>
        <v>134042</v>
      </c>
      <c r="W205">
        <f t="shared" si="89"/>
        <v>0</v>
      </c>
      <c r="X205" s="6">
        <f t="shared" si="90"/>
        <v>0.44053356410677252</v>
      </c>
      <c r="Y205">
        <v>21</v>
      </c>
      <c r="AA205" s="2"/>
      <c r="AB205">
        <v>201564</v>
      </c>
      <c r="AC205">
        <f>68367+76726</f>
        <v>145093</v>
      </c>
      <c r="AD205">
        <f>26231+30017</f>
        <v>56248</v>
      </c>
      <c r="AE205">
        <f>56+2+33+14+76+10+17+2+13</f>
        <v>223</v>
      </c>
      <c r="AF205">
        <f t="shared" si="91"/>
        <v>201564</v>
      </c>
      <c r="AG205">
        <f t="shared" si="92"/>
        <v>0</v>
      </c>
      <c r="AH205">
        <f t="shared" si="93"/>
        <v>0.44077811513960824</v>
      </c>
    </row>
    <row r="206" spans="1:34" x14ac:dyDescent="0.2">
      <c r="A206">
        <v>372755</v>
      </c>
      <c r="B206" t="s">
        <v>250</v>
      </c>
      <c r="C206" t="s">
        <v>271</v>
      </c>
      <c r="D206" t="s">
        <v>272</v>
      </c>
      <c r="E206" s="4">
        <v>28</v>
      </c>
      <c r="F206" s="5" t="s">
        <v>438</v>
      </c>
      <c r="G206" s="5"/>
      <c r="H206" s="5">
        <v>33407</v>
      </c>
      <c r="I206" s="5">
        <f>9346+10161+222+151</f>
        <v>19880</v>
      </c>
      <c r="J206" s="5">
        <f>6181+7325</f>
        <v>13506</v>
      </c>
      <c r="K206" s="5">
        <f>14+7</f>
        <v>21</v>
      </c>
      <c r="L206" s="5">
        <f t="shared" si="85"/>
        <v>33407</v>
      </c>
      <c r="M206" s="5">
        <f t="shared" si="86"/>
        <v>0</v>
      </c>
      <c r="N206" s="6">
        <f t="shared" si="87"/>
        <v>0.1907983356781513</v>
      </c>
      <c r="O206">
        <v>34</v>
      </c>
      <c r="R206">
        <v>45043</v>
      </c>
      <c r="S206">
        <f>13326+285+15063+231</f>
        <v>28905</v>
      </c>
      <c r="T206">
        <f>7356+8756</f>
        <v>16112</v>
      </c>
      <c r="U206">
        <f>15+11</f>
        <v>26</v>
      </c>
      <c r="V206">
        <f t="shared" si="88"/>
        <v>45043</v>
      </c>
      <c r="W206">
        <f t="shared" si="89"/>
        <v>0</v>
      </c>
      <c r="X206" s="6">
        <f t="shared" si="90"/>
        <v>0.28401749439424551</v>
      </c>
      <c r="Y206">
        <v>21</v>
      </c>
      <c r="AA206" s="2"/>
      <c r="AB206">
        <v>44013</v>
      </c>
      <c r="AC206">
        <f>12935+14460</f>
        <v>27395</v>
      </c>
      <c r="AD206">
        <f>7488+9032</f>
        <v>16520</v>
      </c>
      <c r="AE206">
        <f>24+3+3+11+21+19+2+3+12</f>
        <v>98</v>
      </c>
      <c r="AF206">
        <f t="shared" si="91"/>
        <v>44013</v>
      </c>
      <c r="AG206">
        <f t="shared" si="92"/>
        <v>0</v>
      </c>
      <c r="AH206">
        <f t="shared" si="93"/>
        <v>0.24708608820121328</v>
      </c>
    </row>
    <row r="207" spans="1:34" x14ac:dyDescent="0.2">
      <c r="A207">
        <v>371280</v>
      </c>
      <c r="B207" t="s">
        <v>250</v>
      </c>
      <c r="C207" t="s">
        <v>62</v>
      </c>
      <c r="D207" t="s">
        <v>273</v>
      </c>
      <c r="E207" s="4">
        <v>28</v>
      </c>
      <c r="F207" s="5" t="s">
        <v>439</v>
      </c>
      <c r="G207" s="5"/>
      <c r="H207" s="5">
        <v>4059</v>
      </c>
      <c r="I207" s="5">
        <f>1303+1271+2+3</f>
        <v>2579</v>
      </c>
      <c r="J207" s="5">
        <f>791+689</f>
        <v>1480</v>
      </c>
      <c r="K207" s="5">
        <v>0</v>
      </c>
      <c r="L207" s="5">
        <f t="shared" si="85"/>
        <v>4059</v>
      </c>
      <c r="M207" s="5">
        <f t="shared" si="86"/>
        <v>0</v>
      </c>
      <c r="N207" s="6">
        <f t="shared" si="87"/>
        <v>0.27075634392707565</v>
      </c>
      <c r="O207">
        <v>38</v>
      </c>
      <c r="R207">
        <v>3960</v>
      </c>
      <c r="S207">
        <f>1556+38+1576+40</f>
        <v>3210</v>
      </c>
      <c r="T207">
        <f>372+376</f>
        <v>748</v>
      </c>
      <c r="U207">
        <v>2</v>
      </c>
      <c r="V207">
        <f t="shared" si="88"/>
        <v>3960</v>
      </c>
      <c r="W207">
        <f t="shared" si="89"/>
        <v>0</v>
      </c>
      <c r="X207" s="6">
        <f t="shared" si="90"/>
        <v>0.62171717171717167</v>
      </c>
      <c r="Y207">
        <v>21</v>
      </c>
      <c r="AA207" s="2"/>
      <c r="AB207">
        <v>13491</v>
      </c>
      <c r="AC207">
        <f>6241+6383</f>
        <v>12624</v>
      </c>
      <c r="AD207">
        <f>385+434</f>
        <v>819</v>
      </c>
      <c r="AE207">
        <f>4+1+4+1+4+5+15+5+9</f>
        <v>48</v>
      </c>
      <c r="AF207">
        <f t="shared" si="91"/>
        <v>13491</v>
      </c>
      <c r="AG207">
        <f t="shared" si="92"/>
        <v>0</v>
      </c>
      <c r="AH207">
        <f t="shared" si="93"/>
        <v>0.87502779630865024</v>
      </c>
    </row>
    <row r="208" spans="1:34" x14ac:dyDescent="0.2">
      <c r="A208">
        <v>370475</v>
      </c>
      <c r="B208" t="s">
        <v>250</v>
      </c>
      <c r="C208" t="s">
        <v>274</v>
      </c>
      <c r="D208" t="s">
        <v>275</v>
      </c>
      <c r="E208" s="4">
        <v>28</v>
      </c>
      <c r="F208" s="5" t="s">
        <v>440</v>
      </c>
      <c r="G208" s="5"/>
      <c r="H208" s="5">
        <v>8903</v>
      </c>
      <c r="I208" s="5">
        <f>2861+3032+54+39</f>
        <v>5986</v>
      </c>
      <c r="J208" s="5">
        <f>1441+1476</f>
        <v>2917</v>
      </c>
      <c r="K208" s="5">
        <v>0</v>
      </c>
      <c r="L208" s="5">
        <f t="shared" si="85"/>
        <v>8903</v>
      </c>
      <c r="M208" s="5">
        <f t="shared" si="86"/>
        <v>0</v>
      </c>
      <c r="N208" s="6">
        <f t="shared" si="87"/>
        <v>0.34471526451757833</v>
      </c>
      <c r="O208">
        <v>38</v>
      </c>
      <c r="R208">
        <v>9177</v>
      </c>
      <c r="S208">
        <f>5500+94+2337+63</f>
        <v>7994</v>
      </c>
      <c r="T208">
        <f>564+604</f>
        <v>1168</v>
      </c>
      <c r="U208">
        <f>9+6</f>
        <v>15</v>
      </c>
      <c r="V208">
        <f t="shared" si="88"/>
        <v>9177</v>
      </c>
      <c r="W208">
        <f t="shared" si="89"/>
        <v>0</v>
      </c>
      <c r="X208" s="6">
        <f t="shared" si="90"/>
        <v>0.74381606189386507</v>
      </c>
      <c r="Y208">
        <v>21</v>
      </c>
      <c r="AA208" s="2"/>
      <c r="AB208">
        <v>12573</v>
      </c>
      <c r="AC208">
        <f>6747+4485</f>
        <v>11232</v>
      </c>
      <c r="AD208">
        <f>608+682</f>
        <v>1290</v>
      </c>
      <c r="AE208">
        <f>1+3+2+1+32+1+2+9</f>
        <v>51</v>
      </c>
      <c r="AF208">
        <f t="shared" si="91"/>
        <v>12573</v>
      </c>
      <c r="AG208">
        <f t="shared" si="92"/>
        <v>0</v>
      </c>
      <c r="AH208">
        <f t="shared" si="93"/>
        <v>0.79074206633261757</v>
      </c>
    </row>
    <row r="209" spans="1:34" x14ac:dyDescent="0.2">
      <c r="A209">
        <v>372040</v>
      </c>
      <c r="B209" t="s">
        <v>250</v>
      </c>
      <c r="C209" t="s">
        <v>276</v>
      </c>
      <c r="D209" t="s">
        <v>277</v>
      </c>
      <c r="E209" s="4">
        <v>28</v>
      </c>
      <c r="F209" s="5" t="s">
        <v>441</v>
      </c>
      <c r="G209" s="5"/>
      <c r="H209" s="5">
        <v>3768</v>
      </c>
      <c r="I209" s="5">
        <f>896+962+6+7</f>
        <v>1871</v>
      </c>
      <c r="J209" s="5">
        <f>758+878</f>
        <v>1636</v>
      </c>
      <c r="K209" s="5">
        <f>126+135</f>
        <v>261</v>
      </c>
      <c r="L209" s="5">
        <f t="shared" si="85"/>
        <v>3768</v>
      </c>
      <c r="M209" s="5">
        <f t="shared" si="86"/>
        <v>0</v>
      </c>
      <c r="N209" s="6">
        <f t="shared" si="87"/>
        <v>6.2367303609341826E-2</v>
      </c>
      <c r="O209">
        <v>40</v>
      </c>
      <c r="R209">
        <v>2245</v>
      </c>
      <c r="S209">
        <f>530+823+7+5</f>
        <v>1365</v>
      </c>
      <c r="T209">
        <f>404+472</f>
        <v>876</v>
      </c>
      <c r="U209">
        <f>3+1</f>
        <v>4</v>
      </c>
      <c r="V209">
        <f t="shared" si="88"/>
        <v>2245</v>
      </c>
      <c r="W209">
        <f t="shared" si="89"/>
        <v>0</v>
      </c>
      <c r="X209" s="6">
        <f t="shared" si="90"/>
        <v>0.2178173719376392</v>
      </c>
      <c r="Y209">
        <v>22</v>
      </c>
      <c r="AA209" s="2"/>
      <c r="AB209">
        <v>2767</v>
      </c>
      <c r="AC209">
        <v>1827</v>
      </c>
      <c r="AD209">
        <v>940</v>
      </c>
      <c r="AF209">
        <f t="shared" si="91"/>
        <v>2767</v>
      </c>
      <c r="AG209">
        <f t="shared" si="92"/>
        <v>0</v>
      </c>
      <c r="AH209">
        <f t="shared" si="93"/>
        <v>0.32056378749548248</v>
      </c>
    </row>
    <row r="210" spans="1:34" x14ac:dyDescent="0.2">
      <c r="A210">
        <v>371420</v>
      </c>
      <c r="B210" t="s">
        <v>250</v>
      </c>
      <c r="C210" t="s">
        <v>278</v>
      </c>
      <c r="D210" t="s">
        <v>279</v>
      </c>
      <c r="E210" s="4">
        <v>28</v>
      </c>
      <c r="F210" s="5" t="s">
        <v>459</v>
      </c>
      <c r="G210" s="5"/>
      <c r="H210" s="5">
        <v>11855</v>
      </c>
      <c r="I210" s="5">
        <f>2653+2760+18+13</f>
        <v>5444</v>
      </c>
      <c r="J210" s="5">
        <f>2738+2957</f>
        <v>5695</v>
      </c>
      <c r="K210" s="5">
        <f>362+354</f>
        <v>716</v>
      </c>
      <c r="L210" s="5">
        <f t="shared" si="85"/>
        <v>11855</v>
      </c>
      <c r="M210" s="5">
        <f t="shared" si="86"/>
        <v>0</v>
      </c>
      <c r="N210" s="6">
        <f t="shared" si="87"/>
        <v>-2.1172501054407423E-2</v>
      </c>
      <c r="O210">
        <v>38</v>
      </c>
      <c r="R210">
        <v>7134</v>
      </c>
      <c r="S210">
        <f>2100+11+2275+11</f>
        <v>4397</v>
      </c>
      <c r="T210">
        <f>1288+1433</f>
        <v>2721</v>
      </c>
      <c r="U210">
        <f>7+9</f>
        <v>16</v>
      </c>
      <c r="V210">
        <f t="shared" si="88"/>
        <v>7134</v>
      </c>
      <c r="W210">
        <f t="shared" si="89"/>
        <v>0</v>
      </c>
      <c r="X210" s="6">
        <f t="shared" si="90"/>
        <v>0.23493131483038968</v>
      </c>
      <c r="Y210">
        <v>22</v>
      </c>
      <c r="AA210" s="2"/>
      <c r="AB210">
        <v>8242</v>
      </c>
      <c r="AC210">
        <v>4975</v>
      </c>
      <c r="AD210">
        <v>3140</v>
      </c>
      <c r="AE210">
        <v>127</v>
      </c>
      <c r="AF210">
        <f t="shared" si="91"/>
        <v>8242</v>
      </c>
      <c r="AG210">
        <f t="shared" si="92"/>
        <v>0</v>
      </c>
      <c r="AH210">
        <f t="shared" si="93"/>
        <v>0.22264013588934725</v>
      </c>
    </row>
    <row r="211" spans="1:34" x14ac:dyDescent="0.2">
      <c r="A211">
        <v>372220</v>
      </c>
      <c r="B211" t="s">
        <v>250</v>
      </c>
      <c r="C211" t="s">
        <v>279</v>
      </c>
      <c r="D211" t="s">
        <v>280</v>
      </c>
      <c r="E211" s="4">
        <v>28</v>
      </c>
      <c r="F211" s="5" t="s">
        <v>464</v>
      </c>
      <c r="G211" s="5">
        <v>1</v>
      </c>
      <c r="H211" s="5">
        <v>23232</v>
      </c>
      <c r="I211" s="5">
        <f>5297+5455+21+15</f>
        <v>10788</v>
      </c>
      <c r="J211" s="5">
        <f>5710+5944</f>
        <v>11654</v>
      </c>
      <c r="K211" s="5">
        <f>400+390</f>
        <v>790</v>
      </c>
      <c r="L211" s="5">
        <f t="shared" si="85"/>
        <v>23232</v>
      </c>
      <c r="M211" s="5">
        <f t="shared" si="86"/>
        <v>0</v>
      </c>
      <c r="N211" s="6">
        <f t="shared" si="87"/>
        <v>-3.727617079889807E-2</v>
      </c>
      <c r="O211">
        <v>42</v>
      </c>
      <c r="Q211">
        <v>1</v>
      </c>
      <c r="R211">
        <v>26336</v>
      </c>
      <c r="S211">
        <f>6683+19+7007+28</f>
        <v>13737</v>
      </c>
      <c r="T211">
        <f>5636+5888</f>
        <v>11524</v>
      </c>
      <c r="U211">
        <f>538+537</f>
        <v>1075</v>
      </c>
      <c r="V211">
        <f t="shared" si="88"/>
        <v>26336</v>
      </c>
      <c r="W211">
        <f t="shared" si="89"/>
        <v>0</v>
      </c>
      <c r="X211" s="6">
        <f t="shared" si="90"/>
        <v>8.4029465370595385E-2</v>
      </c>
      <c r="Y211">
        <v>25</v>
      </c>
      <c r="AA211" s="2">
        <v>1</v>
      </c>
      <c r="AB211">
        <f>2923+2488+14876+4896</f>
        <v>25183</v>
      </c>
      <c r="AC211">
        <f>1625+623+8514+3275</f>
        <v>14037</v>
      </c>
      <c r="AD211">
        <f>1292+1734+5789+1559</f>
        <v>10374</v>
      </c>
      <c r="AE211">
        <f>6+131+573+62</f>
        <v>772</v>
      </c>
      <c r="AF211">
        <f t="shared" si="91"/>
        <v>25183</v>
      </c>
      <c r="AG211">
        <f t="shared" si="92"/>
        <v>0</v>
      </c>
      <c r="AH211">
        <f t="shared" si="93"/>
        <v>0.14545526744232221</v>
      </c>
    </row>
    <row r="212" spans="1:34" x14ac:dyDescent="0.2">
      <c r="A212">
        <v>37107040</v>
      </c>
      <c r="B212" t="s">
        <v>250</v>
      </c>
      <c r="C212" s="2" t="s">
        <v>455</v>
      </c>
      <c r="D212" t="s">
        <v>254</v>
      </c>
      <c r="E212" s="4">
        <v>28</v>
      </c>
      <c r="F212" s="5" t="s">
        <v>458</v>
      </c>
      <c r="G212" s="5"/>
      <c r="H212" s="5">
        <v>979</v>
      </c>
      <c r="I212" s="5">
        <f>254+251</f>
        <v>505</v>
      </c>
      <c r="J212" s="5">
        <f>254+220</f>
        <v>474</v>
      </c>
      <c r="K212" s="5">
        <v>0</v>
      </c>
      <c r="L212" s="5">
        <f t="shared" si="85"/>
        <v>979</v>
      </c>
      <c r="M212" s="5">
        <f t="shared" si="86"/>
        <v>0</v>
      </c>
      <c r="N212" s="6">
        <f t="shared" si="87"/>
        <v>3.1664964249233915E-2</v>
      </c>
      <c r="O212">
        <v>42</v>
      </c>
      <c r="Q212">
        <v>1</v>
      </c>
      <c r="R212">
        <v>45953</v>
      </c>
      <c r="S212">
        <f>12507+135+13353+136</f>
        <v>26131</v>
      </c>
      <c r="T212">
        <f>9596+10221</f>
        <v>19817</v>
      </c>
      <c r="U212">
        <f>3+2</f>
        <v>5</v>
      </c>
      <c r="V212">
        <f t="shared" si="88"/>
        <v>45953</v>
      </c>
      <c r="W212">
        <f t="shared" si="89"/>
        <v>0</v>
      </c>
      <c r="X212" s="6">
        <f t="shared" si="90"/>
        <v>0.13740125780688964</v>
      </c>
      <c r="Y212">
        <v>25</v>
      </c>
      <c r="Z212" t="s">
        <v>618</v>
      </c>
      <c r="AA212" s="2"/>
      <c r="AB212">
        <v>962</v>
      </c>
      <c r="AC212">
        <v>510</v>
      </c>
      <c r="AD212">
        <v>452</v>
      </c>
      <c r="AF212">
        <f t="shared" si="91"/>
        <v>962</v>
      </c>
      <c r="AG212">
        <f t="shared" si="92"/>
        <v>0</v>
      </c>
      <c r="AH212">
        <f t="shared" si="93"/>
        <v>6.0291060291060294E-2</v>
      </c>
    </row>
    <row r="213" spans="1:34" x14ac:dyDescent="0.2">
      <c r="A213">
        <v>372020</v>
      </c>
      <c r="B213" t="s">
        <v>250</v>
      </c>
      <c r="C213" t="s">
        <v>281</v>
      </c>
      <c r="D213" t="s">
        <v>282</v>
      </c>
      <c r="E213" s="4">
        <v>28</v>
      </c>
      <c r="F213" s="5" t="s">
        <v>442</v>
      </c>
      <c r="G213" s="5"/>
      <c r="H213" s="5">
        <v>55235</v>
      </c>
      <c r="I213" s="5">
        <f>17776+19601+243+169</f>
        <v>37789</v>
      </c>
      <c r="J213" s="5">
        <f>8037+9391</f>
        <v>17428</v>
      </c>
      <c r="K213" s="5">
        <f>17+1</f>
        <v>18</v>
      </c>
      <c r="L213" s="5">
        <f t="shared" si="85"/>
        <v>55235</v>
      </c>
      <c r="M213" s="5">
        <f t="shared" si="86"/>
        <v>0</v>
      </c>
      <c r="N213" s="6">
        <f t="shared" si="87"/>
        <v>0.36862496605413236</v>
      </c>
      <c r="O213">
        <v>34</v>
      </c>
      <c r="R213">
        <v>65679</v>
      </c>
      <c r="S213">
        <f>23299+337+23833+266</f>
        <v>47735</v>
      </c>
      <c r="T213">
        <f>8349+9522</f>
        <v>17871</v>
      </c>
      <c r="U213">
        <f>56+17</f>
        <v>73</v>
      </c>
      <c r="V213">
        <f t="shared" si="88"/>
        <v>65679</v>
      </c>
      <c r="W213">
        <f t="shared" si="89"/>
        <v>0</v>
      </c>
      <c r="X213" s="6">
        <f t="shared" si="90"/>
        <v>0.45469632607073801</v>
      </c>
      <c r="Y213">
        <v>21</v>
      </c>
      <c r="AA213" s="2"/>
      <c r="AB213">
        <v>93931</v>
      </c>
      <c r="AC213">
        <f>35486+36286</f>
        <v>71772</v>
      </c>
      <c r="AD213">
        <f>10112+11830</f>
        <v>21942</v>
      </c>
      <c r="AE213">
        <f>32+15+46+7+43+28+18+14+3+11</f>
        <v>217</v>
      </c>
      <c r="AF213">
        <f t="shared" si="91"/>
        <v>93931</v>
      </c>
      <c r="AG213">
        <f t="shared" si="92"/>
        <v>0</v>
      </c>
      <c r="AH213">
        <f t="shared" si="93"/>
        <v>0.53049578946247777</v>
      </c>
    </row>
    <row r="214" spans="1:34" x14ac:dyDescent="0.2">
      <c r="A214">
        <v>37185</v>
      </c>
      <c r="B214" t="s">
        <v>250</v>
      </c>
      <c r="C214" t="s">
        <v>182</v>
      </c>
      <c r="D214" t="s">
        <v>283</v>
      </c>
      <c r="E214" s="4">
        <v>28</v>
      </c>
      <c r="F214" s="5" t="s">
        <v>465</v>
      </c>
      <c r="G214" s="5">
        <v>1</v>
      </c>
      <c r="H214" s="5">
        <v>23145</v>
      </c>
      <c r="I214" s="5">
        <f>3976+4008+28+24</f>
        <v>8036</v>
      </c>
      <c r="J214" s="5">
        <f>7558+7550</f>
        <v>15108</v>
      </c>
      <c r="K214" s="5">
        <v>1</v>
      </c>
      <c r="L214" s="5">
        <f t="shared" si="85"/>
        <v>23145</v>
      </c>
      <c r="M214" s="5">
        <f t="shared" si="86"/>
        <v>0</v>
      </c>
      <c r="N214" s="6">
        <f t="shared" si="87"/>
        <v>-0.30555195506588895</v>
      </c>
      <c r="O214">
        <v>42</v>
      </c>
      <c r="Q214">
        <v>1</v>
      </c>
      <c r="R214">
        <v>23539</v>
      </c>
      <c r="S214">
        <f>3907+19+3953+22</f>
        <v>7901</v>
      </c>
      <c r="T214">
        <f>7407+7410</f>
        <v>14817</v>
      </c>
      <c r="U214">
        <f>403+418</f>
        <v>821</v>
      </c>
      <c r="V214">
        <f t="shared" si="88"/>
        <v>23539</v>
      </c>
      <c r="W214">
        <f t="shared" si="89"/>
        <v>0</v>
      </c>
      <c r="X214" s="6">
        <f t="shared" si="90"/>
        <v>-0.29381027231403201</v>
      </c>
      <c r="Y214">
        <v>25</v>
      </c>
      <c r="AA214" s="2">
        <v>1</v>
      </c>
      <c r="AB214">
        <f>1438+838+1821+1319+1925+1418+197+1441+941+997+2281+5036</f>
        <v>19652</v>
      </c>
      <c r="AC214">
        <f>151+157+795+445+260+789+32+478+191+337+1214+2090</f>
        <v>6939</v>
      </c>
      <c r="AD214">
        <f>930+644+1026+874+1665+629+165+963+750+660+1067+2933</f>
        <v>12306</v>
      </c>
      <c r="AE214">
        <f>357+37+13</f>
        <v>407</v>
      </c>
      <c r="AF214">
        <f t="shared" si="91"/>
        <v>19652</v>
      </c>
      <c r="AG214">
        <f t="shared" si="92"/>
        <v>0</v>
      </c>
      <c r="AH214">
        <f t="shared" si="93"/>
        <v>-0.27310197435375533</v>
      </c>
    </row>
    <row r="215" spans="1:34" x14ac:dyDescent="0.2">
      <c r="A215">
        <v>37185060</v>
      </c>
      <c r="B215" t="s">
        <v>250</v>
      </c>
      <c r="C215" t="s">
        <v>284</v>
      </c>
      <c r="D215" t="s">
        <v>182</v>
      </c>
      <c r="E215" s="4">
        <v>28</v>
      </c>
      <c r="F215" s="5" t="s">
        <v>443</v>
      </c>
      <c r="G215" s="5"/>
      <c r="H215" s="5">
        <v>4874</v>
      </c>
      <c r="I215" s="5">
        <f>954+973+13+6</f>
        <v>1946</v>
      </c>
      <c r="J215" s="5">
        <f>1475+1453</f>
        <v>2928</v>
      </c>
      <c r="K215" s="5">
        <v>0</v>
      </c>
      <c r="L215" s="5">
        <f t="shared" si="85"/>
        <v>4874</v>
      </c>
      <c r="M215" s="5">
        <f t="shared" si="86"/>
        <v>0</v>
      </c>
      <c r="N215" s="6">
        <f t="shared" si="87"/>
        <v>-0.20147722609766106</v>
      </c>
      <c r="O215">
        <v>40</v>
      </c>
      <c r="R215">
        <v>1166</v>
      </c>
      <c r="S215">
        <f>403+482+6+4</f>
        <v>895</v>
      </c>
      <c r="T215">
        <f>117+154</f>
        <v>271</v>
      </c>
      <c r="U215">
        <v>0</v>
      </c>
      <c r="V215">
        <f t="shared" si="88"/>
        <v>1166</v>
      </c>
      <c r="W215">
        <f t="shared" si="89"/>
        <v>0</v>
      </c>
      <c r="X215" s="6">
        <f t="shared" si="90"/>
        <v>0.53516295025728988</v>
      </c>
      <c r="Y215">
        <v>25</v>
      </c>
      <c r="AA215" s="2"/>
      <c r="AB215">
        <v>5036</v>
      </c>
      <c r="AC215">
        <v>2090</v>
      </c>
      <c r="AD215">
        <v>2933</v>
      </c>
      <c r="AE215">
        <v>13</v>
      </c>
      <c r="AF215">
        <f t="shared" si="91"/>
        <v>5036</v>
      </c>
      <c r="AG215">
        <f t="shared" si="92"/>
        <v>0</v>
      </c>
      <c r="AH215">
        <f t="shared" si="93"/>
        <v>-0.16739475774424145</v>
      </c>
    </row>
    <row r="216" spans="1:34" x14ac:dyDescent="0.2">
      <c r="A216">
        <v>371035</v>
      </c>
      <c r="B216" t="s">
        <v>250</v>
      </c>
      <c r="C216" t="s">
        <v>285</v>
      </c>
      <c r="D216" t="s">
        <v>185</v>
      </c>
      <c r="E216" s="4">
        <v>28</v>
      </c>
      <c r="F216" s="5" t="s">
        <v>444</v>
      </c>
      <c r="G216" s="5"/>
      <c r="H216" s="5">
        <v>20522</v>
      </c>
      <c r="I216" s="5">
        <f>5369+5800+48+43</f>
        <v>11260</v>
      </c>
      <c r="J216" s="5">
        <f>4305+4956</f>
        <v>9261</v>
      </c>
      <c r="K216" s="5">
        <v>1</v>
      </c>
      <c r="L216" s="5">
        <f t="shared" si="85"/>
        <v>20522</v>
      </c>
      <c r="M216" s="5">
        <f t="shared" si="86"/>
        <v>0</v>
      </c>
      <c r="N216" s="6">
        <f t="shared" si="87"/>
        <v>9.7407660072117722E-2</v>
      </c>
      <c r="O216">
        <v>34</v>
      </c>
      <c r="R216">
        <v>21454</v>
      </c>
      <c r="S216">
        <f>5540+55+6170+43</f>
        <v>11808</v>
      </c>
      <c r="T216">
        <f>4465+5163</f>
        <v>9628</v>
      </c>
      <c r="U216">
        <f>12+6</f>
        <v>18</v>
      </c>
      <c r="V216">
        <f t="shared" si="88"/>
        <v>21454</v>
      </c>
      <c r="W216">
        <f t="shared" si="89"/>
        <v>0</v>
      </c>
      <c r="X216" s="6">
        <f t="shared" si="90"/>
        <v>0.10161275286659831</v>
      </c>
      <c r="Y216">
        <v>21</v>
      </c>
      <c r="AA216" s="2"/>
      <c r="AB216">
        <v>28873</v>
      </c>
      <c r="AC216">
        <f>8089+8880</f>
        <v>16969</v>
      </c>
      <c r="AD216">
        <f>5520+6369</f>
        <v>11889</v>
      </c>
      <c r="AE216">
        <f>2+1+1+3+8</f>
        <v>15</v>
      </c>
      <c r="AF216">
        <f t="shared" si="91"/>
        <v>28873</v>
      </c>
      <c r="AG216">
        <f t="shared" si="92"/>
        <v>0</v>
      </c>
      <c r="AH216">
        <f t="shared" si="93"/>
        <v>0.17594292245350326</v>
      </c>
    </row>
    <row r="217" spans="1:34" x14ac:dyDescent="0.2">
      <c r="A217">
        <v>372760</v>
      </c>
      <c r="B217" t="s">
        <v>250</v>
      </c>
      <c r="C217" t="s">
        <v>286</v>
      </c>
      <c r="D217" t="s">
        <v>287</v>
      </c>
      <c r="E217" s="4">
        <v>28</v>
      </c>
      <c r="F217" s="5" t="s">
        <v>445</v>
      </c>
      <c r="G217" s="5"/>
      <c r="H217" s="5">
        <v>23164</v>
      </c>
      <c r="I217" s="5">
        <f>5922+6166+78+52</f>
        <v>12218</v>
      </c>
      <c r="J217" s="5">
        <f>5137+5805</f>
        <v>10942</v>
      </c>
      <c r="K217" s="5">
        <f>3+1</f>
        <v>4</v>
      </c>
      <c r="L217" s="5">
        <f t="shared" si="85"/>
        <v>23164</v>
      </c>
      <c r="M217" s="5">
        <f t="shared" si="86"/>
        <v>0</v>
      </c>
      <c r="N217" s="6">
        <f t="shared" si="87"/>
        <v>5.5085477465031944E-2</v>
      </c>
      <c r="O217">
        <v>34</v>
      </c>
      <c r="R217">
        <v>23010</v>
      </c>
      <c r="S217">
        <f>6302+88+6836+68</f>
        <v>13294</v>
      </c>
      <c r="T217">
        <f>4548+5165</f>
        <v>9713</v>
      </c>
      <c r="U217">
        <f>2+1</f>
        <v>3</v>
      </c>
      <c r="V217">
        <f t="shared" si="88"/>
        <v>23010</v>
      </c>
      <c r="W217">
        <f t="shared" si="89"/>
        <v>0</v>
      </c>
      <c r="X217" s="6">
        <f t="shared" si="90"/>
        <v>0.15562798783137766</v>
      </c>
      <c r="Y217">
        <v>25</v>
      </c>
      <c r="Z217" t="s">
        <v>617</v>
      </c>
      <c r="AA217" s="2"/>
      <c r="AB217">
        <v>33768</v>
      </c>
      <c r="AC217">
        <v>20063</v>
      </c>
      <c r="AD217">
        <v>13697</v>
      </c>
      <c r="AE217">
        <v>8</v>
      </c>
      <c r="AF217">
        <f t="shared" si="91"/>
        <v>33768</v>
      </c>
      <c r="AG217">
        <f t="shared" si="92"/>
        <v>0</v>
      </c>
      <c r="AH217">
        <f t="shared" si="93"/>
        <v>0.18852167732764746</v>
      </c>
    </row>
    <row r="218" spans="1:34" x14ac:dyDescent="0.2">
      <c r="B218" t="s">
        <v>250</v>
      </c>
      <c r="C218" s="1" t="s">
        <v>288</v>
      </c>
      <c r="E218" s="4"/>
      <c r="F218" s="8" t="s">
        <v>632</v>
      </c>
      <c r="G218" s="5"/>
      <c r="H218" s="5"/>
      <c r="I218" s="5"/>
      <c r="J218" s="5"/>
      <c r="K218" s="5"/>
      <c r="L218" s="5">
        <f t="shared" si="85"/>
        <v>0</v>
      </c>
      <c r="M218" s="5">
        <f t="shared" si="86"/>
        <v>0</v>
      </c>
      <c r="N218" s="6"/>
      <c r="V218">
        <f t="shared" si="88"/>
        <v>0</v>
      </c>
      <c r="W218">
        <f t="shared" si="89"/>
        <v>0</v>
      </c>
      <c r="X218" s="6"/>
      <c r="Y218">
        <v>21</v>
      </c>
      <c r="AA218" s="2"/>
      <c r="AF218">
        <f t="shared" si="91"/>
        <v>0</v>
      </c>
      <c r="AG218">
        <f t="shared" si="92"/>
        <v>0</v>
      </c>
      <c r="AH218" t="e">
        <f t="shared" si="93"/>
        <v>#DIV/0!</v>
      </c>
    </row>
    <row r="219" spans="1:34" x14ac:dyDescent="0.2">
      <c r="E219" s="4"/>
      <c r="F219" s="5"/>
      <c r="G219" s="5"/>
      <c r="H219" s="5"/>
      <c r="I219" s="5"/>
      <c r="J219" s="5"/>
      <c r="K219" s="5"/>
      <c r="L219" s="5"/>
      <c r="M219" s="5"/>
      <c r="N219" s="6"/>
      <c r="X219" s="6"/>
    </row>
    <row r="220" spans="1:34" x14ac:dyDescent="0.2">
      <c r="A220">
        <v>390900</v>
      </c>
      <c r="B220" t="s">
        <v>289</v>
      </c>
      <c r="C220" t="s">
        <v>290</v>
      </c>
      <c r="D220" t="s">
        <v>291</v>
      </c>
      <c r="E220" s="4">
        <v>28</v>
      </c>
      <c r="F220" s="5" t="s">
        <v>429</v>
      </c>
      <c r="G220" s="5"/>
      <c r="H220" s="5">
        <v>878336</v>
      </c>
      <c r="I220" s="5">
        <f>302855+311379+94075+85108</f>
        <v>793417</v>
      </c>
      <c r="J220" s="5">
        <f>41096+43408</f>
        <v>84504</v>
      </c>
      <c r="K220" s="5">
        <f>320+95</f>
        <v>415</v>
      </c>
      <c r="L220" s="5">
        <f>I220+J220+K220</f>
        <v>878336</v>
      </c>
      <c r="M220" s="5">
        <f>L220-H220</f>
        <v>0</v>
      </c>
      <c r="N220" s="6">
        <f>(I220-J220)/H220</f>
        <v>0.80710912452637718</v>
      </c>
      <c r="O220">
        <v>34</v>
      </c>
      <c r="R220">
        <v>914808</v>
      </c>
      <c r="S220">
        <f>308092+67776+324373+65023</f>
        <v>765264</v>
      </c>
      <c r="T220">
        <f>71516+76331</f>
        <v>147847</v>
      </c>
      <c r="U220">
        <f>986+711</f>
        <v>1697</v>
      </c>
      <c r="V220">
        <f>SUM(S220:U220)</f>
        <v>914808</v>
      </c>
      <c r="W220">
        <f>R220-V220</f>
        <v>0</v>
      </c>
      <c r="X220" s="6">
        <f>(S220-T220)/R220</f>
        <v>0.67491429895672095</v>
      </c>
      <c r="Y220">
        <v>21</v>
      </c>
      <c r="AB220">
        <v>876050</v>
      </c>
      <c r="AC220">
        <f>304679+318263</f>
        <v>622942</v>
      </c>
      <c r="AD220">
        <f>120873+129945</f>
        <v>250818</v>
      </c>
      <c r="AE220">
        <f>194+377+332+100+239+197+373+206+86+186</f>
        <v>2290</v>
      </c>
      <c r="AF220">
        <f>SUM(AC220:AE220)</f>
        <v>876050</v>
      </c>
      <c r="AG220">
        <f>AB220-AF220</f>
        <v>0</v>
      </c>
      <c r="AH220">
        <f>(AC220-AD220)/AB220</f>
        <v>0.42477484161862905</v>
      </c>
    </row>
    <row r="221" spans="1:34" x14ac:dyDescent="0.2">
      <c r="A221">
        <v>390865</v>
      </c>
      <c r="B221" t="s">
        <v>289</v>
      </c>
      <c r="C221" t="s">
        <v>292</v>
      </c>
      <c r="D221" t="s">
        <v>293</v>
      </c>
      <c r="E221" s="4">
        <v>28</v>
      </c>
      <c r="F221" s="5" t="s">
        <v>430</v>
      </c>
      <c r="G221" s="5"/>
      <c r="H221" s="5">
        <v>455610</v>
      </c>
      <c r="I221" s="5">
        <f>177184+196879+13204+12586</f>
        <v>399853</v>
      </c>
      <c r="J221" s="5">
        <f>26584+29009</f>
        <v>55593</v>
      </c>
      <c r="K221" s="5">
        <f>110+54</f>
        <v>164</v>
      </c>
      <c r="L221" s="5">
        <f>I221+J221+K221</f>
        <v>455610</v>
      </c>
      <c r="M221" s="5">
        <f>L221-H221</f>
        <v>0</v>
      </c>
      <c r="N221" s="6">
        <f>(I221-J221)/H221</f>
        <v>0.75560237922784834</v>
      </c>
      <c r="O221">
        <v>34</v>
      </c>
      <c r="R221">
        <v>503998</v>
      </c>
      <c r="S221">
        <f>191407+10291+213296+10319</f>
        <v>425313</v>
      </c>
      <c r="T221">
        <f>36884+41312</f>
        <v>78196</v>
      </c>
      <c r="U221">
        <f>292+197</f>
        <v>489</v>
      </c>
      <c r="V221">
        <f>SUM(S221:U221)</f>
        <v>503998</v>
      </c>
      <c r="W221">
        <f>R221-V221</f>
        <v>0</v>
      </c>
      <c r="X221" s="6">
        <f>(S221-T221)/R221</f>
        <v>0.68872693939261664</v>
      </c>
      <c r="Y221">
        <v>21</v>
      </c>
      <c r="AB221">
        <v>502550</v>
      </c>
      <c r="AC221">
        <f>184957+207911</f>
        <v>392868</v>
      </c>
      <c r="AD221">
        <f>51264+57490</f>
        <v>108754</v>
      </c>
      <c r="AE221">
        <f>65+116+189+49+91+63+132+120+45+58</f>
        <v>928</v>
      </c>
      <c r="AF221">
        <f>SUM(AC221:AE221)</f>
        <v>502550</v>
      </c>
      <c r="AG221">
        <f>AB221-AF221</f>
        <v>0</v>
      </c>
      <c r="AH221">
        <f>(AC221-AD221)/AB221</f>
        <v>0.56534474181673466</v>
      </c>
    </row>
    <row r="222" spans="1:34" x14ac:dyDescent="0.2">
      <c r="A222">
        <v>394845</v>
      </c>
      <c r="B222" t="s">
        <v>289</v>
      </c>
      <c r="C222" t="s">
        <v>294</v>
      </c>
      <c r="D222" t="s">
        <v>295</v>
      </c>
      <c r="E222" s="4">
        <v>28</v>
      </c>
      <c r="F222" s="5" t="s">
        <v>431</v>
      </c>
      <c r="G222" s="5"/>
      <c r="H222" s="5">
        <f>(167624)+(96)</f>
        <v>167720</v>
      </c>
      <c r="I222" s="5">
        <f>(62366+63928+14846+11820)+(11+80+0+5)</f>
        <v>153056</v>
      </c>
      <c r="J222" s="5">
        <f>(7397+7218)</f>
        <v>14615</v>
      </c>
      <c r="K222" s="5">
        <f>(32+17)</f>
        <v>49</v>
      </c>
      <c r="L222" s="5">
        <f>I222+J222+K222</f>
        <v>167720</v>
      </c>
      <c r="M222" s="5">
        <f>L222-H222</f>
        <v>0</v>
      </c>
      <c r="N222" s="6">
        <f>(I222-J222)/H222</f>
        <v>0.82542928690674933</v>
      </c>
      <c r="O222">
        <v>34</v>
      </c>
      <c r="R222">
        <v>168330</v>
      </c>
      <c r="S222">
        <f>60783+11528+64590+9882</f>
        <v>146783</v>
      </c>
      <c r="T222">
        <f>10919+10540</f>
        <v>21459</v>
      </c>
      <c r="U222">
        <f>55+33</f>
        <v>88</v>
      </c>
      <c r="V222">
        <f>SUM(S222:U222)</f>
        <v>168330</v>
      </c>
      <c r="W222">
        <f>R222-V222</f>
        <v>0</v>
      </c>
      <c r="X222" s="6">
        <f>(S222-T222)/R222</f>
        <v>0.74451375274757914</v>
      </c>
      <c r="Y222">
        <v>21</v>
      </c>
      <c r="AB222">
        <v>166689</v>
      </c>
      <c r="AC222">
        <f>65511+69273</f>
        <v>134784</v>
      </c>
      <c r="AD222">
        <f>15624+16053</f>
        <v>31677</v>
      </c>
      <c r="AE222">
        <f>22+6+30+21+38+26+20+25+14+26</f>
        <v>228</v>
      </c>
      <c r="AF222">
        <f>SUM(AC222:AE222)</f>
        <v>166689</v>
      </c>
      <c r="AG222">
        <f>AB222-AF222</f>
        <v>0</v>
      </c>
      <c r="AH222">
        <f>(AC222-AD222)/AB222</f>
        <v>0.61855911307884748</v>
      </c>
    </row>
    <row r="223" spans="1:34" x14ac:dyDescent="0.2">
      <c r="A223">
        <v>391110</v>
      </c>
      <c r="B223" t="s">
        <v>289</v>
      </c>
      <c r="C223" t="s">
        <v>296</v>
      </c>
      <c r="D223" t="s">
        <v>15</v>
      </c>
      <c r="E223" s="4">
        <v>28</v>
      </c>
      <c r="F223" s="5" t="s">
        <v>432</v>
      </c>
      <c r="G223" s="5"/>
      <c r="H223" s="5">
        <v>210718</v>
      </c>
      <c r="I223" s="5">
        <f>88347+92738+5023+4306</f>
        <v>190414</v>
      </c>
      <c r="J223" s="5">
        <f>9970+10303</f>
        <v>20273</v>
      </c>
      <c r="K223" s="5">
        <f>18+13</f>
        <v>31</v>
      </c>
      <c r="L223" s="5">
        <f>I223+J223+K223</f>
        <v>210718</v>
      </c>
      <c r="M223" s="5">
        <f>L223-H223</f>
        <v>0</v>
      </c>
      <c r="N223" s="6">
        <f>(I223-J223)/H223</f>
        <v>0.80743458081416875</v>
      </c>
      <c r="O223">
        <v>34</v>
      </c>
      <c r="R223">
        <v>243872</v>
      </c>
      <c r="S223">
        <f>96757+4103+104859+3880</f>
        <v>209599</v>
      </c>
      <c r="T223">
        <f>16637+17514</f>
        <v>34151</v>
      </c>
      <c r="U223">
        <f>73+49</f>
        <v>122</v>
      </c>
      <c r="V223">
        <f>SUM(S223:U223)</f>
        <v>243872</v>
      </c>
      <c r="W223">
        <f>R223-V223</f>
        <v>0</v>
      </c>
      <c r="X223" s="6">
        <f>(S223-T223)/R223</f>
        <v>0.71942658443773788</v>
      </c>
      <c r="Y223">
        <v>21</v>
      </c>
      <c r="AB223">
        <v>262332</v>
      </c>
      <c r="AC223">
        <f>98538+106247</f>
        <v>204785</v>
      </c>
      <c r="AD223">
        <f>27531+29757</f>
        <v>57288</v>
      </c>
      <c r="AE223">
        <f>14+35+34+16+39+20+45+21+10+25</f>
        <v>259</v>
      </c>
      <c r="AF223">
        <f>SUM(AC223:AE223)</f>
        <v>262332</v>
      </c>
      <c r="AG223">
        <f>AB223-AF223</f>
        <v>0</v>
      </c>
      <c r="AH223">
        <f>(AC223-AD223)/AB223</f>
        <v>0.56225317536556729</v>
      </c>
    </row>
    <row r="224" spans="1:34" x14ac:dyDescent="0.2">
      <c r="A224">
        <v>390035</v>
      </c>
      <c r="B224" t="s">
        <v>289</v>
      </c>
      <c r="C224" t="s">
        <v>297</v>
      </c>
      <c r="D224" t="s">
        <v>298</v>
      </c>
      <c r="E224" s="4">
        <v>28</v>
      </c>
      <c r="F224" s="5" t="s">
        <v>433</v>
      </c>
      <c r="G224" s="5"/>
      <c r="H224" s="5">
        <v>244791</v>
      </c>
      <c r="I224" s="5">
        <f>101686+105376+13750+11670</f>
        <v>232482</v>
      </c>
      <c r="J224" s="5">
        <f>6065+6195</f>
        <v>12260</v>
      </c>
      <c r="K224" s="5">
        <f>28+21</f>
        <v>49</v>
      </c>
      <c r="L224" s="5">
        <f>I224+J224+K224</f>
        <v>244791</v>
      </c>
      <c r="M224" s="5">
        <f>L224-H224</f>
        <v>0</v>
      </c>
      <c r="N224" s="6">
        <f>(I224-J224)/H224</f>
        <v>0.89963274793599435</v>
      </c>
      <c r="O224">
        <v>34</v>
      </c>
      <c r="R224">
        <v>274605</v>
      </c>
      <c r="S224">
        <f>111343+11075+118188+10121</f>
        <v>250727</v>
      </c>
      <c r="T224">
        <f>11736+12026</f>
        <v>23762</v>
      </c>
      <c r="U224">
        <f>71+45</f>
        <v>116</v>
      </c>
      <c r="V224">
        <f>SUM(S224:U224)</f>
        <v>274605</v>
      </c>
      <c r="W224">
        <f>R224-V224</f>
        <v>0</v>
      </c>
      <c r="X224" s="6">
        <f>(S224-T224)/R224</f>
        <v>0.82651444802534546</v>
      </c>
      <c r="Y224">
        <v>21</v>
      </c>
      <c r="AB224">
        <v>290351</v>
      </c>
      <c r="AC224">
        <f>122388+130069</f>
        <v>252457</v>
      </c>
      <c r="AD224">
        <f>18325+19311</f>
        <v>37636</v>
      </c>
      <c r="AE224">
        <f>23+18+50+6+25+28+32+46+11+19</f>
        <v>258</v>
      </c>
      <c r="AF224">
        <f>SUM(AC224:AE224)</f>
        <v>290351</v>
      </c>
      <c r="AG224">
        <f>AB224-AF224</f>
        <v>0</v>
      </c>
      <c r="AH224">
        <f>(AC224-AD224)/AB224</f>
        <v>0.73986657528301947</v>
      </c>
    </row>
    <row r="225" spans="1:34" x14ac:dyDescent="0.2">
      <c r="E225" s="4"/>
      <c r="F225" s="5"/>
      <c r="G225" s="5"/>
      <c r="H225" s="5"/>
      <c r="I225" s="5"/>
      <c r="J225" s="5"/>
      <c r="K225" s="5"/>
      <c r="L225" s="5"/>
      <c r="M225" s="5"/>
      <c r="N225" s="6"/>
      <c r="X225" s="6"/>
    </row>
    <row r="226" spans="1:34" x14ac:dyDescent="0.2">
      <c r="B226" t="s">
        <v>299</v>
      </c>
      <c r="C226" t="s">
        <v>21</v>
      </c>
      <c r="E226" s="4"/>
      <c r="F226" s="5"/>
      <c r="G226" s="5"/>
      <c r="H226" s="5"/>
      <c r="I226" s="5"/>
      <c r="J226" s="5"/>
      <c r="K226" s="5"/>
      <c r="L226" s="5">
        <f>I226+J226+K226</f>
        <v>0</v>
      </c>
      <c r="M226" s="5">
        <f>L226-H226</f>
        <v>0</v>
      </c>
      <c r="N226" s="6"/>
      <c r="V226">
        <f>SUM(S226:U226)</f>
        <v>0</v>
      </c>
      <c r="W226">
        <f>R226-V226</f>
        <v>0</v>
      </c>
      <c r="X226" s="6"/>
      <c r="AF226">
        <f>SUM(AC226:AE226)</f>
        <v>0</v>
      </c>
      <c r="AG226">
        <f>AB226-AF226</f>
        <v>0</v>
      </c>
      <c r="AH226" t="e">
        <f>(AC226-AD226)/AB226</f>
        <v>#DIV/0!</v>
      </c>
    </row>
    <row r="227" spans="1:34" x14ac:dyDescent="0.2">
      <c r="E227" s="4"/>
      <c r="F227" s="5"/>
      <c r="G227" s="5"/>
      <c r="H227" s="5"/>
      <c r="I227" s="5"/>
      <c r="J227" s="5"/>
      <c r="K227" s="5"/>
      <c r="L227" s="5"/>
      <c r="M227" s="5"/>
      <c r="N227" s="6"/>
      <c r="X227" s="6"/>
    </row>
    <row r="228" spans="1:34" x14ac:dyDescent="0.2">
      <c r="A228">
        <v>410905</v>
      </c>
      <c r="B228" t="s">
        <v>300</v>
      </c>
      <c r="C228" t="s">
        <v>111</v>
      </c>
      <c r="D228" t="s">
        <v>301</v>
      </c>
      <c r="E228" s="4">
        <v>28</v>
      </c>
      <c r="F228" s="5" t="s">
        <v>428</v>
      </c>
      <c r="G228" s="5"/>
      <c r="H228" s="5">
        <v>305394</v>
      </c>
      <c r="I228" s="5">
        <f>124932+136167+20844+17764</f>
        <v>299707</v>
      </c>
      <c r="J228" s="5">
        <f>1025+906</f>
        <v>1931</v>
      </c>
      <c r="K228" s="5">
        <f>2334+1422</f>
        <v>3756</v>
      </c>
      <c r="L228" s="5">
        <f>I228+J228+K228</f>
        <v>305394</v>
      </c>
      <c r="M228" s="5">
        <f>L228-H228</f>
        <v>0</v>
      </c>
      <c r="N228" s="6">
        <f>(I228-J228)/H228</f>
        <v>0.97505517462687541</v>
      </c>
      <c r="O228">
        <v>34</v>
      </c>
      <c r="R228">
        <v>373628</v>
      </c>
      <c r="S228">
        <f>155586+17730+170578+16494</f>
        <v>360388</v>
      </c>
      <c r="T228">
        <f>4798+4731</f>
        <v>9529</v>
      </c>
      <c r="U228">
        <f>2225+1486</f>
        <v>3711</v>
      </c>
      <c r="V228">
        <f>SUM(S228:U228)</f>
        <v>373628</v>
      </c>
      <c r="W228">
        <f>R228-V228</f>
        <v>0</v>
      </c>
      <c r="X228" s="6">
        <f>(S228-T228)/R228</f>
        <v>0.93905970644598369</v>
      </c>
      <c r="Y228">
        <v>21</v>
      </c>
      <c r="AB228">
        <v>372676</v>
      </c>
      <c r="AC228">
        <f>166535+185222</f>
        <v>351757</v>
      </c>
      <c r="AD228">
        <f>7689+7948</f>
        <v>15637</v>
      </c>
      <c r="AE228">
        <f>448+892+1090+296+142+457+880+779+172+126</f>
        <v>5282</v>
      </c>
      <c r="AF228">
        <f>SUM(AC228:AE228)</f>
        <v>372676</v>
      </c>
      <c r="AG228">
        <f>AB228-AF228</f>
        <v>0</v>
      </c>
      <c r="AH228">
        <f>(AC228-AD228)/AB228</f>
        <v>0.901909433395228</v>
      </c>
    </row>
    <row r="229" spans="1:34" x14ac:dyDescent="0.2">
      <c r="E229" s="4"/>
      <c r="F229" s="5"/>
      <c r="G229" s="5"/>
      <c r="H229" s="5"/>
      <c r="I229" s="5"/>
      <c r="J229" s="5"/>
      <c r="K229" s="5"/>
      <c r="L229" s="5"/>
      <c r="M229" s="5"/>
      <c r="N229" s="6"/>
      <c r="X229" s="6"/>
    </row>
    <row r="230" spans="1:34" x14ac:dyDescent="0.2">
      <c r="A230">
        <v>423320</v>
      </c>
      <c r="B230" t="s">
        <v>302</v>
      </c>
      <c r="C230" t="s">
        <v>303</v>
      </c>
      <c r="D230" t="s">
        <v>304</v>
      </c>
      <c r="E230" s="4">
        <v>28</v>
      </c>
      <c r="F230" s="5" t="s">
        <v>422</v>
      </c>
      <c r="G230" s="5"/>
      <c r="H230" s="5">
        <v>6079</v>
      </c>
      <c r="I230" s="5">
        <f>2433+2448+633+474</f>
        <v>5988</v>
      </c>
      <c r="J230" s="5">
        <f>49+36</f>
        <v>85</v>
      </c>
      <c r="K230" s="5">
        <f>4+2</f>
        <v>6</v>
      </c>
      <c r="L230" s="5">
        <f t="shared" ref="L230:L235" si="94">I230+J230+K230</f>
        <v>6079</v>
      </c>
      <c r="M230" s="5">
        <f t="shared" ref="M230:M235" si="95">L230-H230</f>
        <v>0</v>
      </c>
      <c r="N230" s="6">
        <f t="shared" ref="N230:N235" si="96">(I230-J230)/H230</f>
        <v>0.97104786971541368</v>
      </c>
      <c r="O230">
        <v>38</v>
      </c>
      <c r="R230">
        <v>5259</v>
      </c>
      <c r="S230">
        <f>2130+445+2283+319</f>
        <v>5177</v>
      </c>
      <c r="T230">
        <f>42+40</f>
        <v>82</v>
      </c>
      <c r="V230">
        <f t="shared" ref="V230:V235" si="97">SUM(S230:U230)</f>
        <v>5259</v>
      </c>
      <c r="W230">
        <f t="shared" ref="W230:W235" si="98">R230-V230</f>
        <v>0</v>
      </c>
      <c r="X230" s="6">
        <f t="shared" ref="X230:X235" si="99">(S230-T230)/R230</f>
        <v>0.96881536413766878</v>
      </c>
      <c r="Y230">
        <v>22</v>
      </c>
      <c r="AB230">
        <v>4122</v>
      </c>
      <c r="AC230">
        <v>3917</v>
      </c>
      <c r="AD230">
        <v>204</v>
      </c>
      <c r="AE230">
        <v>1</v>
      </c>
      <c r="AF230">
        <f t="shared" ref="AF230:AF235" si="100">SUM(AC230:AE230)</f>
        <v>4122</v>
      </c>
      <c r="AG230">
        <f t="shared" ref="AG230:AG235" si="101">AB230-AF230</f>
        <v>0</v>
      </c>
      <c r="AH230">
        <f t="shared" ref="AH230:AH235" si="102">(AC230-AD230)/AB230</f>
        <v>0.90077632217370207</v>
      </c>
    </row>
    <row r="231" spans="1:34" x14ac:dyDescent="0.2">
      <c r="A231">
        <v>427234</v>
      </c>
      <c r="B231" t="s">
        <v>302</v>
      </c>
      <c r="C231" t="s">
        <v>305</v>
      </c>
      <c r="D231" t="s">
        <v>304</v>
      </c>
      <c r="E231" s="4">
        <v>28</v>
      </c>
      <c r="F231" s="5" t="s">
        <v>424</v>
      </c>
      <c r="G231" s="5"/>
      <c r="H231" s="5">
        <v>671559</v>
      </c>
      <c r="I231" s="5">
        <f>253986+270544+44805+39801</f>
        <v>609136</v>
      </c>
      <c r="J231" s="5">
        <f>31056+31160</f>
        <v>62216</v>
      </c>
      <c r="K231" s="5">
        <f>160+47</f>
        <v>207</v>
      </c>
      <c r="L231" s="5">
        <f t="shared" si="94"/>
        <v>671559</v>
      </c>
      <c r="M231" s="5">
        <f t="shared" si="95"/>
        <v>0</v>
      </c>
      <c r="N231" s="6">
        <f t="shared" si="96"/>
        <v>0.81440349991586736</v>
      </c>
      <c r="O231">
        <v>34</v>
      </c>
      <c r="R231">
        <v>676806</v>
      </c>
      <c r="S231">
        <f>254390+33571+274452+31412</f>
        <v>593825</v>
      </c>
      <c r="T231">
        <f>40095+42358</f>
        <v>82453</v>
      </c>
      <c r="U231">
        <f>351+177</f>
        <v>528</v>
      </c>
      <c r="V231">
        <f t="shared" si="97"/>
        <v>676806</v>
      </c>
      <c r="W231">
        <f t="shared" si="98"/>
        <v>0</v>
      </c>
      <c r="X231" s="6">
        <f t="shared" si="99"/>
        <v>0.75556658776665686</v>
      </c>
      <c r="Y231">
        <v>21</v>
      </c>
      <c r="AB231">
        <v>604332</v>
      </c>
      <c r="AC231">
        <f>240041+262552</f>
        <v>502593</v>
      </c>
      <c r="AD231">
        <f>48670+52022</f>
        <v>100692</v>
      </c>
      <c r="AE231">
        <f>65+50+280+42+170+85+38+208+38+71</f>
        <v>1047</v>
      </c>
      <c r="AF231">
        <f t="shared" si="100"/>
        <v>604332</v>
      </c>
      <c r="AG231">
        <f t="shared" si="101"/>
        <v>0</v>
      </c>
      <c r="AH231">
        <f t="shared" si="102"/>
        <v>0.66503345843013439</v>
      </c>
    </row>
    <row r="232" spans="1:34" x14ac:dyDescent="0.2">
      <c r="A232">
        <v>424920</v>
      </c>
      <c r="B232" t="s">
        <v>302</v>
      </c>
      <c r="C232" t="s">
        <v>306</v>
      </c>
      <c r="D232" t="s">
        <v>307</v>
      </c>
      <c r="E232" s="4">
        <v>28</v>
      </c>
      <c r="F232" s="5" t="s">
        <v>425</v>
      </c>
      <c r="G232" s="5"/>
      <c r="H232" s="5">
        <v>83893</v>
      </c>
      <c r="I232" s="5">
        <f>34382+38943+1816+1468</f>
        <v>76609</v>
      </c>
      <c r="J232" s="5">
        <f>3602+3661</f>
        <v>7263</v>
      </c>
      <c r="K232" s="5">
        <f>13+8</f>
        <v>21</v>
      </c>
      <c r="L232" s="5">
        <f t="shared" si="94"/>
        <v>83893</v>
      </c>
      <c r="M232" s="5">
        <f t="shared" si="95"/>
        <v>0</v>
      </c>
      <c r="N232" s="6">
        <f t="shared" si="96"/>
        <v>0.82660055070148886</v>
      </c>
      <c r="O232">
        <v>34</v>
      </c>
      <c r="R232">
        <v>89544</v>
      </c>
      <c r="S232">
        <f>35542+1547+40969+1331</f>
        <v>79389</v>
      </c>
      <c r="T232">
        <f>4901+5233</f>
        <v>10134</v>
      </c>
      <c r="U232">
        <f>18+3</f>
        <v>21</v>
      </c>
      <c r="V232">
        <f t="shared" si="97"/>
        <v>89544</v>
      </c>
      <c r="W232">
        <f t="shared" si="98"/>
        <v>0</v>
      </c>
      <c r="X232" s="6">
        <f t="shared" si="99"/>
        <v>0.7734186545162155</v>
      </c>
      <c r="Y232">
        <v>21</v>
      </c>
      <c r="AB232">
        <v>79697</v>
      </c>
      <c r="AC232">
        <f>29223+35277</f>
        <v>64500</v>
      </c>
      <c r="AD232">
        <f>7121+7975</f>
        <v>15096</v>
      </c>
      <c r="AE232">
        <f>5+3+11+7+27+7+13+11+3+14</f>
        <v>101</v>
      </c>
      <c r="AF232">
        <f t="shared" si="100"/>
        <v>79697</v>
      </c>
      <c r="AG232">
        <f t="shared" si="101"/>
        <v>0</v>
      </c>
      <c r="AH232">
        <f t="shared" si="102"/>
        <v>0.61989786315670603</v>
      </c>
    </row>
    <row r="233" spans="1:34" x14ac:dyDescent="0.2">
      <c r="A233">
        <v>420855</v>
      </c>
      <c r="B233" t="s">
        <v>302</v>
      </c>
      <c r="C233" t="s">
        <v>308</v>
      </c>
      <c r="D233" t="s">
        <v>309</v>
      </c>
      <c r="E233" s="4">
        <v>28</v>
      </c>
      <c r="F233" s="5" t="s">
        <v>426</v>
      </c>
      <c r="G233" s="5"/>
      <c r="H233" s="5">
        <f>11647+46843</f>
        <v>58490</v>
      </c>
      <c r="I233" s="5">
        <f>(5307+5570+377+351)+ (19288+19509+3995+3444)</f>
        <v>57841</v>
      </c>
      <c r="J233" s="5">
        <f>(19+21)+(296+302)</f>
        <v>638</v>
      </c>
      <c r="K233" s="5">
        <f>(1+1)+(6+3)</f>
        <v>11</v>
      </c>
      <c r="L233" s="5">
        <f t="shared" si="94"/>
        <v>58490</v>
      </c>
      <c r="M233" s="5">
        <f t="shared" si="95"/>
        <v>0</v>
      </c>
      <c r="N233" s="6">
        <f t="shared" si="96"/>
        <v>0.97799623867327745</v>
      </c>
      <c r="O233">
        <v>34</v>
      </c>
      <c r="R233">
        <v>66340</v>
      </c>
      <c r="S233">
        <f>29372+3701+29157+3370</f>
        <v>65600</v>
      </c>
      <c r="T233">
        <f>359+357</f>
        <v>716</v>
      </c>
      <c r="U233">
        <f>20+4</f>
        <v>24</v>
      </c>
      <c r="V233">
        <f t="shared" si="97"/>
        <v>66340</v>
      </c>
      <c r="W233">
        <f t="shared" si="98"/>
        <v>0</v>
      </c>
      <c r="X233" s="6">
        <f t="shared" si="99"/>
        <v>0.97805245703949351</v>
      </c>
      <c r="Y233">
        <v>21</v>
      </c>
      <c r="AB233">
        <v>75408</v>
      </c>
      <c r="AC233">
        <f>37112+37163</f>
        <v>74275</v>
      </c>
      <c r="AD233">
        <f>499+515</f>
        <v>1014</v>
      </c>
      <c r="AE233">
        <f>10+11+21+2+42+3+9+13+1+7</f>
        <v>119</v>
      </c>
      <c r="AF233">
        <f t="shared" si="100"/>
        <v>75408</v>
      </c>
      <c r="AG233">
        <f t="shared" si="101"/>
        <v>0</v>
      </c>
      <c r="AH233">
        <f t="shared" si="102"/>
        <v>0.97152821981752602</v>
      </c>
    </row>
    <row r="234" spans="1:34" x14ac:dyDescent="0.2">
      <c r="A234">
        <v>427180</v>
      </c>
      <c r="B234" t="s">
        <v>302</v>
      </c>
      <c r="C234" t="s">
        <v>310</v>
      </c>
      <c r="D234" t="s">
        <v>310</v>
      </c>
      <c r="E234" s="4">
        <v>28</v>
      </c>
      <c r="F234" s="5" t="s">
        <v>427</v>
      </c>
      <c r="G234" s="5"/>
      <c r="H234" s="5">
        <v>1931334</v>
      </c>
      <c r="I234" s="5">
        <f>677008+711244+145258+145067</f>
        <v>1678577</v>
      </c>
      <c r="J234" s="5">
        <f>118859+132021</f>
        <v>250880</v>
      </c>
      <c r="K234" s="5">
        <f>1425+452</f>
        <v>1877</v>
      </c>
      <c r="L234" s="5">
        <f t="shared" si="94"/>
        <v>1931334</v>
      </c>
      <c r="M234" s="5">
        <f t="shared" si="95"/>
        <v>0</v>
      </c>
      <c r="N234" s="6">
        <f t="shared" si="96"/>
        <v>0.7392284296760685</v>
      </c>
      <c r="O234">
        <v>34</v>
      </c>
      <c r="R234">
        <v>2071605</v>
      </c>
      <c r="S234">
        <f>708670+113797+751380+118790</f>
        <v>1692637</v>
      </c>
      <c r="T234">
        <f>177505+198536</f>
        <v>376041</v>
      </c>
      <c r="U234">
        <f>1890+1037</f>
        <v>2927</v>
      </c>
      <c r="V234">
        <f t="shared" si="97"/>
        <v>2071605</v>
      </c>
      <c r="W234">
        <f t="shared" si="98"/>
        <v>0</v>
      </c>
      <c r="X234" s="6">
        <f t="shared" si="99"/>
        <v>0.63554393815423305</v>
      </c>
      <c r="Y234">
        <v>21</v>
      </c>
      <c r="AB234">
        <v>2002512</v>
      </c>
      <c r="AC234">
        <f>707586+759893</f>
        <v>1467479</v>
      </c>
      <c r="AD234">
        <f>250256+278984</f>
        <v>529240</v>
      </c>
      <c r="AE234">
        <f>438+286+1091+647+741+498+322+719+456+595</f>
        <v>5793</v>
      </c>
      <c r="AF234">
        <f t="shared" si="100"/>
        <v>2002512</v>
      </c>
      <c r="AG234">
        <f t="shared" si="101"/>
        <v>0</v>
      </c>
      <c r="AH234">
        <f t="shared" si="102"/>
        <v>0.46853102503255911</v>
      </c>
    </row>
    <row r="235" spans="1:34" x14ac:dyDescent="0.2">
      <c r="A235">
        <v>425684</v>
      </c>
      <c r="B235" t="s">
        <v>302</v>
      </c>
      <c r="C235" t="s">
        <v>311</v>
      </c>
      <c r="D235" t="s">
        <v>312</v>
      </c>
      <c r="E235" s="4">
        <v>28</v>
      </c>
      <c r="F235" s="5" t="s">
        <v>423</v>
      </c>
      <c r="G235" s="5"/>
      <c r="H235" s="5">
        <v>11111</v>
      </c>
      <c r="I235" s="5">
        <f>4887+5241+505+425</f>
        <v>11058</v>
      </c>
      <c r="J235" s="5">
        <f>27+26</f>
        <v>53</v>
      </c>
      <c r="K235" s="5">
        <v>0</v>
      </c>
      <c r="L235" s="5">
        <f t="shared" si="94"/>
        <v>11111</v>
      </c>
      <c r="M235" s="5">
        <f t="shared" si="95"/>
        <v>0</v>
      </c>
      <c r="N235" s="6">
        <f t="shared" si="96"/>
        <v>0.99045990459904598</v>
      </c>
      <c r="O235">
        <v>34</v>
      </c>
      <c r="R235">
        <v>11811</v>
      </c>
      <c r="S235">
        <f>5248+409+5755+373</f>
        <v>11785</v>
      </c>
      <c r="T235">
        <f>13+12</f>
        <v>25</v>
      </c>
      <c r="U235">
        <v>1</v>
      </c>
      <c r="V235">
        <f t="shared" si="97"/>
        <v>11811</v>
      </c>
      <c r="W235">
        <f t="shared" si="98"/>
        <v>0</v>
      </c>
      <c r="X235" s="6">
        <f t="shared" si="99"/>
        <v>0.99568199136398272</v>
      </c>
      <c r="Y235">
        <v>21</v>
      </c>
      <c r="AB235">
        <v>11932</v>
      </c>
      <c r="AC235">
        <f>5642+6277</f>
        <v>11919</v>
      </c>
      <c r="AD235">
        <f>6+6+1</f>
        <v>13</v>
      </c>
      <c r="AF235">
        <f t="shared" si="100"/>
        <v>11932</v>
      </c>
      <c r="AG235">
        <f t="shared" si="101"/>
        <v>0</v>
      </c>
      <c r="AH235">
        <f t="shared" si="102"/>
        <v>0.99782098558498156</v>
      </c>
    </row>
    <row r="236" spans="1:34" x14ac:dyDescent="0.2">
      <c r="E236" s="4"/>
      <c r="F236" s="5"/>
      <c r="G236" s="5"/>
      <c r="H236" s="5"/>
      <c r="I236" s="5"/>
      <c r="J236" s="5"/>
      <c r="K236" s="5"/>
      <c r="L236" s="5"/>
      <c r="M236" s="5"/>
      <c r="N236" s="6"/>
      <c r="X236" s="6"/>
    </row>
    <row r="237" spans="1:34" x14ac:dyDescent="0.2">
      <c r="B237" t="s">
        <v>313</v>
      </c>
      <c r="C237" t="s">
        <v>21</v>
      </c>
      <c r="E237" s="4"/>
      <c r="F237" s="5"/>
      <c r="G237" s="5"/>
      <c r="H237" s="5"/>
      <c r="I237" s="5"/>
      <c r="J237" s="5"/>
      <c r="K237" s="5"/>
      <c r="L237" s="5">
        <f>I237+J237+K237</f>
        <v>0</v>
      </c>
      <c r="M237" s="5">
        <f>L237-H237</f>
        <v>0</v>
      </c>
      <c r="N237" s="6"/>
      <c r="V237">
        <f>SUM(S237:U237)</f>
        <v>0</v>
      </c>
      <c r="W237">
        <f>R237-V237</f>
        <v>0</v>
      </c>
      <c r="X237" s="6"/>
      <c r="AF237">
        <f>SUM(AC237:AE237)</f>
        <v>0</v>
      </c>
      <c r="AG237">
        <f>AB237-AF237</f>
        <v>0</v>
      </c>
      <c r="AH237" t="e">
        <f>(AC237-AD237)/AB237</f>
        <v>#DIV/0!</v>
      </c>
    </row>
    <row r="238" spans="1:34" x14ac:dyDescent="0.2">
      <c r="E238" s="4"/>
      <c r="F238" s="5"/>
      <c r="G238" s="5"/>
      <c r="H238" s="5"/>
      <c r="I238" s="5"/>
      <c r="J238" s="5"/>
      <c r="K238" s="5"/>
      <c r="L238" s="5"/>
      <c r="M238" s="5"/>
      <c r="N238" s="6"/>
      <c r="X238" s="6"/>
    </row>
    <row r="239" spans="1:34" x14ac:dyDescent="0.2">
      <c r="A239">
        <v>440310</v>
      </c>
      <c r="B239" t="s">
        <v>314</v>
      </c>
      <c r="C239" t="s">
        <v>315</v>
      </c>
      <c r="D239" t="s">
        <v>315</v>
      </c>
      <c r="E239" s="4">
        <v>28</v>
      </c>
      <c r="F239" s="5" t="s">
        <v>418</v>
      </c>
      <c r="G239" s="5"/>
      <c r="H239" s="5">
        <v>30532</v>
      </c>
      <c r="I239" s="5">
        <f>13758+11013+1799+2246</f>
        <v>28816</v>
      </c>
      <c r="J239" s="5">
        <f>807+863</f>
        <v>1670</v>
      </c>
      <c r="K239" s="5">
        <f>33+13</f>
        <v>46</v>
      </c>
      <c r="L239" s="5">
        <f>I239+J239+K239</f>
        <v>30532</v>
      </c>
      <c r="M239" s="5">
        <f>L239-H239</f>
        <v>0</v>
      </c>
      <c r="N239" s="6">
        <f>(I239-J239)/H239</f>
        <v>0.88909996069697361</v>
      </c>
      <c r="O239">
        <v>34</v>
      </c>
      <c r="R239">
        <v>37564</v>
      </c>
      <c r="S239">
        <f>18190+1430+13673+1949</f>
        <v>35242</v>
      </c>
      <c r="T239">
        <f>1172+1063</f>
        <v>2235</v>
      </c>
      <c r="U239">
        <f>72+15</f>
        <v>87</v>
      </c>
      <c r="V239">
        <f>SUM(S239:U239)</f>
        <v>37564</v>
      </c>
      <c r="W239">
        <f>R239-V239</f>
        <v>0</v>
      </c>
      <c r="X239" s="6">
        <f>(S239-T239)/R239</f>
        <v>0.87868704078372906</v>
      </c>
      <c r="Y239">
        <v>21</v>
      </c>
      <c r="AB239">
        <v>47049</v>
      </c>
      <c r="AC239">
        <f>26771+16661</f>
        <v>43432</v>
      </c>
      <c r="AD239">
        <f>1848+1378</f>
        <v>3226</v>
      </c>
      <c r="AE239">
        <f>20+7+14+170+68+12+17+9+57+17</f>
        <v>391</v>
      </c>
      <c r="AF239">
        <f>SUM(AC239:AE239)</f>
        <v>47049</v>
      </c>
      <c r="AG239">
        <f>AB239-AF239</f>
        <v>0</v>
      </c>
      <c r="AH239">
        <f>(AC239-AD239)/AB239</f>
        <v>0.85455588854173303</v>
      </c>
    </row>
    <row r="240" spans="1:34" x14ac:dyDescent="0.2">
      <c r="A240">
        <v>440400</v>
      </c>
      <c r="B240" t="s">
        <v>314</v>
      </c>
      <c r="C240" t="s">
        <v>316</v>
      </c>
      <c r="D240" t="s">
        <v>316</v>
      </c>
      <c r="E240" s="4">
        <v>28</v>
      </c>
      <c r="F240" s="5" t="s">
        <v>419</v>
      </c>
      <c r="G240" s="5"/>
      <c r="H240" s="5">
        <v>253504</v>
      </c>
      <c r="I240" s="5">
        <f>93583+102113+24972+26236</f>
        <v>246904</v>
      </c>
      <c r="J240" s="5">
        <f>3060+3328</f>
        <v>6388</v>
      </c>
      <c r="K240" s="5">
        <f>182+30</f>
        <v>212</v>
      </c>
      <c r="L240" s="5">
        <f>I240+J240+K240</f>
        <v>253504</v>
      </c>
      <c r="M240" s="5">
        <f>L240-H240</f>
        <v>0</v>
      </c>
      <c r="N240" s="6">
        <f>(I240-J240)/H240</f>
        <v>0.94876609442060089</v>
      </c>
      <c r="O240">
        <v>34</v>
      </c>
      <c r="R240">
        <v>248674</v>
      </c>
      <c r="S240">
        <f>96493+18439+104621+20440</f>
        <v>239993</v>
      </c>
      <c r="T240">
        <f>4015+4289</f>
        <v>8304</v>
      </c>
      <c r="U240">
        <f>284+93</f>
        <v>377</v>
      </c>
      <c r="V240">
        <f>SUM(S240:U240)</f>
        <v>248674</v>
      </c>
      <c r="W240">
        <f>R240-V240</f>
        <v>0</v>
      </c>
      <c r="X240" s="6">
        <f>(S240-T240)/R240</f>
        <v>0.93169772473197843</v>
      </c>
      <c r="Y240">
        <v>21</v>
      </c>
      <c r="AB240">
        <v>207498</v>
      </c>
      <c r="AC240">
        <f>92549+102976</f>
        <v>195525</v>
      </c>
      <c r="AD240">
        <f>5265+5888</f>
        <v>11153</v>
      </c>
      <c r="AE240">
        <f>141+26+178+34+57+164+34+124+21+41</f>
        <v>820</v>
      </c>
      <c r="AF240">
        <f>SUM(AC240:AE240)</f>
        <v>207498</v>
      </c>
      <c r="AG240">
        <f>AB240-AF240</f>
        <v>0</v>
      </c>
      <c r="AH240">
        <f>(AC240-AD240)/AB240</f>
        <v>0.88854832335733358</v>
      </c>
    </row>
    <row r="241" spans="1:34" x14ac:dyDescent="0.2">
      <c r="A241">
        <v>440560</v>
      </c>
      <c r="B241" t="s">
        <v>314</v>
      </c>
      <c r="C241" t="s">
        <v>317</v>
      </c>
      <c r="D241" t="s">
        <v>316</v>
      </c>
      <c r="E241" s="4">
        <v>28</v>
      </c>
      <c r="F241" s="5" t="s">
        <v>420</v>
      </c>
      <c r="G241" s="5"/>
      <c r="H241" s="5">
        <v>49303</v>
      </c>
      <c r="I241" s="5">
        <f>18058+19151+5653+6348</f>
        <v>49210</v>
      </c>
      <c r="J241" s="5">
        <f>40+30</f>
        <v>70</v>
      </c>
      <c r="K241" s="5">
        <f>16+7</f>
        <v>23</v>
      </c>
      <c r="L241" s="5">
        <f>I241+J241+K241</f>
        <v>49303</v>
      </c>
      <c r="M241" s="5">
        <f>L241-H241</f>
        <v>0</v>
      </c>
      <c r="N241" s="6">
        <f>(I241-J241)/H241</f>
        <v>0.99669391314930122</v>
      </c>
      <c r="O241">
        <v>34</v>
      </c>
      <c r="R241">
        <v>50211</v>
      </c>
      <c r="S241">
        <f>19514+4390+20968+5165</f>
        <v>50037</v>
      </c>
      <c r="T241">
        <f>86+70</f>
        <v>156</v>
      </c>
      <c r="U241">
        <f>16+2</f>
        <v>18</v>
      </c>
      <c r="V241">
        <f>SUM(S241:U241)</f>
        <v>50211</v>
      </c>
      <c r="W241">
        <f>R241-V241</f>
        <v>0</v>
      </c>
      <c r="X241" s="6">
        <f>(S241-T241)/R241</f>
        <v>0.99342773495847525</v>
      </c>
      <c r="Y241">
        <v>21</v>
      </c>
      <c r="AB241">
        <v>47080</v>
      </c>
      <c r="AC241">
        <f>22116+24596</f>
        <v>46712</v>
      </c>
      <c r="AD241">
        <f>171+166</f>
        <v>337</v>
      </c>
      <c r="AE241">
        <f>2+7+5+3+2+6+2+4</f>
        <v>31</v>
      </c>
      <c r="AF241">
        <f>SUM(AC241:AE241)</f>
        <v>47080</v>
      </c>
      <c r="AG241">
        <f>AB241-AF241</f>
        <v>0</v>
      </c>
      <c r="AH241">
        <f>(AC241-AD241)/AB241</f>
        <v>0.98502548853016147</v>
      </c>
    </row>
    <row r="242" spans="1:34" x14ac:dyDescent="0.2">
      <c r="A242">
        <v>440505</v>
      </c>
      <c r="B242" t="s">
        <v>314</v>
      </c>
      <c r="C242" t="s">
        <v>318</v>
      </c>
      <c r="D242" t="s">
        <v>57</v>
      </c>
      <c r="E242" s="4">
        <v>28</v>
      </c>
      <c r="F242" s="5" t="s">
        <v>421</v>
      </c>
      <c r="G242" s="5"/>
      <c r="H242" s="5">
        <v>11199</v>
      </c>
      <c r="I242" s="5">
        <f>4361+4567+1033+1006</f>
        <v>10967</v>
      </c>
      <c r="J242" s="5">
        <f>91+95</f>
        <v>186</v>
      </c>
      <c r="K242" s="5">
        <f>24+22</f>
        <v>46</v>
      </c>
      <c r="L242" s="5">
        <f>I242+J242+K242</f>
        <v>11199</v>
      </c>
      <c r="M242" s="5">
        <f>L242-H242</f>
        <v>0</v>
      </c>
      <c r="N242" s="6">
        <f>(I242-J242)/H242</f>
        <v>0.96267523886061257</v>
      </c>
      <c r="O242">
        <v>38</v>
      </c>
      <c r="R242">
        <v>8415</v>
      </c>
      <c r="S242">
        <f>3411+627+3651+621</f>
        <v>8310</v>
      </c>
      <c r="T242">
        <f>36+42</f>
        <v>78</v>
      </c>
      <c r="U242">
        <f>14+13</f>
        <v>27</v>
      </c>
      <c r="V242">
        <f>SUM(S242:U242)</f>
        <v>8415</v>
      </c>
      <c r="W242">
        <f>R242-V242</f>
        <v>0</v>
      </c>
      <c r="X242" s="6">
        <f>(S242-T242)/R242</f>
        <v>0.97825311942959003</v>
      </c>
      <c r="Y242">
        <v>21</v>
      </c>
      <c r="AB242">
        <v>14267</v>
      </c>
      <c r="AC242">
        <f>6757+7341</f>
        <v>14098</v>
      </c>
      <c r="AD242">
        <f>41+47</f>
        <v>88</v>
      </c>
      <c r="AE242">
        <f>24+18+2+19+1+16+1</f>
        <v>81</v>
      </c>
      <c r="AF242">
        <f>SUM(AC242:AE242)</f>
        <v>14267</v>
      </c>
      <c r="AG242">
        <f>AB242-AF242</f>
        <v>0</v>
      </c>
      <c r="AH242">
        <f>(AC242-AD242)/AB242</f>
        <v>0.98198640218686484</v>
      </c>
    </row>
    <row r="243" spans="1:34" x14ac:dyDescent="0.2">
      <c r="E243" s="4"/>
      <c r="F243" s="5"/>
      <c r="G243" s="5"/>
      <c r="H243" s="5"/>
      <c r="I243" s="5"/>
      <c r="J243" s="5"/>
      <c r="K243" s="5"/>
      <c r="L243" s="5"/>
      <c r="M243" s="5"/>
      <c r="N243" s="6"/>
      <c r="X243" s="6"/>
    </row>
    <row r="244" spans="1:34" x14ac:dyDescent="0.2">
      <c r="A244">
        <v>450035</v>
      </c>
      <c r="B244" t="s">
        <v>319</v>
      </c>
      <c r="C244" t="s">
        <v>320</v>
      </c>
      <c r="D244" t="s">
        <v>320</v>
      </c>
      <c r="E244" s="4">
        <v>28</v>
      </c>
      <c r="F244" s="5" t="s">
        <v>621</v>
      </c>
      <c r="G244" s="5"/>
      <c r="H244" s="5">
        <v>88712</v>
      </c>
      <c r="I244" s="5">
        <f>32169+33031+65+58</f>
        <v>65323</v>
      </c>
      <c r="J244" s="5">
        <f>11419+11960</f>
        <v>23379</v>
      </c>
      <c r="K244" s="5">
        <f>6+4</f>
        <v>10</v>
      </c>
      <c r="L244" s="5">
        <f t="shared" ref="L244:L256" si="103">I244+J244+K244</f>
        <v>88712</v>
      </c>
      <c r="M244" s="5">
        <f t="shared" ref="M244:M256" si="104">L244-H244</f>
        <v>0</v>
      </c>
      <c r="N244" s="6">
        <f t="shared" ref="N244:N256" si="105">(I244-J244)/H244</f>
        <v>0.47281089367842005</v>
      </c>
      <c r="O244">
        <v>34</v>
      </c>
      <c r="R244">
        <v>19770</v>
      </c>
      <c r="S244">
        <f>6523+40+7645+39</f>
        <v>14247</v>
      </c>
      <c r="T244">
        <f>2510+3012</f>
        <v>5522</v>
      </c>
      <c r="U244">
        <f>1</f>
        <v>1</v>
      </c>
      <c r="V244">
        <f t="shared" ref="V244:V256" si="106">SUM(S244:U244)</f>
        <v>19770</v>
      </c>
      <c r="W244">
        <f t="shared" ref="W244:W256" si="107">R244-V244</f>
        <v>0</v>
      </c>
      <c r="X244" s="6">
        <f t="shared" ref="X244:X256" si="108">(S244-T244)/R244</f>
        <v>0.44132524026302478</v>
      </c>
      <c r="Y244">
        <v>25</v>
      </c>
      <c r="AB244">
        <f>41316+4001+4002+5144+991+3446+4978+1648+6609+4449</f>
        <v>76584</v>
      </c>
      <c r="AC244">
        <f>33008+3201+3141+4367+659+2568+4394+1270+5624+3538</f>
        <v>61770</v>
      </c>
      <c r="AD244">
        <f>8300+799+852+775+332+878+583+378+983+911</f>
        <v>14791</v>
      </c>
      <c r="AE244">
        <f>8+1+9+2+1+2</f>
        <v>23</v>
      </c>
      <c r="AF244">
        <f t="shared" ref="AF244:AF256" si="109">SUM(AC244:AE244)</f>
        <v>76584</v>
      </c>
      <c r="AG244">
        <f t="shared" ref="AG244:AG256" si="110">AB244-AF244</f>
        <v>0</v>
      </c>
      <c r="AH244">
        <f t="shared" ref="AH244:AH256" si="111">(AC244-AD244)/AB244</f>
        <v>0.61343100386503713</v>
      </c>
    </row>
    <row r="245" spans="1:34" x14ac:dyDescent="0.2">
      <c r="A245">
        <v>45015</v>
      </c>
      <c r="B245" t="s">
        <v>319</v>
      </c>
      <c r="C245" s="2" t="s">
        <v>321</v>
      </c>
      <c r="D245" t="s">
        <v>322</v>
      </c>
      <c r="E245" s="4">
        <v>28</v>
      </c>
      <c r="F245" s="5" t="s">
        <v>462</v>
      </c>
      <c r="G245" s="5">
        <v>1</v>
      </c>
      <c r="H245" s="5">
        <v>27128</v>
      </c>
      <c r="I245" s="5">
        <f>5041+4473+22+12</f>
        <v>9548</v>
      </c>
      <c r="J245" s="5">
        <f>8747+8808</f>
        <v>17555</v>
      </c>
      <c r="K245" s="5">
        <f>18+7</f>
        <v>25</v>
      </c>
      <c r="L245" s="5">
        <f t="shared" si="103"/>
        <v>27128</v>
      </c>
      <c r="M245" s="5">
        <f t="shared" si="104"/>
        <v>0</v>
      </c>
      <c r="N245" s="6">
        <f t="shared" si="105"/>
        <v>-0.29515629607785315</v>
      </c>
      <c r="O245">
        <v>40</v>
      </c>
      <c r="R245">
        <v>1818</v>
      </c>
      <c r="S245">
        <f>616+663+6+3</f>
        <v>1288</v>
      </c>
      <c r="T245">
        <f>271+259</f>
        <v>530</v>
      </c>
      <c r="V245">
        <f t="shared" si="106"/>
        <v>1818</v>
      </c>
      <c r="W245">
        <f t="shared" si="107"/>
        <v>0</v>
      </c>
      <c r="X245" s="6">
        <f t="shared" si="108"/>
        <v>0.41694169416941695</v>
      </c>
      <c r="Y245">
        <v>23</v>
      </c>
      <c r="AB245">
        <v>2030</v>
      </c>
      <c r="AC245">
        <v>1552</v>
      </c>
      <c r="AD245">
        <v>469</v>
      </c>
      <c r="AE245">
        <v>9</v>
      </c>
      <c r="AF245">
        <f t="shared" si="109"/>
        <v>2030</v>
      </c>
      <c r="AG245">
        <f t="shared" si="110"/>
        <v>0</v>
      </c>
      <c r="AH245">
        <f t="shared" si="111"/>
        <v>0.53349753694581281</v>
      </c>
    </row>
    <row r="246" spans="1:34" x14ac:dyDescent="0.2">
      <c r="A246">
        <v>450245</v>
      </c>
      <c r="B246" t="s">
        <v>319</v>
      </c>
      <c r="C246" t="s">
        <v>323</v>
      </c>
      <c r="D246" t="s">
        <v>323</v>
      </c>
      <c r="E246" s="4">
        <v>28</v>
      </c>
      <c r="F246" s="5" t="s">
        <v>409</v>
      </c>
      <c r="G246" s="5"/>
      <c r="H246" s="5">
        <v>71275</v>
      </c>
      <c r="I246" s="5">
        <f>18117+20072+716+583</f>
        <v>39488</v>
      </c>
      <c r="J246" s="5">
        <f>13929+17836</f>
        <v>31765</v>
      </c>
      <c r="K246" s="5">
        <f>12+10</f>
        <v>22</v>
      </c>
      <c r="L246" s="5">
        <f t="shared" si="103"/>
        <v>71275</v>
      </c>
      <c r="M246" s="5">
        <f t="shared" si="104"/>
        <v>0</v>
      </c>
      <c r="N246" s="6">
        <f t="shared" si="105"/>
        <v>0.10835496317081726</v>
      </c>
      <c r="O246">
        <v>34</v>
      </c>
      <c r="R246">
        <v>70174</v>
      </c>
      <c r="S246">
        <f>18894+625+19165+603</f>
        <v>39287</v>
      </c>
      <c r="T246">
        <f>13755+17099</f>
        <v>30854</v>
      </c>
      <c r="U246">
        <f>28+5</f>
        <v>33</v>
      </c>
      <c r="V246">
        <f t="shared" si="106"/>
        <v>70174</v>
      </c>
      <c r="W246">
        <f t="shared" si="107"/>
        <v>0</v>
      </c>
      <c r="X246" s="6">
        <f t="shared" si="108"/>
        <v>0.12017271354062758</v>
      </c>
      <c r="Y246">
        <v>21</v>
      </c>
      <c r="AB246">
        <v>65925</v>
      </c>
      <c r="AC246">
        <f>17503+14810</f>
        <v>32313</v>
      </c>
      <c r="AD246">
        <f>15426+18096</f>
        <v>33522</v>
      </c>
      <c r="AE246">
        <f>20+4+31+27+2+2+4</f>
        <v>90</v>
      </c>
      <c r="AF246">
        <f t="shared" si="109"/>
        <v>65925</v>
      </c>
      <c r="AG246">
        <f t="shared" si="110"/>
        <v>0</v>
      </c>
      <c r="AH246">
        <f t="shared" si="111"/>
        <v>-1.8339021615472129E-2</v>
      </c>
    </row>
    <row r="247" spans="1:34" x14ac:dyDescent="0.2">
      <c r="A247">
        <v>45029</v>
      </c>
      <c r="B247" t="s">
        <v>319</v>
      </c>
      <c r="C247" s="2" t="s">
        <v>324</v>
      </c>
      <c r="D247" t="s">
        <v>325</v>
      </c>
      <c r="E247" s="4">
        <v>28</v>
      </c>
      <c r="F247" s="5" t="s">
        <v>461</v>
      </c>
      <c r="G247" s="5">
        <v>1</v>
      </c>
      <c r="H247" s="5">
        <v>26268</v>
      </c>
      <c r="I247" s="5">
        <f>6151+6064+19+15</f>
        <v>12249</v>
      </c>
      <c r="J247" s="5">
        <f>6930+7089</f>
        <v>14019</v>
      </c>
      <c r="K247" s="5">
        <v>0</v>
      </c>
      <c r="L247" s="5">
        <f t="shared" si="103"/>
        <v>26268</v>
      </c>
      <c r="M247" s="5">
        <f t="shared" si="104"/>
        <v>0</v>
      </c>
      <c r="N247" s="6">
        <f t="shared" si="105"/>
        <v>-6.7382366377341255E-2</v>
      </c>
      <c r="O247">
        <v>41</v>
      </c>
      <c r="Q247">
        <v>1</v>
      </c>
      <c r="R247">
        <v>28242</v>
      </c>
      <c r="S247">
        <f>6558+29+6585+26</f>
        <v>13198</v>
      </c>
      <c r="T247">
        <f>7367+7677</f>
        <v>15044</v>
      </c>
      <c r="U247">
        <v>0</v>
      </c>
      <c r="V247">
        <f t="shared" si="106"/>
        <v>28242</v>
      </c>
      <c r="W247">
        <f t="shared" si="107"/>
        <v>0</v>
      </c>
      <c r="X247" s="6">
        <f t="shared" si="108"/>
        <v>-6.5363642801501309E-2</v>
      </c>
      <c r="Y247">
        <v>25</v>
      </c>
      <c r="AA247">
        <v>1</v>
      </c>
      <c r="AB247">
        <f>2145+3027+2042+4022+2015+5417+5017+4131</f>
        <v>27816</v>
      </c>
      <c r="AC247">
        <f>1189+1073+382+1638+907+3150+3104+2146</f>
        <v>13589</v>
      </c>
      <c r="AD247">
        <f>956+1943+1659+2384+1107+2267+1913+1985</f>
        <v>14214</v>
      </c>
      <c r="AE247">
        <f>11+1+1</f>
        <v>13</v>
      </c>
      <c r="AF247">
        <f t="shared" si="109"/>
        <v>27816</v>
      </c>
      <c r="AG247">
        <f t="shared" si="110"/>
        <v>0</v>
      </c>
      <c r="AH247">
        <f t="shared" si="111"/>
        <v>-2.2469082542421626E-2</v>
      </c>
    </row>
    <row r="248" spans="1:34" x14ac:dyDescent="0.2">
      <c r="A248">
        <v>45035020</v>
      </c>
      <c r="B248" t="s">
        <v>319</v>
      </c>
      <c r="C248" t="s">
        <v>326</v>
      </c>
      <c r="D248" t="s">
        <v>327</v>
      </c>
      <c r="E248" s="4">
        <v>28</v>
      </c>
      <c r="F248" s="5" t="s">
        <v>410</v>
      </c>
      <c r="G248" s="5"/>
      <c r="H248" s="5">
        <v>4255</v>
      </c>
      <c r="I248" s="5">
        <f>888+873+4+5</f>
        <v>1770</v>
      </c>
      <c r="J248" s="5">
        <f>1195+1290</f>
        <v>2485</v>
      </c>
      <c r="K248" s="5">
        <v>0</v>
      </c>
      <c r="L248" s="5">
        <f t="shared" si="103"/>
        <v>4255</v>
      </c>
      <c r="M248" s="5">
        <f t="shared" si="104"/>
        <v>0</v>
      </c>
      <c r="N248" s="6">
        <f t="shared" si="105"/>
        <v>-0.16803760282021152</v>
      </c>
      <c r="O248">
        <v>40</v>
      </c>
      <c r="R248">
        <v>1938</v>
      </c>
      <c r="S248">
        <f>580+579+4+4</f>
        <v>1167</v>
      </c>
      <c r="T248">
        <f>373+396</f>
        <v>769</v>
      </c>
      <c r="U248">
        <v>2</v>
      </c>
      <c r="V248">
        <f t="shared" si="106"/>
        <v>1938</v>
      </c>
      <c r="W248">
        <f t="shared" si="107"/>
        <v>0</v>
      </c>
      <c r="X248" s="6">
        <f t="shared" si="108"/>
        <v>0.20536635706914344</v>
      </c>
      <c r="Y248">
        <v>23</v>
      </c>
      <c r="AB248">
        <v>1833</v>
      </c>
      <c r="AC248">
        <v>1149</v>
      </c>
      <c r="AD248">
        <v>683</v>
      </c>
      <c r="AE248">
        <v>1</v>
      </c>
      <c r="AF248">
        <f t="shared" si="109"/>
        <v>1833</v>
      </c>
      <c r="AG248">
        <f t="shared" si="110"/>
        <v>0</v>
      </c>
      <c r="AH248">
        <f t="shared" si="111"/>
        <v>0.254228041462084</v>
      </c>
    </row>
    <row r="249" spans="1:34" x14ac:dyDescent="0.2">
      <c r="A249">
        <v>450465</v>
      </c>
      <c r="B249" t="s">
        <v>319</v>
      </c>
      <c r="C249" t="s">
        <v>328</v>
      </c>
      <c r="D249" t="s">
        <v>328</v>
      </c>
      <c r="E249" s="4">
        <v>28</v>
      </c>
      <c r="F249" s="5" t="s">
        <v>411</v>
      </c>
      <c r="G249" s="5"/>
      <c r="H249" s="5">
        <v>22568</v>
      </c>
      <c r="I249" s="5">
        <f>6294+6488+71+52</f>
        <v>12905</v>
      </c>
      <c r="J249" s="5">
        <f>4403+5260</f>
        <v>9663</v>
      </c>
      <c r="K249" s="5">
        <v>0</v>
      </c>
      <c r="L249" s="5">
        <f t="shared" si="103"/>
        <v>22568</v>
      </c>
      <c r="M249" s="5">
        <f t="shared" si="104"/>
        <v>0</v>
      </c>
      <c r="N249" s="6">
        <f t="shared" si="105"/>
        <v>0.14365473236440979</v>
      </c>
      <c r="O249">
        <v>34</v>
      </c>
      <c r="R249">
        <v>22513</v>
      </c>
      <c r="S249">
        <f>6559+67+7371+64</f>
        <v>14061</v>
      </c>
      <c r="T249">
        <f>3818+4632</f>
        <v>8450</v>
      </c>
      <c r="U249">
        <f>2</f>
        <v>2</v>
      </c>
      <c r="V249">
        <f t="shared" si="106"/>
        <v>22513</v>
      </c>
      <c r="W249">
        <f t="shared" si="107"/>
        <v>0</v>
      </c>
      <c r="X249" s="6">
        <f t="shared" si="108"/>
        <v>0.24923377604050992</v>
      </c>
      <c r="Y249">
        <v>21</v>
      </c>
      <c r="AB249">
        <v>24722</v>
      </c>
      <c r="AC249">
        <f>7280+8138</f>
        <v>15418</v>
      </c>
      <c r="AD249">
        <f>4216+5085</f>
        <v>9301</v>
      </c>
      <c r="AE249">
        <f>1+1+1</f>
        <v>3</v>
      </c>
      <c r="AF249">
        <f t="shared" si="109"/>
        <v>24722</v>
      </c>
      <c r="AG249">
        <f t="shared" si="110"/>
        <v>0</v>
      </c>
      <c r="AH249">
        <f t="shared" si="111"/>
        <v>0.24743143758595582</v>
      </c>
    </row>
    <row r="250" spans="1:34" x14ac:dyDescent="0.2">
      <c r="A250">
        <v>450565</v>
      </c>
      <c r="B250" t="s">
        <v>319</v>
      </c>
      <c r="C250" t="s">
        <v>329</v>
      </c>
      <c r="D250" t="s">
        <v>329</v>
      </c>
      <c r="E250" s="4">
        <v>28</v>
      </c>
      <c r="F250" s="5" t="s">
        <v>412</v>
      </c>
      <c r="G250" s="5"/>
      <c r="H250" s="5">
        <v>76761</v>
      </c>
      <c r="I250" s="5">
        <f>27584+30190+251+167</f>
        <v>58192</v>
      </c>
      <c r="J250" s="5">
        <f>8442+10123</f>
        <v>18565</v>
      </c>
      <c r="K250" s="5">
        <f>3+1</f>
        <v>4</v>
      </c>
      <c r="L250" s="5">
        <f t="shared" si="103"/>
        <v>76761</v>
      </c>
      <c r="M250" s="5">
        <f t="shared" si="104"/>
        <v>0</v>
      </c>
      <c r="N250" s="6">
        <f t="shared" si="105"/>
        <v>0.516238714972447</v>
      </c>
      <c r="O250">
        <v>34</v>
      </c>
      <c r="R250">
        <v>58161</v>
      </c>
      <c r="S250">
        <f>19523+314+21940+286</f>
        <v>42063</v>
      </c>
      <c r="T250">
        <f>7459+8615</f>
        <v>16074</v>
      </c>
      <c r="U250">
        <f>15+9</f>
        <v>24</v>
      </c>
      <c r="V250">
        <f t="shared" si="106"/>
        <v>58161</v>
      </c>
      <c r="W250">
        <f t="shared" si="107"/>
        <v>0</v>
      </c>
      <c r="X250" s="6">
        <f t="shared" si="108"/>
        <v>0.44684582452158661</v>
      </c>
      <c r="Y250">
        <v>21</v>
      </c>
      <c r="AB250">
        <v>66188</v>
      </c>
      <c r="AC250">
        <f>21461+25010</f>
        <v>46471</v>
      </c>
      <c r="AD250">
        <f>9064+10602</f>
        <v>19666</v>
      </c>
      <c r="AE250">
        <f>5+3+9+1+6+2+13+8+4</f>
        <v>51</v>
      </c>
      <c r="AF250">
        <f t="shared" si="109"/>
        <v>66188</v>
      </c>
      <c r="AG250">
        <f t="shared" si="110"/>
        <v>0</v>
      </c>
      <c r="AH250">
        <f t="shared" si="111"/>
        <v>0.4049827763340787</v>
      </c>
    </row>
    <row r="251" spans="1:34" x14ac:dyDescent="0.2">
      <c r="A251">
        <v>450315</v>
      </c>
      <c r="B251" t="s">
        <v>319</v>
      </c>
      <c r="C251" t="s">
        <v>330</v>
      </c>
      <c r="D251" t="s">
        <v>331</v>
      </c>
      <c r="E251" s="4">
        <v>28</v>
      </c>
      <c r="F251" s="5" t="s">
        <v>413</v>
      </c>
      <c r="G251" s="5"/>
      <c r="H251" s="5">
        <v>12828</v>
      </c>
      <c r="I251" s="5">
        <f>4399+4363+12+10</f>
        <v>8784</v>
      </c>
      <c r="J251" s="5">
        <f>2024+2003</f>
        <v>4027</v>
      </c>
      <c r="K251" s="5">
        <f>9+8</f>
        <v>17</v>
      </c>
      <c r="L251" s="5">
        <f t="shared" si="103"/>
        <v>12828</v>
      </c>
      <c r="M251" s="5">
        <f t="shared" si="104"/>
        <v>0</v>
      </c>
      <c r="N251" s="6">
        <f t="shared" si="105"/>
        <v>0.37082943560960402</v>
      </c>
      <c r="O251">
        <v>38</v>
      </c>
      <c r="R251">
        <v>6073</v>
      </c>
      <c r="S251">
        <f>1836+10+2058+9</f>
        <v>3913</v>
      </c>
      <c r="T251">
        <f>1016+1144</f>
        <v>2160</v>
      </c>
      <c r="V251">
        <f t="shared" si="106"/>
        <v>6073</v>
      </c>
      <c r="W251">
        <f t="shared" si="107"/>
        <v>0</v>
      </c>
      <c r="X251" s="6">
        <f t="shared" si="108"/>
        <v>0.28865470113617653</v>
      </c>
      <c r="Y251">
        <v>22</v>
      </c>
      <c r="AB251">
        <v>8563</v>
      </c>
      <c r="AC251">
        <v>5620</v>
      </c>
      <c r="AD251">
        <v>2942</v>
      </c>
      <c r="AE251">
        <v>1</v>
      </c>
      <c r="AF251">
        <f t="shared" si="109"/>
        <v>8563</v>
      </c>
      <c r="AG251">
        <f t="shared" si="110"/>
        <v>0</v>
      </c>
      <c r="AH251">
        <f t="shared" si="111"/>
        <v>0.31274086184748334</v>
      </c>
    </row>
    <row r="252" spans="1:34" x14ac:dyDescent="0.2">
      <c r="A252">
        <v>450895</v>
      </c>
      <c r="B252" t="s">
        <v>319</v>
      </c>
      <c r="C252" t="s">
        <v>332</v>
      </c>
      <c r="D252" t="s">
        <v>332</v>
      </c>
      <c r="E252" s="4">
        <v>28</v>
      </c>
      <c r="F252" s="5" t="s">
        <v>414</v>
      </c>
      <c r="G252" s="5"/>
      <c r="H252" s="5">
        <v>9364</v>
      </c>
      <c r="I252" s="5">
        <f>2078+2126+13+8</f>
        <v>4225</v>
      </c>
      <c r="J252" s="5">
        <f>2478+2652</f>
        <v>5130</v>
      </c>
      <c r="K252" s="5">
        <f>5+4</f>
        <v>9</v>
      </c>
      <c r="L252" s="5">
        <f t="shared" si="103"/>
        <v>9364</v>
      </c>
      <c r="M252" s="5">
        <f t="shared" si="104"/>
        <v>0</v>
      </c>
      <c r="N252" s="6">
        <f t="shared" si="105"/>
        <v>-9.6646732165741142E-2</v>
      </c>
      <c r="O252">
        <v>38</v>
      </c>
      <c r="R252">
        <v>6834</v>
      </c>
      <c r="S252">
        <f>1652+7+1802+7</f>
        <v>3468</v>
      </c>
      <c r="T252">
        <f>1532+1830</f>
        <v>3362</v>
      </c>
      <c r="U252">
        <f>1+3</f>
        <v>4</v>
      </c>
      <c r="V252">
        <f t="shared" si="106"/>
        <v>6834</v>
      </c>
      <c r="W252">
        <f t="shared" si="107"/>
        <v>0</v>
      </c>
      <c r="X252" s="6">
        <f t="shared" si="108"/>
        <v>1.5510681884694176E-2</v>
      </c>
      <c r="Y252">
        <v>22</v>
      </c>
      <c r="AB252">
        <v>7174</v>
      </c>
      <c r="AC252">
        <v>3834</v>
      </c>
      <c r="AD252">
        <v>3336</v>
      </c>
      <c r="AE252">
        <v>4</v>
      </c>
      <c r="AF252">
        <f t="shared" si="109"/>
        <v>7174</v>
      </c>
      <c r="AG252">
        <f t="shared" si="110"/>
        <v>0</v>
      </c>
      <c r="AH252">
        <f t="shared" si="111"/>
        <v>6.9417340395873994E-2</v>
      </c>
    </row>
    <row r="253" spans="1:34" x14ac:dyDescent="0.2">
      <c r="A253">
        <v>450110</v>
      </c>
      <c r="B253" t="s">
        <v>319</v>
      </c>
      <c r="C253" t="s">
        <v>333</v>
      </c>
      <c r="D253" t="s">
        <v>334</v>
      </c>
      <c r="E253" s="4">
        <v>28</v>
      </c>
      <c r="F253" s="5" t="s">
        <v>417</v>
      </c>
      <c r="G253" s="5"/>
      <c r="H253" s="5">
        <v>7005</v>
      </c>
      <c r="I253" s="5">
        <f>1939+2083+7+5</f>
        <v>4034</v>
      </c>
      <c r="J253" s="5">
        <f>1362+1606</f>
        <v>2968</v>
      </c>
      <c r="K253" s="5">
        <f>2+1</f>
        <v>3</v>
      </c>
      <c r="L253" s="5">
        <f t="shared" si="103"/>
        <v>7005</v>
      </c>
      <c r="M253" s="5">
        <f t="shared" si="104"/>
        <v>0</v>
      </c>
      <c r="N253" s="6">
        <f t="shared" si="105"/>
        <v>0.15217701641684511</v>
      </c>
      <c r="O253">
        <v>38</v>
      </c>
      <c r="R253">
        <v>5140</v>
      </c>
      <c r="S253">
        <f>1375+8+1623+6</f>
        <v>3012</v>
      </c>
      <c r="T253">
        <f>974+1154</f>
        <v>2128</v>
      </c>
      <c r="V253">
        <f t="shared" si="106"/>
        <v>5140</v>
      </c>
      <c r="W253">
        <f t="shared" si="107"/>
        <v>0</v>
      </c>
      <c r="X253" s="6">
        <f t="shared" si="108"/>
        <v>0.17198443579766537</v>
      </c>
      <c r="Y253">
        <v>22</v>
      </c>
      <c r="AB253">
        <v>6963</v>
      </c>
      <c r="AC253">
        <v>3991</v>
      </c>
      <c r="AD253">
        <v>2971</v>
      </c>
      <c r="AE253">
        <v>1</v>
      </c>
      <c r="AF253">
        <f t="shared" si="109"/>
        <v>6963</v>
      </c>
      <c r="AG253">
        <f t="shared" si="110"/>
        <v>0</v>
      </c>
      <c r="AH253">
        <f t="shared" si="111"/>
        <v>0.14648858250753985</v>
      </c>
    </row>
    <row r="254" spans="1:34" x14ac:dyDescent="0.2">
      <c r="A254">
        <v>45075030</v>
      </c>
      <c r="B254" t="s">
        <v>319</v>
      </c>
      <c r="C254" t="s">
        <v>335</v>
      </c>
      <c r="D254" t="s">
        <v>336</v>
      </c>
      <c r="E254" s="4">
        <v>28</v>
      </c>
      <c r="F254" s="5" t="s">
        <v>415</v>
      </c>
      <c r="G254" s="5"/>
      <c r="H254" s="5">
        <v>4771</v>
      </c>
      <c r="I254" s="5">
        <f>713+777+2+2</f>
        <v>1494</v>
      </c>
      <c r="J254" s="5">
        <f>1601+1676</f>
        <v>3277</v>
      </c>
      <c r="K254" s="5">
        <v>0</v>
      </c>
      <c r="L254" s="5">
        <f t="shared" si="103"/>
        <v>4771</v>
      </c>
      <c r="M254" s="5">
        <f t="shared" si="104"/>
        <v>0</v>
      </c>
      <c r="N254" s="6">
        <f t="shared" si="105"/>
        <v>-0.37371620205407674</v>
      </c>
      <c r="O254">
        <v>40</v>
      </c>
      <c r="R254">
        <v>1116</v>
      </c>
      <c r="S254">
        <f>281+319+2+2</f>
        <v>604</v>
      </c>
      <c r="T254">
        <f>233+279</f>
        <v>512</v>
      </c>
      <c r="V254">
        <f t="shared" si="106"/>
        <v>1116</v>
      </c>
      <c r="W254">
        <f t="shared" si="107"/>
        <v>0</v>
      </c>
      <c r="X254" s="6">
        <f t="shared" si="108"/>
        <v>8.2437275985663083E-2</v>
      </c>
      <c r="Y254">
        <v>23</v>
      </c>
      <c r="AB254">
        <v>1235</v>
      </c>
      <c r="AC254">
        <v>781</v>
      </c>
      <c r="AD254">
        <v>454</v>
      </c>
      <c r="AF254">
        <f t="shared" si="109"/>
        <v>1235</v>
      </c>
      <c r="AG254">
        <f t="shared" si="110"/>
        <v>0</v>
      </c>
      <c r="AH254">
        <f t="shared" si="111"/>
        <v>0.26477732793522268</v>
      </c>
    </row>
    <row r="255" spans="1:34" x14ac:dyDescent="0.2">
      <c r="A255">
        <v>451400</v>
      </c>
      <c r="B255" t="s">
        <v>319</v>
      </c>
      <c r="C255" t="s">
        <v>17</v>
      </c>
      <c r="D255" t="s">
        <v>17</v>
      </c>
      <c r="E255" s="4">
        <v>28</v>
      </c>
      <c r="F255" s="5" t="s">
        <v>416</v>
      </c>
      <c r="G255" s="5"/>
      <c r="H255" s="5">
        <v>26539</v>
      </c>
      <c r="I255" s="5">
        <f>6286+6535+58+34</f>
        <v>12913</v>
      </c>
      <c r="J255" s="5">
        <f>6366+7260</f>
        <v>13626</v>
      </c>
      <c r="K255" s="5">
        <v>0</v>
      </c>
      <c r="L255" s="5">
        <f t="shared" si="103"/>
        <v>26539</v>
      </c>
      <c r="M255" s="5">
        <f t="shared" si="104"/>
        <v>0</v>
      </c>
      <c r="N255" s="6">
        <f t="shared" si="105"/>
        <v>-2.6866121556953917E-2</v>
      </c>
      <c r="O255">
        <v>34</v>
      </c>
      <c r="R255">
        <v>20185</v>
      </c>
      <c r="S255">
        <f>6318+72+6854+83</f>
        <v>13327</v>
      </c>
      <c r="T255">
        <f>3021+3835</f>
        <v>6856</v>
      </c>
      <c r="U255">
        <f>1+1</f>
        <v>2</v>
      </c>
      <c r="V255">
        <f t="shared" si="106"/>
        <v>20185</v>
      </c>
      <c r="W255">
        <f t="shared" si="107"/>
        <v>0</v>
      </c>
      <c r="X255" s="6">
        <f t="shared" si="108"/>
        <v>0.32058459251919741</v>
      </c>
      <c r="Y255">
        <v>21</v>
      </c>
      <c r="AB255">
        <v>23062</v>
      </c>
      <c r="AC255">
        <f>7239+7764</f>
        <v>15003</v>
      </c>
      <c r="AD255">
        <f>3665+4376</f>
        <v>8041</v>
      </c>
      <c r="AE255">
        <f>6+1+2+7+2</f>
        <v>18</v>
      </c>
      <c r="AF255">
        <f t="shared" si="109"/>
        <v>23062</v>
      </c>
      <c r="AG255">
        <f t="shared" si="110"/>
        <v>0</v>
      </c>
      <c r="AH255">
        <f t="shared" si="111"/>
        <v>0.301881883618073</v>
      </c>
    </row>
    <row r="256" spans="1:34" x14ac:dyDescent="0.2">
      <c r="A256">
        <v>451455</v>
      </c>
      <c r="B256" t="s">
        <v>319</v>
      </c>
      <c r="C256" t="s">
        <v>229</v>
      </c>
      <c r="D256" t="s">
        <v>229</v>
      </c>
      <c r="E256" s="4">
        <v>28</v>
      </c>
      <c r="F256" s="5" t="s">
        <v>633</v>
      </c>
      <c r="G256" s="5"/>
      <c r="H256" s="5">
        <v>13645</v>
      </c>
      <c r="I256" s="5">
        <f>4826+5103+9+7</f>
        <v>9945</v>
      </c>
      <c r="J256" s="5">
        <f>1698+2002</f>
        <v>3700</v>
      </c>
      <c r="K256" s="5">
        <v>0</v>
      </c>
      <c r="L256" s="5">
        <f t="shared" si="103"/>
        <v>13645</v>
      </c>
      <c r="M256" s="5">
        <f t="shared" si="104"/>
        <v>0</v>
      </c>
      <c r="N256" s="6">
        <f t="shared" si="105"/>
        <v>0.45767680469036276</v>
      </c>
      <c r="O256">
        <v>38</v>
      </c>
      <c r="R256">
        <v>9730</v>
      </c>
      <c r="S256">
        <f>3336+9+3685+11</f>
        <v>7041</v>
      </c>
      <c r="T256">
        <f>1185+1503</f>
        <v>2688</v>
      </c>
      <c r="U256">
        <v>1</v>
      </c>
      <c r="V256">
        <f t="shared" si="106"/>
        <v>9730</v>
      </c>
      <c r="W256">
        <f t="shared" si="107"/>
        <v>0</v>
      </c>
      <c r="X256" s="6">
        <f t="shared" si="108"/>
        <v>0.4473792394655704</v>
      </c>
      <c r="Y256">
        <v>21</v>
      </c>
      <c r="AB256">
        <v>10191</v>
      </c>
      <c r="AC256">
        <f>3467+3854</f>
        <v>7321</v>
      </c>
      <c r="AD256">
        <f>1286+1584</f>
        <v>2870</v>
      </c>
      <c r="AF256">
        <f t="shared" si="109"/>
        <v>10191</v>
      </c>
      <c r="AG256">
        <f t="shared" si="110"/>
        <v>0</v>
      </c>
      <c r="AH256">
        <f t="shared" si="111"/>
        <v>0.43675792365812971</v>
      </c>
    </row>
    <row r="257" spans="1:34" x14ac:dyDescent="0.2">
      <c r="E257" s="4"/>
      <c r="F257" s="5"/>
      <c r="G257" s="5"/>
      <c r="H257" s="5"/>
      <c r="I257" s="5"/>
      <c r="J257" s="5"/>
      <c r="K257" s="5"/>
      <c r="L257" s="5"/>
      <c r="M257" s="5"/>
      <c r="N257" s="6"/>
      <c r="X257" s="6"/>
    </row>
    <row r="258" spans="1:34" x14ac:dyDescent="0.2">
      <c r="A258">
        <v>470515</v>
      </c>
      <c r="B258" t="s">
        <v>337</v>
      </c>
      <c r="C258" s="2" t="s">
        <v>338</v>
      </c>
      <c r="D258" t="s">
        <v>114</v>
      </c>
      <c r="E258" s="4">
        <v>28</v>
      </c>
      <c r="F258" s="5" t="s">
        <v>460</v>
      </c>
      <c r="G258" s="5">
        <v>1</v>
      </c>
      <c r="H258" s="5">
        <v>23892</v>
      </c>
      <c r="I258" s="5">
        <f>10786+10460+30+25</f>
        <v>21301</v>
      </c>
      <c r="J258" s="5">
        <f>1272+1319</f>
        <v>2591</v>
      </c>
      <c r="K258" s="5"/>
      <c r="L258" s="5">
        <f>I258+J258+K258</f>
        <v>23892</v>
      </c>
      <c r="M258" s="5">
        <f>L258-H258</f>
        <v>0</v>
      </c>
      <c r="N258" s="6">
        <f>(I258-J258)/H258</f>
        <v>0.78310731625648755</v>
      </c>
      <c r="O258">
        <v>40</v>
      </c>
      <c r="Q258">
        <v>1</v>
      </c>
      <c r="R258">
        <v>1407</v>
      </c>
      <c r="S258">
        <f>812+407+9+5</f>
        <v>1233</v>
      </c>
      <c r="T258">
        <f>85+87</f>
        <v>172</v>
      </c>
      <c r="U258">
        <v>2</v>
      </c>
      <c r="V258">
        <f>SUM(S258:U258)</f>
        <v>1407</v>
      </c>
      <c r="W258">
        <f>R258-V258</f>
        <v>0</v>
      </c>
      <c r="X258" s="6">
        <f>(S258-T258)/R258</f>
        <v>0.75408670931058985</v>
      </c>
      <c r="Y258">
        <v>23</v>
      </c>
      <c r="AB258">
        <v>1464</v>
      </c>
      <c r="AC258">
        <v>1254</v>
      </c>
      <c r="AD258">
        <v>208</v>
      </c>
      <c r="AE258">
        <v>2</v>
      </c>
      <c r="AF258">
        <f>SUM(AC258:AE258)</f>
        <v>1464</v>
      </c>
      <c r="AG258">
        <f>AB258-AF258</f>
        <v>0</v>
      </c>
      <c r="AH258">
        <f>(AC258-AD258)/AB258</f>
        <v>0.71448087431693985</v>
      </c>
    </row>
    <row r="259" spans="1:34" x14ac:dyDescent="0.2">
      <c r="A259">
        <v>470245</v>
      </c>
      <c r="B259" t="s">
        <v>337</v>
      </c>
      <c r="C259" t="s">
        <v>339</v>
      </c>
      <c r="D259" t="s">
        <v>293</v>
      </c>
      <c r="E259" s="4">
        <v>34</v>
      </c>
      <c r="F259" s="5" t="s">
        <v>405</v>
      </c>
      <c r="G259" s="5"/>
      <c r="H259" s="5">
        <v>128163</v>
      </c>
      <c r="I259" s="5">
        <f>43592+47025+609+506</f>
        <v>91732</v>
      </c>
      <c r="J259" s="5">
        <f>17027+19387</f>
        <v>36414</v>
      </c>
      <c r="K259" s="5">
        <f>7+10</f>
        <v>17</v>
      </c>
      <c r="L259" s="5">
        <f>I259+J259+K259</f>
        <v>128163</v>
      </c>
      <c r="M259" s="5">
        <f>L259-H259</f>
        <v>0</v>
      </c>
      <c r="N259" s="6">
        <f>(I259-J259)/H259</f>
        <v>0.43162223106512798</v>
      </c>
      <c r="O259">
        <v>34</v>
      </c>
      <c r="R259">
        <v>131041</v>
      </c>
      <c r="S259">
        <f>42487+549+48130+554</f>
        <v>91720</v>
      </c>
      <c r="T259">
        <f>18234+21042</f>
        <v>39276</v>
      </c>
      <c r="U259">
        <f>26+19</f>
        <v>45</v>
      </c>
      <c r="V259">
        <f>SUM(S259:U259)</f>
        <v>131041</v>
      </c>
      <c r="W259">
        <f>R259-V259</f>
        <v>0</v>
      </c>
      <c r="X259" s="6">
        <f>(S259-T259)/R259</f>
        <v>0.40021062110331879</v>
      </c>
      <c r="Y259">
        <v>21</v>
      </c>
      <c r="AB259">
        <v>130009</v>
      </c>
      <c r="AC259">
        <f>40539+46244</f>
        <v>86783</v>
      </c>
      <c r="AD259">
        <f>19864+23277</f>
        <v>43141</v>
      </c>
      <c r="AE259">
        <f>7+3+20+8+6+6+7+14+12+2</f>
        <v>85</v>
      </c>
      <c r="AF259">
        <f>SUM(AC259:AE259)</f>
        <v>130009</v>
      </c>
      <c r="AG259">
        <f>AB259-AF259</f>
        <v>0</v>
      </c>
      <c r="AH259">
        <f>(AC259-AD259)/AB259</f>
        <v>0.335684452614819</v>
      </c>
    </row>
    <row r="260" spans="1:34" x14ac:dyDescent="0.2">
      <c r="A260">
        <v>470760</v>
      </c>
      <c r="B260" t="s">
        <v>337</v>
      </c>
      <c r="C260" t="s">
        <v>340</v>
      </c>
      <c r="D260" t="s">
        <v>341</v>
      </c>
      <c r="E260" s="4">
        <v>34</v>
      </c>
      <c r="F260" s="5" t="s">
        <v>406</v>
      </c>
      <c r="G260" s="5"/>
      <c r="H260" s="5">
        <v>111580</v>
      </c>
      <c r="I260" s="5">
        <f>44852+49890+411+321</f>
        <v>95474</v>
      </c>
      <c r="J260" s="5">
        <f>7436+8658</f>
        <v>16094</v>
      </c>
      <c r="K260" s="5">
        <f>9+3</f>
        <v>12</v>
      </c>
      <c r="L260" s="5">
        <f>I260+J260+K260</f>
        <v>111580</v>
      </c>
      <c r="M260" s="5">
        <f>L260-H260</f>
        <v>0</v>
      </c>
      <c r="N260" s="6">
        <f>(I260-J260)/H260</f>
        <v>0.71141781681304894</v>
      </c>
      <c r="O260">
        <v>34</v>
      </c>
      <c r="R260">
        <v>124769</v>
      </c>
      <c r="S260">
        <f>49697+444+55046+360</f>
        <v>105547</v>
      </c>
      <c r="T260">
        <f>9003+10168</f>
        <v>19171</v>
      </c>
      <c r="U260">
        <f>40+11</f>
        <v>51</v>
      </c>
      <c r="V260">
        <f>SUM(S260:U260)</f>
        <v>124769</v>
      </c>
      <c r="W260">
        <f>R260-V260</f>
        <v>0</v>
      </c>
      <c r="X260" s="6">
        <f>(S260-T260)/R260</f>
        <v>0.692287347017288</v>
      </c>
      <c r="Y260">
        <v>21</v>
      </c>
      <c r="AB260">
        <v>111827</v>
      </c>
      <c r="AC260">
        <f>42383+48558</f>
        <v>90941</v>
      </c>
      <c r="AD260">
        <f>9493+11222</f>
        <v>20715</v>
      </c>
      <c r="AE260">
        <f>18+9+16+12+57+18+8+9+7+17</f>
        <v>171</v>
      </c>
      <c r="AF260">
        <f>SUM(AC260:AE260)</f>
        <v>111827</v>
      </c>
      <c r="AG260">
        <f>AB260-AF260</f>
        <v>0</v>
      </c>
      <c r="AH260">
        <f>(AC260-AD260)/AB260</f>
        <v>0.62798787412699975</v>
      </c>
    </row>
    <row r="261" spans="1:34" x14ac:dyDescent="0.2">
      <c r="A261">
        <v>470940</v>
      </c>
      <c r="B261" t="s">
        <v>337</v>
      </c>
      <c r="C261" t="s">
        <v>342</v>
      </c>
      <c r="D261" t="s">
        <v>343</v>
      </c>
      <c r="E261" s="4">
        <v>34</v>
      </c>
      <c r="F261" s="5" t="s">
        <v>407</v>
      </c>
      <c r="G261" s="5"/>
      <c r="H261" s="5">
        <v>292942</v>
      </c>
      <c r="I261" s="5">
        <f>79973+2457+86965+2011</f>
        <v>171406</v>
      </c>
      <c r="J261" s="5">
        <f>56778+64720</f>
        <v>121498</v>
      </c>
      <c r="K261" s="5">
        <f>30+8</f>
        <v>38</v>
      </c>
      <c r="L261" s="5">
        <f>I261+J261+K261</f>
        <v>292942</v>
      </c>
      <c r="M261" s="5">
        <f>L261-H261</f>
        <v>0</v>
      </c>
      <c r="N261" s="6">
        <f>(I261-J261)/H261</f>
        <v>0.17036819575206014</v>
      </c>
      <c r="O261">
        <v>34</v>
      </c>
      <c r="R261">
        <v>396000</v>
      </c>
      <c r="S261">
        <f>115855+2326+128347+2185</f>
        <v>248713</v>
      </c>
      <c r="T261">
        <f>68786+78355</f>
        <v>147141</v>
      </c>
      <c r="U261">
        <f>84+62</f>
        <v>146</v>
      </c>
      <c r="V261">
        <f>SUM(S261:U261)</f>
        <v>396000</v>
      </c>
      <c r="W261">
        <f>R261-V261</f>
        <v>0</v>
      </c>
      <c r="X261" s="6">
        <f>(S261-T261)/R261</f>
        <v>0.2564949494949495</v>
      </c>
      <c r="Y261">
        <v>21</v>
      </c>
      <c r="AB261">
        <v>497524</v>
      </c>
      <c r="AC261">
        <f>147856+164943</f>
        <v>312799</v>
      </c>
      <c r="AD261">
        <f>86287+98033</f>
        <v>184320</v>
      </c>
      <c r="AE261">
        <f>21+27+140+9+12+42+28+110+8+8</f>
        <v>405</v>
      </c>
      <c r="AF261">
        <f>SUM(AC261:AE261)</f>
        <v>497524</v>
      </c>
      <c r="AG261">
        <f>AB261-AF261</f>
        <v>0</v>
      </c>
      <c r="AH261">
        <f>(AC261-AD261)/AB261</f>
        <v>0.25823678857703347</v>
      </c>
    </row>
    <row r="262" spans="1:34" x14ac:dyDescent="0.2">
      <c r="E262" s="4"/>
      <c r="F262" s="5"/>
      <c r="G262" s="5"/>
      <c r="H262" s="5"/>
      <c r="I262" s="5"/>
      <c r="J262" s="5"/>
      <c r="K262" s="5"/>
      <c r="L262" s="5"/>
      <c r="M262" s="5"/>
      <c r="N262" s="6"/>
      <c r="X262" s="6"/>
    </row>
    <row r="263" spans="1:34" x14ac:dyDescent="0.2">
      <c r="A263">
        <v>480595</v>
      </c>
      <c r="B263" t="s">
        <v>344</v>
      </c>
      <c r="C263" t="s">
        <v>345</v>
      </c>
      <c r="D263" t="s">
        <v>346</v>
      </c>
      <c r="E263" s="4">
        <v>31</v>
      </c>
      <c r="F263" s="5" t="s">
        <v>399</v>
      </c>
      <c r="G263" s="5"/>
      <c r="H263" s="5">
        <v>22083</v>
      </c>
      <c r="I263" s="5">
        <v>21983</v>
      </c>
      <c r="J263" s="5">
        <v>91</v>
      </c>
      <c r="K263" s="5">
        <v>9</v>
      </c>
      <c r="L263" s="5">
        <f>I263+J263+K263</f>
        <v>22083</v>
      </c>
      <c r="M263" s="5">
        <f>L263-H263</f>
        <v>0</v>
      </c>
      <c r="N263" s="6">
        <f>(I263-J263)/H263</f>
        <v>0.99135081284245796</v>
      </c>
      <c r="O263">
        <v>34</v>
      </c>
      <c r="R263">
        <v>36066</v>
      </c>
      <c r="S263">
        <f>15121+2233+15911+2666</f>
        <v>35931</v>
      </c>
      <c r="T263">
        <f>47+54</f>
        <v>101</v>
      </c>
      <c r="U263">
        <f>21+13</f>
        <v>34</v>
      </c>
      <c r="V263">
        <f>SUM(S263:U263)</f>
        <v>36066</v>
      </c>
      <c r="W263">
        <f>R263-V263</f>
        <v>0</v>
      </c>
      <c r="X263" s="6">
        <f>(S263-T263)/R263</f>
        <v>0.99345644096933405</v>
      </c>
      <c r="Y263">
        <v>21</v>
      </c>
      <c r="AB263">
        <v>48040</v>
      </c>
      <c r="AC263">
        <f>22443+25425</f>
        <v>47868</v>
      </c>
      <c r="AD263">
        <f>77+63</f>
        <v>140</v>
      </c>
      <c r="AE263">
        <f>2+5+9+4+1+5+3+3</f>
        <v>32</v>
      </c>
      <c r="AF263">
        <f>SUM(AC263:AE263)</f>
        <v>48040</v>
      </c>
      <c r="AG263">
        <f>AB263-AF263</f>
        <v>0</v>
      </c>
      <c r="AH263">
        <f>(AC263-AD263)/AB263</f>
        <v>0.99350541215653621</v>
      </c>
    </row>
    <row r="264" spans="1:34" x14ac:dyDescent="0.2">
      <c r="A264">
        <v>481925</v>
      </c>
      <c r="B264" t="s">
        <v>344</v>
      </c>
      <c r="C264" t="s">
        <v>347</v>
      </c>
      <c r="D264" t="s">
        <v>348</v>
      </c>
      <c r="E264" s="4">
        <v>30</v>
      </c>
      <c r="F264" s="5" t="s">
        <v>404</v>
      </c>
      <c r="G264" s="5"/>
      <c r="H264" s="5">
        <v>7795</v>
      </c>
      <c r="I264" s="5">
        <f>6336+51</f>
        <v>6387</v>
      </c>
      <c r="J264" s="5">
        <f>1408</f>
        <v>1408</v>
      </c>
      <c r="K264" s="5">
        <v>0</v>
      </c>
      <c r="L264" s="5">
        <f>I264+J264+K264</f>
        <v>7795</v>
      </c>
      <c r="M264" s="5">
        <f>L264-H264</f>
        <v>0</v>
      </c>
      <c r="N264" s="6">
        <f>(I264-J264)/H264</f>
        <v>0.63874278383579219</v>
      </c>
      <c r="O264">
        <v>38</v>
      </c>
      <c r="R264">
        <v>8363</v>
      </c>
      <c r="S264">
        <f>3242+29+3579+23</f>
        <v>6873</v>
      </c>
      <c r="T264">
        <f>699+791</f>
        <v>1490</v>
      </c>
      <c r="V264">
        <f>SUM(S264:U264)</f>
        <v>8363</v>
      </c>
      <c r="W264">
        <f>R264-V264</f>
        <v>0</v>
      </c>
      <c r="X264" s="6">
        <f>(S264-T264)/R264</f>
        <v>0.64366853999760854</v>
      </c>
      <c r="Y264">
        <v>22</v>
      </c>
      <c r="AB264">
        <v>7402</v>
      </c>
      <c r="AC264">
        <v>6069</v>
      </c>
      <c r="AD264">
        <v>1315</v>
      </c>
      <c r="AE264">
        <v>18</v>
      </c>
      <c r="AF264">
        <f>SUM(AC264:AE264)</f>
        <v>7402</v>
      </c>
      <c r="AG264">
        <f>AB264-AF264</f>
        <v>0</v>
      </c>
      <c r="AH264">
        <f>(AC264-AD264)/AB264</f>
        <v>0.64225884895974061</v>
      </c>
    </row>
    <row r="265" spans="1:34" x14ac:dyDescent="0.2">
      <c r="A265">
        <v>481975</v>
      </c>
      <c r="B265" t="s">
        <v>344</v>
      </c>
      <c r="C265" t="s">
        <v>81</v>
      </c>
      <c r="D265" t="s">
        <v>349</v>
      </c>
      <c r="E265" s="4" t="s">
        <v>401</v>
      </c>
      <c r="F265" s="5" t="s">
        <v>402</v>
      </c>
      <c r="G265" s="5"/>
      <c r="H265" s="5">
        <v>384514</v>
      </c>
      <c r="I265" s="5">
        <v>297959</v>
      </c>
      <c r="J265" s="5">
        <v>86302</v>
      </c>
      <c r="K265" s="5">
        <v>253</v>
      </c>
      <c r="L265" s="5">
        <f>I265+J265+K265</f>
        <v>384514</v>
      </c>
      <c r="M265" s="5">
        <f>L265-H265</f>
        <v>0</v>
      </c>
      <c r="N265" s="6">
        <f>(I265-J265)/H265</f>
        <v>0.55045329948974553</v>
      </c>
      <c r="O265">
        <v>34</v>
      </c>
      <c r="R265">
        <v>596163</v>
      </c>
      <c r="S265">
        <f>222472+9142+230633+8256</f>
        <v>470503</v>
      </c>
      <c r="T265">
        <f>59675+65091</f>
        <v>124766</v>
      </c>
      <c r="U265">
        <f>524+370</f>
        <v>894</v>
      </c>
      <c r="V265">
        <f>SUM(S265:U265)</f>
        <v>596163</v>
      </c>
      <c r="W265">
        <f>R265-V265</f>
        <v>0</v>
      </c>
      <c r="X265" s="6">
        <f>(S265-T265)/R265</f>
        <v>0.57993703064430369</v>
      </c>
      <c r="Y265">
        <v>21</v>
      </c>
      <c r="AB265">
        <v>938219</v>
      </c>
      <c r="AC265">
        <f>352827+367720</f>
        <v>720547</v>
      </c>
      <c r="AD265">
        <f>103471+111566</f>
        <v>215037</v>
      </c>
      <c r="AE265">
        <f>146+131+934+72+103+140+194+765+63+87</f>
        <v>2635</v>
      </c>
      <c r="AF265">
        <f>SUM(AC265:AE265)</f>
        <v>938219</v>
      </c>
      <c r="AG265">
        <f>AB265-AF265</f>
        <v>0</v>
      </c>
      <c r="AH265">
        <f>(AC265-AD265)/AB265</f>
        <v>0.53879744494622261</v>
      </c>
    </row>
    <row r="266" spans="1:34" x14ac:dyDescent="0.2">
      <c r="A266">
        <v>480015</v>
      </c>
      <c r="B266" t="s">
        <v>344</v>
      </c>
      <c r="C266" t="s">
        <v>350</v>
      </c>
      <c r="D266" t="s">
        <v>351</v>
      </c>
      <c r="E266" s="4">
        <v>31</v>
      </c>
      <c r="F266" s="5" t="s">
        <v>403</v>
      </c>
      <c r="G266" s="5"/>
      <c r="H266" s="5">
        <v>26612</v>
      </c>
      <c r="I266" s="5">
        <v>25096</v>
      </c>
      <c r="J266" s="5">
        <v>1515</v>
      </c>
      <c r="K266" s="5">
        <v>1</v>
      </c>
      <c r="L266" s="5">
        <f>I266+J266+K266</f>
        <v>26612</v>
      </c>
      <c r="M266" s="5">
        <f>L266-H266</f>
        <v>0</v>
      </c>
      <c r="N266" s="6">
        <f>(I266-J266)/H266</f>
        <v>0.88610401322711563</v>
      </c>
      <c r="O266">
        <v>34</v>
      </c>
      <c r="R266">
        <v>45570</v>
      </c>
      <c r="S266">
        <f>20938+209+22032+163</f>
        <v>43342</v>
      </c>
      <c r="T266">
        <f>1065+1133</f>
        <v>2198</v>
      </c>
      <c r="U266">
        <f>20+10</f>
        <v>30</v>
      </c>
      <c r="V266">
        <f>SUM(S266:U266)</f>
        <v>45570</v>
      </c>
      <c r="W266">
        <f>R266-V266</f>
        <v>0</v>
      </c>
      <c r="X266" s="6">
        <f>(S266-T266)/R266</f>
        <v>0.90287469826640332</v>
      </c>
      <c r="Y266">
        <v>21</v>
      </c>
      <c r="AB266">
        <v>90368</v>
      </c>
      <c r="AC266">
        <f>42947+42830</f>
        <v>85777</v>
      </c>
      <c r="AD266">
        <f>2276+2162</f>
        <v>4438</v>
      </c>
      <c r="AE266">
        <f>20+25+14+4+15+17+39+8+1+10</f>
        <v>153</v>
      </c>
      <c r="AF266">
        <f>SUM(AC266:AE266)</f>
        <v>90368</v>
      </c>
      <c r="AG266">
        <f>AB266-AF266</f>
        <v>0</v>
      </c>
      <c r="AH266">
        <f>(AC266-AD266)/AB266</f>
        <v>0.90008631373937675</v>
      </c>
    </row>
    <row r="267" spans="1:34" x14ac:dyDescent="0.2">
      <c r="A267">
        <v>480210</v>
      </c>
      <c r="B267" t="s">
        <v>344</v>
      </c>
      <c r="C267" t="s">
        <v>352</v>
      </c>
      <c r="D267" t="s">
        <v>353</v>
      </c>
      <c r="E267" s="4">
        <v>31</v>
      </c>
      <c r="F267" s="5" t="s">
        <v>400</v>
      </c>
      <c r="G267" s="5"/>
      <c r="H267" s="5">
        <v>87930</v>
      </c>
      <c r="I267" s="5">
        <v>73025</v>
      </c>
      <c r="J267" s="5">
        <v>14861</v>
      </c>
      <c r="K267" s="5">
        <v>44</v>
      </c>
      <c r="L267" s="5">
        <f>I267+J267+K267</f>
        <v>87930</v>
      </c>
      <c r="M267" s="5">
        <f>L267-H267</f>
        <v>0</v>
      </c>
      <c r="N267" s="6">
        <f>(I267-J267)/H267</f>
        <v>0.66148072330262708</v>
      </c>
      <c r="O267">
        <v>34</v>
      </c>
      <c r="R267">
        <v>132459</v>
      </c>
      <c r="S267">
        <f>55070+1793+56020+1769</f>
        <v>114652</v>
      </c>
      <c r="T267">
        <f>8000+9667</f>
        <v>17667</v>
      </c>
      <c r="U267">
        <f>93+47</f>
        <v>140</v>
      </c>
      <c r="V267">
        <f>SUM(S267:U267)</f>
        <v>132459</v>
      </c>
      <c r="W267">
        <f>R267-V267</f>
        <v>0</v>
      </c>
      <c r="X267" s="6">
        <f>(S267-T267)/R267</f>
        <v>0.73218882824119158</v>
      </c>
      <c r="Y267">
        <v>21</v>
      </c>
      <c r="AB267">
        <v>186545</v>
      </c>
      <c r="AC267">
        <f>79985+81821</f>
        <v>161806</v>
      </c>
      <c r="AD267">
        <f>11352+13061</f>
        <v>24413</v>
      </c>
      <c r="AE267">
        <f>21+38+72+9+74+18+33+20+12+29</f>
        <v>326</v>
      </c>
      <c r="AF267">
        <f>SUM(AC267:AE267)</f>
        <v>186545</v>
      </c>
      <c r="AG267">
        <f>AB267-AF267</f>
        <v>0</v>
      </c>
      <c r="AH267">
        <f>(AC267-AD267)/AB267</f>
        <v>0.73651397786056982</v>
      </c>
    </row>
    <row r="268" spans="1:34" x14ac:dyDescent="0.2">
      <c r="E268" s="4"/>
      <c r="F268" s="5"/>
      <c r="G268" s="5"/>
      <c r="H268" s="5"/>
      <c r="I268" s="5"/>
      <c r="J268" s="5"/>
      <c r="K268" s="5"/>
      <c r="L268" s="5"/>
      <c r="M268" s="5"/>
      <c r="N268" s="6"/>
      <c r="X268" s="6"/>
    </row>
    <row r="269" spans="1:34" x14ac:dyDescent="0.2">
      <c r="A269">
        <v>500460</v>
      </c>
      <c r="B269" t="s">
        <v>354</v>
      </c>
      <c r="C269" t="s">
        <v>147</v>
      </c>
      <c r="D269" t="s">
        <v>355</v>
      </c>
      <c r="E269" s="4">
        <v>28</v>
      </c>
      <c r="F269" s="5" t="s">
        <v>398</v>
      </c>
      <c r="G269" s="5"/>
      <c r="H269" s="5">
        <v>27686</v>
      </c>
      <c r="I269" s="5">
        <f>11771+13365+1151+1304</f>
        <v>27591</v>
      </c>
      <c r="J269" s="5">
        <f>41+45</f>
        <v>86</v>
      </c>
      <c r="K269" s="5">
        <f>7+2</f>
        <v>9</v>
      </c>
      <c r="L269" s="5">
        <f>I269+J269+K269</f>
        <v>27686</v>
      </c>
      <c r="M269" s="5">
        <f>L269-H269</f>
        <v>0</v>
      </c>
      <c r="N269" s="6">
        <f>(I269-J269)/H269</f>
        <v>0.99346239976883621</v>
      </c>
      <c r="O269">
        <v>34</v>
      </c>
      <c r="R269">
        <v>33155</v>
      </c>
      <c r="S269">
        <f>14741+1018+16045+1277</f>
        <v>33081</v>
      </c>
      <c r="T269">
        <f>34+28</f>
        <v>62</v>
      </c>
      <c r="U269">
        <f>10+2</f>
        <v>12</v>
      </c>
      <c r="V269">
        <f>SUM(S269:U269)</f>
        <v>33155</v>
      </c>
      <c r="W269">
        <f>R269-V269</f>
        <v>0</v>
      </c>
      <c r="X269" s="6">
        <f>(S269-T269)/R269</f>
        <v>0.99589805459206759</v>
      </c>
      <c r="Y269">
        <v>21</v>
      </c>
      <c r="AB269">
        <v>35531</v>
      </c>
      <c r="AC269">
        <f>16657+18732</f>
        <v>35389</v>
      </c>
      <c r="AD269">
        <f>49+40</f>
        <v>89</v>
      </c>
      <c r="AE269">
        <f>1+3+17+1+6+3+8+10+1+3</f>
        <v>53</v>
      </c>
      <c r="AF269">
        <f>SUM(AC269:AE269)</f>
        <v>35531</v>
      </c>
      <c r="AG269">
        <f>AB269-AF269</f>
        <v>0</v>
      </c>
      <c r="AH269">
        <f>(AC269-AD269)/AB269</f>
        <v>0.99349863499479329</v>
      </c>
    </row>
    <row r="270" spans="1:34" x14ac:dyDescent="0.2">
      <c r="E270" s="4"/>
      <c r="F270" s="5"/>
      <c r="G270" s="5"/>
      <c r="H270" s="5"/>
      <c r="I270" s="5"/>
      <c r="J270" s="5"/>
      <c r="K270" s="5"/>
      <c r="L270" s="5"/>
      <c r="M270" s="5"/>
      <c r="N270" s="6"/>
      <c r="X270" s="6"/>
    </row>
    <row r="271" spans="1:34" x14ac:dyDescent="0.2">
      <c r="B271" s="1" t="s">
        <v>356</v>
      </c>
      <c r="C271" s="1" t="s">
        <v>357</v>
      </c>
      <c r="E271" s="4"/>
      <c r="F271" s="5"/>
      <c r="G271" s="5"/>
      <c r="H271" s="5"/>
      <c r="I271" s="5"/>
      <c r="J271" s="5"/>
      <c r="K271" s="5"/>
      <c r="L271" s="5">
        <f>I271+J271+K271</f>
        <v>0</v>
      </c>
      <c r="M271" s="5">
        <f>L271-H271</f>
        <v>0</v>
      </c>
      <c r="N271" s="6"/>
      <c r="V271">
        <f>SUM(S271:U271)</f>
        <v>0</v>
      </c>
      <c r="W271">
        <f>R271-V271</f>
        <v>0</v>
      </c>
      <c r="X271" s="6"/>
      <c r="AF271">
        <f>SUM(AC271:AE271)</f>
        <v>0</v>
      </c>
      <c r="AG271">
        <f>AB271-AF271</f>
        <v>0</v>
      </c>
      <c r="AH271" t="e">
        <f>(AC271-AD271)/AB271</f>
        <v>#DIV/0!</v>
      </c>
    </row>
    <row r="272" spans="1:34" x14ac:dyDescent="0.2">
      <c r="B272" s="1" t="s">
        <v>356</v>
      </c>
      <c r="C272" s="1" t="s">
        <v>358</v>
      </c>
      <c r="E272" s="4"/>
      <c r="F272" s="5"/>
      <c r="G272" s="5"/>
      <c r="H272" s="5"/>
      <c r="I272" s="5"/>
      <c r="J272" s="5"/>
      <c r="K272" s="5"/>
      <c r="L272" s="5">
        <f>I272+J272+K272</f>
        <v>0</v>
      </c>
      <c r="M272" s="5">
        <f>L272-H272</f>
        <v>0</v>
      </c>
      <c r="N272" s="6"/>
      <c r="V272">
        <f>SUM(S272:U272)</f>
        <v>0</v>
      </c>
      <c r="W272">
        <f>R272-V272</f>
        <v>0</v>
      </c>
      <c r="X272" s="6"/>
      <c r="AF272">
        <f>SUM(AC272:AE272)</f>
        <v>0</v>
      </c>
      <c r="AG272">
        <f>AB272-AF272</f>
        <v>0</v>
      </c>
      <c r="AH272" t="e">
        <f>(AC272-AD272)/AB272</f>
        <v>#DIV/0!</v>
      </c>
    </row>
    <row r="273" spans="1:34" x14ac:dyDescent="0.2">
      <c r="E273" s="4"/>
      <c r="F273" s="5"/>
      <c r="G273" s="5"/>
      <c r="H273" s="5"/>
      <c r="I273" s="5"/>
      <c r="J273" s="5"/>
      <c r="K273" s="5"/>
      <c r="L273" s="5"/>
      <c r="M273" s="5"/>
      <c r="N273" s="6"/>
      <c r="X273" s="6"/>
    </row>
    <row r="274" spans="1:34" x14ac:dyDescent="0.2">
      <c r="A274">
        <v>510960</v>
      </c>
      <c r="B274" t="s">
        <v>359</v>
      </c>
      <c r="C274" t="s">
        <v>360</v>
      </c>
      <c r="D274" t="s">
        <v>361</v>
      </c>
      <c r="E274" s="4">
        <v>28</v>
      </c>
      <c r="F274" s="5" t="s">
        <v>391</v>
      </c>
      <c r="G274" s="5"/>
      <c r="H274" s="5">
        <v>30631</v>
      </c>
      <c r="I274" s="5">
        <f>7944+135+8946+112</f>
        <v>17137</v>
      </c>
      <c r="J274" s="5">
        <f>6198+7285</f>
        <v>13483</v>
      </c>
      <c r="K274" s="5">
        <f>8+3</f>
        <v>11</v>
      </c>
      <c r="L274" s="5">
        <f t="shared" ref="L274:L281" si="112">I274+J274+K274</f>
        <v>30631</v>
      </c>
      <c r="M274" s="5">
        <f t="shared" ref="M274:M281" si="113">L274-H274</f>
        <v>0</v>
      </c>
      <c r="N274" s="6">
        <f t="shared" ref="N274:N281" si="114">(I274-J274)/H274</f>
        <v>0.11929091443309066</v>
      </c>
      <c r="O274">
        <v>34</v>
      </c>
      <c r="R274">
        <v>35054</v>
      </c>
      <c r="S274">
        <f>9430+156+10407+259</f>
        <v>20252</v>
      </c>
      <c r="T274">
        <f>6926+7850</f>
        <v>14776</v>
      </c>
      <c r="U274">
        <f>12+14</f>
        <v>26</v>
      </c>
      <c r="V274">
        <f t="shared" ref="V274:V281" si="115">SUM(S274:U274)</f>
        <v>35054</v>
      </c>
      <c r="W274">
        <f t="shared" ref="W274:W281" si="116">R274-V274</f>
        <v>0</v>
      </c>
      <c r="X274" s="6">
        <f t="shared" ref="X274:X281" si="117">(S274-T274)/R274</f>
        <v>0.15621612369487078</v>
      </c>
      <c r="Y274">
        <v>21</v>
      </c>
      <c r="AB274">
        <v>36750</v>
      </c>
      <c r="AC274">
        <f>9039+10333</f>
        <v>19372</v>
      </c>
      <c r="AD274">
        <f>8210+9141</f>
        <v>17351</v>
      </c>
      <c r="AE274">
        <f>3+2+1+3+5+3+4+6</f>
        <v>27</v>
      </c>
      <c r="AF274">
        <f t="shared" ref="AF274:AF281" si="118">SUM(AC274:AE274)</f>
        <v>36750</v>
      </c>
      <c r="AG274">
        <f t="shared" ref="AG274:AG281" si="119">AB274-AF274</f>
        <v>0</v>
      </c>
      <c r="AH274">
        <f t="shared" ref="AH274:AH281" si="120">(AC274-AD274)/AB274</f>
        <v>5.4993197278911568E-2</v>
      </c>
    </row>
    <row r="275" spans="1:34" x14ac:dyDescent="0.2">
      <c r="A275">
        <v>510242</v>
      </c>
      <c r="B275" t="s">
        <v>359</v>
      </c>
      <c r="C275" s="2" t="s">
        <v>362</v>
      </c>
      <c r="D275" t="s">
        <v>162</v>
      </c>
      <c r="E275" s="4">
        <v>52</v>
      </c>
      <c r="F275" s="5" t="s">
        <v>620</v>
      </c>
      <c r="G275" s="5">
        <v>1</v>
      </c>
      <c r="H275" s="5">
        <v>35828</v>
      </c>
      <c r="I275" s="5">
        <f>11742+11205+232+196</f>
        <v>23375</v>
      </c>
      <c r="J275" s="5">
        <f>6359+6089</f>
        <v>12448</v>
      </c>
      <c r="K275" s="5">
        <f>2+3</f>
        <v>5</v>
      </c>
      <c r="L275" s="5">
        <f t="shared" si="112"/>
        <v>35828</v>
      </c>
      <c r="M275" s="5">
        <f t="shared" si="113"/>
        <v>0</v>
      </c>
      <c r="N275" s="6">
        <f t="shared" si="114"/>
        <v>0.30498492798928212</v>
      </c>
      <c r="O275">
        <v>42</v>
      </c>
      <c r="P275" t="s">
        <v>620</v>
      </c>
      <c r="Q275">
        <v>1</v>
      </c>
      <c r="R275">
        <v>99937</v>
      </c>
      <c r="S275">
        <f>41170+499+41340+602</f>
        <v>83611</v>
      </c>
      <c r="T275">
        <f>8013+8251</f>
        <v>16264</v>
      </c>
      <c r="U275">
        <f>42+20</f>
        <v>62</v>
      </c>
      <c r="V275">
        <f t="shared" si="115"/>
        <v>99937</v>
      </c>
      <c r="W275">
        <f t="shared" si="116"/>
        <v>0</v>
      </c>
      <c r="X275" s="6">
        <f t="shared" si="117"/>
        <v>0.67389455356874828</v>
      </c>
      <c r="Y275">
        <v>25</v>
      </c>
      <c r="Z275" t="s">
        <v>162</v>
      </c>
      <c r="AB275">
        <f>3346+11719+7073+18952+10522</f>
        <v>51612</v>
      </c>
      <c r="AC275">
        <f>1868+8915+4829+14300+8164</f>
        <v>38076</v>
      </c>
      <c r="AD275">
        <f>1477+2797+2238+4611+2355</f>
        <v>13478</v>
      </c>
      <c r="AE275">
        <f>1+7+6+41+3</f>
        <v>58</v>
      </c>
      <c r="AF275">
        <f t="shared" si="118"/>
        <v>51612</v>
      </c>
      <c r="AG275">
        <f t="shared" si="119"/>
        <v>0</v>
      </c>
      <c r="AH275">
        <f t="shared" si="120"/>
        <v>0.47659459040533209</v>
      </c>
    </row>
    <row r="276" spans="1:34" x14ac:dyDescent="0.2">
      <c r="A276">
        <v>510875</v>
      </c>
      <c r="B276" t="s">
        <v>359</v>
      </c>
      <c r="C276" t="s">
        <v>162</v>
      </c>
      <c r="D276" t="s">
        <v>162</v>
      </c>
      <c r="E276" s="4">
        <v>28</v>
      </c>
      <c r="F276" s="5" t="s">
        <v>392</v>
      </c>
      <c r="G276" s="5"/>
      <c r="H276" s="5">
        <v>144332</v>
      </c>
      <c r="I276" s="5">
        <f>48956+45635+2022+1635</f>
        <v>98248</v>
      </c>
      <c r="J276" s="5">
        <f>21831+24062</f>
        <v>45893</v>
      </c>
      <c r="K276" s="5">
        <f>140+51</f>
        <v>191</v>
      </c>
      <c r="L276" s="5">
        <f t="shared" si="112"/>
        <v>144332</v>
      </c>
      <c r="M276" s="5">
        <f t="shared" si="113"/>
        <v>0</v>
      </c>
      <c r="N276" s="6">
        <f t="shared" si="114"/>
        <v>0.36274007150181525</v>
      </c>
      <c r="O276">
        <v>34</v>
      </c>
      <c r="R276">
        <v>213513</v>
      </c>
      <c r="S276">
        <f>84901+2368+60756+2040</f>
        <v>150065</v>
      </c>
      <c r="T276">
        <f>30677+32149</f>
        <v>62826</v>
      </c>
      <c r="U276">
        <f>536+86</f>
        <v>622</v>
      </c>
      <c r="V276">
        <f t="shared" si="115"/>
        <v>213513</v>
      </c>
      <c r="W276">
        <f t="shared" si="116"/>
        <v>0</v>
      </c>
      <c r="X276" s="6">
        <f t="shared" si="117"/>
        <v>0.408588704200681</v>
      </c>
      <c r="Y276">
        <v>21</v>
      </c>
      <c r="AB276">
        <v>305872</v>
      </c>
      <c r="AC276">
        <f>121681+103570</f>
        <v>225251</v>
      </c>
      <c r="AD276">
        <f>38024+40782</f>
        <v>78806</v>
      </c>
      <c r="AE276">
        <f>153+28+136+638+188+83+126+77+303+83</f>
        <v>1815</v>
      </c>
      <c r="AF276">
        <f t="shared" si="118"/>
        <v>305872</v>
      </c>
      <c r="AG276">
        <f t="shared" si="119"/>
        <v>0</v>
      </c>
      <c r="AH276">
        <f t="shared" si="120"/>
        <v>0.47877870481770152</v>
      </c>
    </row>
    <row r="277" spans="1:34" x14ac:dyDescent="0.2">
      <c r="A277">
        <v>511200</v>
      </c>
      <c r="B277" t="s">
        <v>359</v>
      </c>
      <c r="C277" t="s">
        <v>172</v>
      </c>
      <c r="D277" t="s">
        <v>363</v>
      </c>
      <c r="E277" s="4">
        <v>28</v>
      </c>
      <c r="F277" s="5" t="s">
        <v>393</v>
      </c>
      <c r="G277" s="5"/>
      <c r="H277" s="5">
        <v>11343</v>
      </c>
      <c r="I277" s="5">
        <f>3498+3905+60+41</f>
        <v>7504</v>
      </c>
      <c r="J277" s="5">
        <f>1696+2141</f>
        <v>3837</v>
      </c>
      <c r="K277" s="5">
        <v>2</v>
      </c>
      <c r="L277" s="5">
        <f t="shared" si="112"/>
        <v>11343</v>
      </c>
      <c r="M277" s="5">
        <f t="shared" si="113"/>
        <v>0</v>
      </c>
      <c r="N277" s="6">
        <f t="shared" si="114"/>
        <v>0.32328308207705192</v>
      </c>
      <c r="O277">
        <v>34</v>
      </c>
      <c r="R277">
        <v>12339</v>
      </c>
      <c r="S277">
        <f>3636+45+4097+35</f>
        <v>7813</v>
      </c>
      <c r="T277">
        <f>2126+2395</f>
        <v>4521</v>
      </c>
      <c r="U277">
        <f>4+1</f>
        <v>5</v>
      </c>
      <c r="V277">
        <f t="shared" si="115"/>
        <v>12339</v>
      </c>
      <c r="W277">
        <f t="shared" si="116"/>
        <v>0</v>
      </c>
      <c r="X277" s="6">
        <f t="shared" si="117"/>
        <v>0.26679633681821868</v>
      </c>
      <c r="Y277">
        <v>21</v>
      </c>
      <c r="AB277">
        <v>12609</v>
      </c>
      <c r="AC277">
        <f>3700+4199</f>
        <v>7899</v>
      </c>
      <c r="AD277">
        <f>2219+2480</f>
        <v>4699</v>
      </c>
      <c r="AE277">
        <f>2+3+3+2+1</f>
        <v>11</v>
      </c>
      <c r="AF277">
        <f t="shared" si="118"/>
        <v>12609</v>
      </c>
      <c r="AG277">
        <f t="shared" si="119"/>
        <v>0</v>
      </c>
      <c r="AH277">
        <f t="shared" si="120"/>
        <v>0.25378697755571417</v>
      </c>
    </row>
    <row r="278" spans="1:34" x14ac:dyDescent="0.2">
      <c r="A278">
        <v>510860</v>
      </c>
      <c r="B278" t="s">
        <v>359</v>
      </c>
      <c r="C278" t="s">
        <v>364</v>
      </c>
      <c r="D278" t="s">
        <v>365</v>
      </c>
      <c r="E278" s="4">
        <v>28</v>
      </c>
      <c r="F278" s="5" t="s">
        <v>394</v>
      </c>
      <c r="G278" s="5"/>
      <c r="H278" s="5">
        <v>37067</v>
      </c>
      <c r="I278" s="5">
        <f>10884+9834+605+449</f>
        <v>21772</v>
      </c>
      <c r="J278" s="5">
        <f>7459+7824</f>
        <v>15283</v>
      </c>
      <c r="K278" s="5">
        <v>12</v>
      </c>
      <c r="L278" s="5">
        <f t="shared" si="112"/>
        <v>37067</v>
      </c>
      <c r="M278" s="5">
        <f t="shared" si="113"/>
        <v>0</v>
      </c>
      <c r="N278" s="6">
        <f t="shared" si="114"/>
        <v>0.17506137534734401</v>
      </c>
      <c r="O278">
        <v>34</v>
      </c>
      <c r="R278">
        <v>42358</v>
      </c>
      <c r="S278">
        <f>11497+684+11437+440</f>
        <v>24058</v>
      </c>
      <c r="T278">
        <f>8810+9404</f>
        <v>18214</v>
      </c>
      <c r="U278">
        <f>68+18</f>
        <v>86</v>
      </c>
      <c r="V278">
        <f t="shared" si="115"/>
        <v>42358</v>
      </c>
      <c r="W278">
        <f t="shared" si="116"/>
        <v>0</v>
      </c>
      <c r="X278" s="6">
        <f t="shared" si="117"/>
        <v>0.13796685395911043</v>
      </c>
      <c r="Y278">
        <v>21</v>
      </c>
      <c r="AB278">
        <v>113662</v>
      </c>
      <c r="AC278">
        <f>39496+35106</f>
        <v>74602</v>
      </c>
      <c r="AD278">
        <f>19070+19630</f>
        <v>38700</v>
      </c>
      <c r="AE278">
        <f>32+62+34+46+16+17+92+16+27+18</f>
        <v>360</v>
      </c>
      <c r="AF278">
        <f t="shared" si="118"/>
        <v>113662</v>
      </c>
      <c r="AG278">
        <f t="shared" si="119"/>
        <v>0</v>
      </c>
      <c r="AH278">
        <f t="shared" si="120"/>
        <v>0.3158663405535711</v>
      </c>
    </row>
    <row r="279" spans="1:34" x14ac:dyDescent="0.2">
      <c r="A279">
        <v>510760</v>
      </c>
      <c r="B279" t="s">
        <v>359</v>
      </c>
      <c r="C279" t="s">
        <v>366</v>
      </c>
      <c r="E279" s="4">
        <v>28</v>
      </c>
      <c r="F279" s="5" t="s">
        <v>395</v>
      </c>
      <c r="G279" s="5"/>
      <c r="H279" s="5">
        <v>44541</v>
      </c>
      <c r="I279" s="5">
        <f>15725+18316+152+112</f>
        <v>34305</v>
      </c>
      <c r="J279" s="5">
        <f>4463+5773</f>
        <v>10236</v>
      </c>
      <c r="K279" s="5">
        <v>0</v>
      </c>
      <c r="L279" s="5">
        <f t="shared" si="112"/>
        <v>44541</v>
      </c>
      <c r="M279" s="5">
        <f t="shared" si="113"/>
        <v>0</v>
      </c>
      <c r="N279" s="6">
        <f t="shared" si="114"/>
        <v>0.54037852764868322</v>
      </c>
      <c r="O279">
        <v>34</v>
      </c>
      <c r="R279">
        <v>47727</v>
      </c>
      <c r="S279">
        <f>16750+142+20191+164</f>
        <v>37247</v>
      </c>
      <c r="T279">
        <f>4733+5740</f>
        <v>10473</v>
      </c>
      <c r="U279">
        <f>3+4</f>
        <v>7</v>
      </c>
      <c r="V279">
        <f t="shared" si="115"/>
        <v>47727</v>
      </c>
      <c r="W279">
        <f t="shared" si="116"/>
        <v>0</v>
      </c>
      <c r="X279" s="6">
        <f t="shared" si="117"/>
        <v>0.56098225323192319</v>
      </c>
      <c r="Y279">
        <v>21</v>
      </c>
      <c r="AB279">
        <v>54790</v>
      </c>
      <c r="AC279">
        <f>19923+23742</f>
        <v>43665</v>
      </c>
      <c r="AD279">
        <f>5134+5975</f>
        <v>11109</v>
      </c>
      <c r="AE279">
        <f>1+6+2+2+3+1+1</f>
        <v>16</v>
      </c>
      <c r="AF279">
        <f t="shared" si="118"/>
        <v>54790</v>
      </c>
      <c r="AG279">
        <f t="shared" si="119"/>
        <v>0</v>
      </c>
      <c r="AH279">
        <f t="shared" si="120"/>
        <v>0.59419602117174664</v>
      </c>
    </row>
    <row r="280" spans="1:34" x14ac:dyDescent="0.2">
      <c r="A280">
        <v>510990</v>
      </c>
      <c r="B280" t="s">
        <v>359</v>
      </c>
      <c r="C280" t="s">
        <v>212</v>
      </c>
      <c r="E280" s="4">
        <v>28</v>
      </c>
      <c r="F280" s="5" t="s">
        <v>396</v>
      </c>
      <c r="G280" s="5"/>
      <c r="H280" s="5">
        <v>50745</v>
      </c>
      <c r="I280" s="5">
        <f>16048+14459+380+381</f>
        <v>31268</v>
      </c>
      <c r="J280" s="5">
        <f>9132+10206</f>
        <v>19338</v>
      </c>
      <c r="K280" s="5">
        <f>91+48</f>
        <v>139</v>
      </c>
      <c r="L280" s="5">
        <f t="shared" si="112"/>
        <v>50745</v>
      </c>
      <c r="M280" s="5">
        <f t="shared" si="113"/>
        <v>0</v>
      </c>
      <c r="N280" s="6">
        <f t="shared" si="114"/>
        <v>0.23509705389693566</v>
      </c>
      <c r="O280">
        <v>34</v>
      </c>
      <c r="R280">
        <v>80039</v>
      </c>
      <c r="S280">
        <f>28122+431+20333+424</f>
        <v>49310</v>
      </c>
      <c r="T280">
        <f>14769+15725</f>
        <v>30494</v>
      </c>
      <c r="U280">
        <f>196+39</f>
        <v>235</v>
      </c>
      <c r="V280">
        <f t="shared" si="115"/>
        <v>80039</v>
      </c>
      <c r="W280">
        <f t="shared" si="116"/>
        <v>0</v>
      </c>
      <c r="X280" s="6">
        <f t="shared" si="117"/>
        <v>0.2350853958695136</v>
      </c>
      <c r="Y280">
        <v>21</v>
      </c>
      <c r="AB280">
        <v>114773</v>
      </c>
      <c r="AC280">
        <f>40045+35047</f>
        <v>75092</v>
      </c>
      <c r="AD280">
        <f>18924+20366</f>
        <v>39290</v>
      </c>
      <c r="AE280">
        <f>32+11+17+187+28+8+16+17+65+10</f>
        <v>391</v>
      </c>
      <c r="AF280">
        <f t="shared" si="118"/>
        <v>114773</v>
      </c>
      <c r="AG280">
        <f t="shared" si="119"/>
        <v>0</v>
      </c>
      <c r="AH280">
        <f t="shared" si="120"/>
        <v>0.31193747658421406</v>
      </c>
    </row>
    <row r="281" spans="1:34" x14ac:dyDescent="0.2">
      <c r="A281">
        <v>511035</v>
      </c>
      <c r="B281" t="s">
        <v>359</v>
      </c>
      <c r="C281" t="s">
        <v>367</v>
      </c>
      <c r="E281" s="4">
        <v>28</v>
      </c>
      <c r="F281" s="5" t="s">
        <v>397</v>
      </c>
      <c r="G281" s="5"/>
      <c r="H281" s="5">
        <v>193042</v>
      </c>
      <c r="I281" s="5">
        <f>60203+68090+1829+1584</f>
        <v>131706</v>
      </c>
      <c r="J281" s="5">
        <f>28125+33126</f>
        <v>61251</v>
      </c>
      <c r="K281" s="5">
        <f>63+22</f>
        <v>85</v>
      </c>
      <c r="L281" s="5">
        <f t="shared" si="112"/>
        <v>193042</v>
      </c>
      <c r="M281" s="5">
        <f t="shared" si="113"/>
        <v>0</v>
      </c>
      <c r="N281" s="6">
        <f t="shared" si="114"/>
        <v>0.36497238942820731</v>
      </c>
      <c r="O281">
        <v>34</v>
      </c>
      <c r="R281">
        <v>230310</v>
      </c>
      <c r="S281">
        <f>70894+1860+82638+1836</f>
        <v>157228</v>
      </c>
      <c r="T281">
        <f>34383+38613</f>
        <v>72996</v>
      </c>
      <c r="U281">
        <f>52+34</f>
        <v>86</v>
      </c>
      <c r="V281">
        <f t="shared" si="115"/>
        <v>230310</v>
      </c>
      <c r="W281">
        <f t="shared" si="116"/>
        <v>0</v>
      </c>
      <c r="X281" s="6">
        <f t="shared" si="117"/>
        <v>0.36573314228648346</v>
      </c>
      <c r="Y281">
        <v>21</v>
      </c>
      <c r="AB281">
        <v>219958</v>
      </c>
      <c r="AC281">
        <f>57885+69742</f>
        <v>127627</v>
      </c>
      <c r="AD281">
        <f>43291+48681</f>
        <v>91972</v>
      </c>
      <c r="AE281">
        <f>43+12+82+5+37+50+19+68+8+35</f>
        <v>359</v>
      </c>
      <c r="AF281">
        <f t="shared" si="118"/>
        <v>219958</v>
      </c>
      <c r="AG281">
        <f t="shared" si="119"/>
        <v>0</v>
      </c>
      <c r="AH281">
        <f t="shared" si="120"/>
        <v>0.1620991280153484</v>
      </c>
    </row>
    <row r="282" spans="1:34" x14ac:dyDescent="0.2">
      <c r="E282" s="4"/>
      <c r="F282" s="5"/>
      <c r="G282" s="5"/>
      <c r="H282" s="5"/>
      <c r="I282" s="5"/>
      <c r="J282" s="5"/>
      <c r="K282" s="5"/>
      <c r="L282" s="5"/>
      <c r="M282" s="5"/>
      <c r="N282" s="6"/>
      <c r="X282" s="6"/>
    </row>
    <row r="283" spans="1:34" x14ac:dyDescent="0.2">
      <c r="A283">
        <v>540280</v>
      </c>
      <c r="B283" t="s">
        <v>368</v>
      </c>
      <c r="C283" t="s">
        <v>323</v>
      </c>
      <c r="D283" t="s">
        <v>369</v>
      </c>
      <c r="E283" s="4">
        <v>28</v>
      </c>
      <c r="F283" s="5" t="s">
        <v>386</v>
      </c>
      <c r="G283" s="5"/>
      <c r="H283" s="5">
        <v>67702</v>
      </c>
      <c r="I283" s="5">
        <f>28685+30599+881+612</f>
        <v>60777</v>
      </c>
      <c r="J283" s="5">
        <f>3238+3676</f>
        <v>6914</v>
      </c>
      <c r="K283" s="5">
        <f>8+3</f>
        <v>11</v>
      </c>
      <c r="L283" s="5">
        <f>I283+J283+K283</f>
        <v>67702</v>
      </c>
      <c r="M283" s="5">
        <f>L283-H283</f>
        <v>0</v>
      </c>
      <c r="N283" s="6">
        <f>(I283-J283)/H283</f>
        <v>0.79558949514046851</v>
      </c>
      <c r="O283">
        <v>34</v>
      </c>
      <c r="R283">
        <v>73501</v>
      </c>
      <c r="S283">
        <f>30514+797+34408+658</f>
        <v>66377</v>
      </c>
      <c r="T283">
        <f>3316+3775</f>
        <v>7091</v>
      </c>
      <c r="U283">
        <f>26+7</f>
        <v>33</v>
      </c>
      <c r="V283">
        <f>SUM(S283:U283)</f>
        <v>73501</v>
      </c>
      <c r="W283">
        <f>R283-V283</f>
        <v>0</v>
      </c>
      <c r="X283" s="6">
        <f>(S283-T283)/R283</f>
        <v>0.80660127073101051</v>
      </c>
      <c r="Y283">
        <v>21</v>
      </c>
      <c r="AB283">
        <v>85796</v>
      </c>
      <c r="AC283">
        <f>36211+41251</f>
        <v>77462</v>
      </c>
      <c r="AD283">
        <f>3834+4430</f>
        <v>8264</v>
      </c>
      <c r="AE283">
        <f>1+4+12+6+30+7+2+3+5</f>
        <v>70</v>
      </c>
      <c r="AF283">
        <f>SUM(AC283:AE283)</f>
        <v>85796</v>
      </c>
      <c r="AG283">
        <f>AB283-AF283</f>
        <v>0</v>
      </c>
      <c r="AH283">
        <f>(AC283-AD283)/AB283</f>
        <v>0.80654109748706238</v>
      </c>
    </row>
    <row r="284" spans="1:34" x14ac:dyDescent="0.2">
      <c r="A284">
        <v>541640</v>
      </c>
      <c r="B284" t="s">
        <v>368</v>
      </c>
      <c r="C284" t="s">
        <v>370</v>
      </c>
      <c r="D284" t="s">
        <v>371</v>
      </c>
      <c r="E284" s="4">
        <v>30</v>
      </c>
      <c r="F284" s="5" t="s">
        <v>370</v>
      </c>
      <c r="G284" s="5"/>
      <c r="H284" s="5">
        <v>6264</v>
      </c>
      <c r="I284" s="5">
        <f>4507+303</f>
        <v>4810</v>
      </c>
      <c r="J284" s="5">
        <f>1448</f>
        <v>1448</v>
      </c>
      <c r="K284" s="5">
        <v>6</v>
      </c>
      <c r="L284" s="5">
        <f>I284+J284+K284</f>
        <v>6264</v>
      </c>
      <c r="M284" s="5">
        <f>L284-H284</f>
        <v>0</v>
      </c>
      <c r="N284" s="6">
        <f>(I284-J284)/H284</f>
        <v>0.53671775223499363</v>
      </c>
      <c r="O284">
        <v>38</v>
      </c>
      <c r="R284">
        <v>6603</v>
      </c>
      <c r="S284">
        <f>2354+205+2406+109</f>
        <v>5074</v>
      </c>
      <c r="T284">
        <f>783+744</f>
        <v>1527</v>
      </c>
      <c r="U284">
        <v>2</v>
      </c>
      <c r="V284">
        <f>SUM(S284:U284)</f>
        <v>6603</v>
      </c>
      <c r="W284">
        <f>R284-V284</f>
        <v>0</v>
      </c>
      <c r="X284" s="6">
        <f>(S284-T284)/R284</f>
        <v>0.53718006966530363</v>
      </c>
      <c r="Y284">
        <v>22</v>
      </c>
      <c r="AB284">
        <v>5313</v>
      </c>
      <c r="AC284">
        <f>4176</f>
        <v>4176</v>
      </c>
      <c r="AD284">
        <v>1133</v>
      </c>
      <c r="AE284">
        <v>4</v>
      </c>
      <c r="AF284">
        <f>SUM(AC284:AE284)</f>
        <v>5313</v>
      </c>
      <c r="AG284">
        <f>AB284-AF284</f>
        <v>0</v>
      </c>
      <c r="AH284">
        <f>(AC284-AD284)/AB284</f>
        <v>0.57274609448522495</v>
      </c>
    </row>
    <row r="285" spans="1:34" x14ac:dyDescent="0.2">
      <c r="A285">
        <v>541690</v>
      </c>
      <c r="B285" t="s">
        <v>368</v>
      </c>
      <c r="C285" t="s">
        <v>372</v>
      </c>
      <c r="D285" t="s">
        <v>373</v>
      </c>
      <c r="E285" s="4">
        <v>31</v>
      </c>
      <c r="F285" s="5" t="s">
        <v>390</v>
      </c>
      <c r="G285" s="5"/>
      <c r="H285" s="5">
        <v>61099</v>
      </c>
      <c r="I285" s="5">
        <v>59186</v>
      </c>
      <c r="J285" s="5">
        <v>1897</v>
      </c>
      <c r="K285" s="5">
        <v>16</v>
      </c>
      <c r="L285" s="5">
        <f>I285+J285+K285</f>
        <v>61099</v>
      </c>
      <c r="M285" s="5">
        <f>L285-H285</f>
        <v>0</v>
      </c>
      <c r="N285" s="6">
        <f>(I285-J285)/H285</f>
        <v>0.93764218726984072</v>
      </c>
      <c r="O285">
        <v>34</v>
      </c>
      <c r="R285">
        <v>58891</v>
      </c>
      <c r="S285">
        <f>25085+1700+28581+1517</f>
        <v>56883</v>
      </c>
      <c r="T285">
        <f>925+1075</f>
        <v>2000</v>
      </c>
      <c r="U285">
        <f>4+4</f>
        <v>8</v>
      </c>
      <c r="V285">
        <f>SUM(S285:U285)</f>
        <v>58891</v>
      </c>
      <c r="W285">
        <f>R285-V285</f>
        <v>0</v>
      </c>
      <c r="X285" s="6">
        <f>(S285-T285)/R285</f>
        <v>0.93194206245436484</v>
      </c>
      <c r="Y285">
        <v>21</v>
      </c>
      <c r="AB285">
        <v>53400</v>
      </c>
      <c r="AC285">
        <f>23986+27566</f>
        <v>51552</v>
      </c>
      <c r="AD285">
        <f>844+945</f>
        <v>1789</v>
      </c>
      <c r="AE285">
        <f>3+1+10+15+5+6+1+6+8+4</f>
        <v>59</v>
      </c>
      <c r="AF285">
        <f>SUM(AC285:AE285)</f>
        <v>53400</v>
      </c>
      <c r="AG285">
        <f>AB285-AF285</f>
        <v>0</v>
      </c>
      <c r="AH285">
        <f>(AC285-AD285)/AB285</f>
        <v>0.93189138576779029</v>
      </c>
    </row>
    <row r="286" spans="1:34" x14ac:dyDescent="0.2">
      <c r="E286" s="4"/>
      <c r="F286" s="5"/>
      <c r="G286" s="5"/>
      <c r="H286" s="5"/>
      <c r="I286" s="5"/>
      <c r="J286" s="5"/>
      <c r="K286" s="5"/>
      <c r="L286" s="5"/>
      <c r="M286" s="5"/>
      <c r="N286" s="6"/>
      <c r="X286" s="6"/>
    </row>
    <row r="287" spans="1:34" x14ac:dyDescent="0.2">
      <c r="A287">
        <v>550810</v>
      </c>
      <c r="B287" t="s">
        <v>374</v>
      </c>
      <c r="C287" t="s">
        <v>375</v>
      </c>
      <c r="D287" t="s">
        <v>376</v>
      </c>
      <c r="E287" s="4">
        <v>28</v>
      </c>
      <c r="F287" s="5" t="s">
        <v>385</v>
      </c>
      <c r="G287" s="5"/>
      <c r="H287" s="5">
        <v>2382</v>
      </c>
      <c r="I287" s="5">
        <f>1079+1177+76+50</f>
        <v>2382</v>
      </c>
      <c r="J287" s="5">
        <v>0</v>
      </c>
      <c r="K287" s="5">
        <v>0</v>
      </c>
      <c r="L287" s="5">
        <f>I287+J287+K287</f>
        <v>2382</v>
      </c>
      <c r="M287" s="5">
        <f>L287-H287</f>
        <v>0</v>
      </c>
      <c r="N287" s="6">
        <f>(I287-J287)/H287</f>
        <v>1</v>
      </c>
      <c r="O287">
        <v>38</v>
      </c>
      <c r="R287">
        <v>2935</v>
      </c>
      <c r="S287">
        <f>1339+1459+78+59</f>
        <v>2935</v>
      </c>
      <c r="T287">
        <v>0</v>
      </c>
      <c r="V287">
        <f>SUM(S287:U287)</f>
        <v>2935</v>
      </c>
      <c r="W287">
        <f>R287-V287</f>
        <v>0</v>
      </c>
      <c r="X287" s="6">
        <f>(S287-T287)/R287</f>
        <v>1</v>
      </c>
      <c r="Y287">
        <v>22</v>
      </c>
      <c r="AB287">
        <v>3586</v>
      </c>
      <c r="AC287">
        <v>3586</v>
      </c>
      <c r="AD287">
        <v>0</v>
      </c>
      <c r="AE287">
        <v>0</v>
      </c>
      <c r="AF287">
        <f>SUM(AC287:AE287)</f>
        <v>3586</v>
      </c>
      <c r="AG287">
        <f>AB287-AF287</f>
        <v>0</v>
      </c>
      <c r="AH287">
        <f>(AC287-AD287)/AB287</f>
        <v>1</v>
      </c>
    </row>
    <row r="289" spans="5:25" x14ac:dyDescent="0.2">
      <c r="E289" s="10" t="s">
        <v>650</v>
      </c>
      <c r="O289" t="s">
        <v>657</v>
      </c>
      <c r="Y289" t="s">
        <v>666</v>
      </c>
    </row>
    <row r="290" spans="5:25" x14ac:dyDescent="0.2">
      <c r="E290" s="10" t="s">
        <v>651</v>
      </c>
      <c r="O290" t="s">
        <v>658</v>
      </c>
      <c r="Y290" t="s">
        <v>667</v>
      </c>
    </row>
    <row r="291" spans="5:25" x14ac:dyDescent="0.2">
      <c r="E291" s="10" t="s">
        <v>652</v>
      </c>
      <c r="O291" t="s">
        <v>659</v>
      </c>
      <c r="Y291" t="s">
        <v>668</v>
      </c>
    </row>
    <row r="292" spans="5:25" x14ac:dyDescent="0.2">
      <c r="E292" s="10" t="s">
        <v>653</v>
      </c>
      <c r="O292" t="s">
        <v>660</v>
      </c>
      <c r="Y292" t="s">
        <v>669</v>
      </c>
    </row>
    <row r="293" spans="5:25" x14ac:dyDescent="0.2">
      <c r="E293" s="10" t="s">
        <v>654</v>
      </c>
    </row>
    <row r="294" spans="5:25" x14ac:dyDescent="0.2">
      <c r="E294" s="10" t="s">
        <v>655</v>
      </c>
    </row>
    <row r="295" spans="5:25" x14ac:dyDescent="0.2">
      <c r="E295" s="10" t="s">
        <v>656</v>
      </c>
    </row>
  </sheetData>
  <mergeCells count="3">
    <mergeCell ref="E1:N1"/>
    <mergeCell ref="O1:X1"/>
    <mergeCell ref="Y1:AH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93"/>
  <sheetViews>
    <sheetView tabSelected="1" zoomScaleNormal="100" workbookViewId="0">
      <pane xSplit="4" ySplit="2" topLeftCell="E3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5" customWidth="1"/>
    <col min="2" max="2" width="10.6640625" customWidth="1"/>
    <col min="3" max="3" width="14.83203125" customWidth="1"/>
    <col min="4" max="4" width="12.5" customWidth="1"/>
    <col min="5" max="5" width="14.33203125" style="3" customWidth="1"/>
    <col min="6" max="6" width="22.33203125" customWidth="1"/>
    <col min="7" max="7" width="8.5" customWidth="1"/>
    <col min="15" max="15" width="14.33203125" style="3" customWidth="1"/>
    <col min="25" max="25" width="14.33203125" style="3" customWidth="1"/>
    <col min="26" max="26" width="26.6640625" customWidth="1"/>
  </cols>
  <sheetData>
    <row r="1" spans="1:35" x14ac:dyDescent="0.2">
      <c r="A1" t="s">
        <v>631</v>
      </c>
      <c r="E1" s="11">
        <v>1940</v>
      </c>
      <c r="F1" s="11"/>
      <c r="G1" s="11"/>
      <c r="H1" s="11"/>
      <c r="I1" s="11"/>
      <c r="J1" s="11"/>
      <c r="K1" s="11"/>
      <c r="L1" s="11"/>
      <c r="M1" s="11"/>
      <c r="N1" s="12"/>
      <c r="O1" s="11">
        <v>1950</v>
      </c>
      <c r="P1" s="11"/>
      <c r="Q1" s="11"/>
      <c r="R1" s="11"/>
      <c r="S1" s="11"/>
      <c r="T1" s="11"/>
      <c r="U1" s="11"/>
      <c r="V1" s="11"/>
      <c r="W1" s="11"/>
      <c r="X1" s="12"/>
      <c r="Y1" s="11">
        <v>1960</v>
      </c>
      <c r="Z1" s="11"/>
      <c r="AA1" s="11"/>
      <c r="AB1" s="11"/>
      <c r="AC1" s="11"/>
      <c r="AD1" s="11"/>
      <c r="AE1" s="11"/>
      <c r="AF1" s="11"/>
      <c r="AG1" s="11"/>
      <c r="AH1" s="11"/>
      <c r="AI1" s="12"/>
    </row>
    <row r="2" spans="1:35" x14ac:dyDescent="0.2">
      <c r="A2" t="s">
        <v>675</v>
      </c>
      <c r="B2" t="s">
        <v>377</v>
      </c>
      <c r="C2" t="s">
        <v>378</v>
      </c>
      <c r="D2" t="s">
        <v>379</v>
      </c>
      <c r="E2" s="4" t="s">
        <v>383</v>
      </c>
      <c r="F2" s="5" t="s">
        <v>384</v>
      </c>
      <c r="G2" s="5" t="s">
        <v>661</v>
      </c>
      <c r="H2" s="5" t="s">
        <v>637</v>
      </c>
      <c r="I2" s="5" t="s">
        <v>634</v>
      </c>
      <c r="J2" s="5" t="s">
        <v>635</v>
      </c>
      <c r="K2" s="8" t="s">
        <v>636</v>
      </c>
      <c r="L2" s="5" t="s">
        <v>387</v>
      </c>
      <c r="M2" s="5" t="s">
        <v>389</v>
      </c>
      <c r="N2" s="6" t="s">
        <v>604</v>
      </c>
      <c r="O2" s="4" t="s">
        <v>383</v>
      </c>
      <c r="P2" s="5" t="s">
        <v>661</v>
      </c>
      <c r="Q2" s="5" t="s">
        <v>637</v>
      </c>
      <c r="R2" s="5" t="s">
        <v>634</v>
      </c>
      <c r="S2" s="5" t="s">
        <v>635</v>
      </c>
      <c r="T2" s="8" t="s">
        <v>640</v>
      </c>
      <c r="U2" s="8" t="s">
        <v>636</v>
      </c>
      <c r="V2" s="5" t="s">
        <v>387</v>
      </c>
      <c r="W2" s="5" t="s">
        <v>389</v>
      </c>
      <c r="X2" s="6" t="s">
        <v>604</v>
      </c>
      <c r="Y2" s="4" t="s">
        <v>383</v>
      </c>
      <c r="Z2" s="5" t="s">
        <v>384</v>
      </c>
      <c r="AA2" s="5" t="s">
        <v>661</v>
      </c>
      <c r="AB2" s="5" t="s">
        <v>637</v>
      </c>
      <c r="AC2" s="5" t="s">
        <v>634</v>
      </c>
      <c r="AD2" s="5" t="s">
        <v>635</v>
      </c>
      <c r="AE2" s="8" t="s">
        <v>640</v>
      </c>
      <c r="AF2" s="8" t="s">
        <v>636</v>
      </c>
      <c r="AG2" s="5" t="s">
        <v>387</v>
      </c>
      <c r="AH2" s="5" t="s">
        <v>389</v>
      </c>
      <c r="AI2" s="6" t="s">
        <v>604</v>
      </c>
    </row>
    <row r="3" spans="1:35" x14ac:dyDescent="0.2">
      <c r="A3">
        <v>10560</v>
      </c>
      <c r="B3" t="s">
        <v>0</v>
      </c>
      <c r="C3" t="s">
        <v>1</v>
      </c>
      <c r="D3" t="s">
        <v>2</v>
      </c>
      <c r="E3" s="4">
        <v>4</v>
      </c>
      <c r="F3" s="5" t="s">
        <v>1</v>
      </c>
      <c r="G3" s="5"/>
      <c r="H3" s="5">
        <v>1807</v>
      </c>
      <c r="I3" s="5">
        <v>555</v>
      </c>
      <c r="J3" s="8">
        <v>1226</v>
      </c>
      <c r="K3" s="8">
        <v>26</v>
      </c>
      <c r="L3" s="5">
        <f t="shared" ref="L3:L15" si="0">I3+J3+K3</f>
        <v>1807</v>
      </c>
      <c r="M3" s="5">
        <f t="shared" ref="M3:M15" si="1">L3-H3</f>
        <v>0</v>
      </c>
      <c r="N3" s="6">
        <f t="shared" ref="N3:N15" si="2">(I3-J3)/H3</f>
        <v>-0.37133370226895407</v>
      </c>
      <c r="O3" s="4">
        <v>22</v>
      </c>
      <c r="P3" s="5"/>
      <c r="Q3" s="5">
        <v>2019</v>
      </c>
      <c r="R3" s="5">
        <v>929</v>
      </c>
      <c r="S3" s="8">
        <v>1032</v>
      </c>
      <c r="T3" s="8">
        <v>1</v>
      </c>
      <c r="U3" s="8">
        <v>57</v>
      </c>
      <c r="V3" s="5">
        <f t="shared" ref="V3:V15" si="3">R3+S3+T3+U3</f>
        <v>2019</v>
      </c>
      <c r="W3" s="5">
        <f t="shared" ref="W3:W15" si="4">V3-Q3</f>
        <v>0</v>
      </c>
      <c r="X3" s="6">
        <f t="shared" ref="X3:X15" si="5">(R3-S3)/Q3</f>
        <v>-5.1015354135710747E-2</v>
      </c>
      <c r="Y3" s="4">
        <v>25</v>
      </c>
      <c r="Z3" s="5"/>
      <c r="AA3" s="5"/>
      <c r="AB3" s="5">
        <v>2607</v>
      </c>
      <c r="AC3" s="5">
        <v>1317</v>
      </c>
      <c r="AD3" s="8">
        <v>1143</v>
      </c>
      <c r="AE3" s="8"/>
      <c r="AF3" s="8">
        <f>54+93</f>
        <v>147</v>
      </c>
      <c r="AG3" s="5">
        <f t="shared" ref="AG3:AG15" si="6">AC3+AD3+AE3+AF3</f>
        <v>2607</v>
      </c>
      <c r="AH3" s="5">
        <f t="shared" ref="AH3:AH15" si="7">AG3-AB3</f>
        <v>0</v>
      </c>
      <c r="AI3" s="6">
        <f t="shared" ref="AI3:AI15" si="8">(AC3-AD3)/AB3</f>
        <v>6.6743383199079395E-2</v>
      </c>
    </row>
    <row r="4" spans="1:35" x14ac:dyDescent="0.2">
      <c r="A4">
        <v>11555</v>
      </c>
      <c r="B4" t="s">
        <v>0</v>
      </c>
      <c r="C4" t="s">
        <v>3</v>
      </c>
      <c r="D4" t="s">
        <v>4</v>
      </c>
      <c r="E4" s="4">
        <v>4</v>
      </c>
      <c r="F4" s="5" t="s">
        <v>603</v>
      </c>
      <c r="G4" s="5"/>
      <c r="H4" s="5">
        <v>5696</v>
      </c>
      <c r="I4" s="5">
        <v>1372</v>
      </c>
      <c r="J4" s="8">
        <v>4196</v>
      </c>
      <c r="K4" s="5">
        <f>121+7</f>
        <v>128</v>
      </c>
      <c r="L4" s="5">
        <f t="shared" si="0"/>
        <v>5696</v>
      </c>
      <c r="M4" s="5">
        <f t="shared" si="1"/>
        <v>0</v>
      </c>
      <c r="N4" s="6">
        <f t="shared" si="2"/>
        <v>-0.4957865168539326</v>
      </c>
      <c r="O4" s="4">
        <v>17</v>
      </c>
      <c r="P4" s="5"/>
      <c r="Q4" s="5">
        <v>6772</v>
      </c>
      <c r="R4" s="5">
        <v>2521</v>
      </c>
      <c r="S4" s="8">
        <v>4082</v>
      </c>
      <c r="T4" s="8">
        <v>8</v>
      </c>
      <c r="U4" s="8">
        <v>161</v>
      </c>
      <c r="V4" s="5">
        <f t="shared" si="3"/>
        <v>6772</v>
      </c>
      <c r="W4" s="5">
        <f t="shared" si="4"/>
        <v>0</v>
      </c>
      <c r="X4" s="6">
        <f t="shared" si="5"/>
        <v>-0.23050797401063203</v>
      </c>
      <c r="Y4" s="4">
        <v>18</v>
      </c>
      <c r="Z4" s="5"/>
      <c r="AA4" s="5"/>
      <c r="AB4" s="5">
        <v>8489</v>
      </c>
      <c r="AC4" s="5">
        <v>3442</v>
      </c>
      <c r="AD4" s="8">
        <v>4653</v>
      </c>
      <c r="AE4" s="8"/>
      <c r="AF4" s="8">
        <v>394</v>
      </c>
      <c r="AG4" s="5">
        <f t="shared" si="6"/>
        <v>8489</v>
      </c>
      <c r="AH4" s="5">
        <f t="shared" si="7"/>
        <v>0</v>
      </c>
      <c r="AI4" s="6">
        <f t="shared" si="8"/>
        <v>-0.14265520084815644</v>
      </c>
    </row>
    <row r="5" spans="1:35" x14ac:dyDescent="0.2">
      <c r="A5">
        <v>10685</v>
      </c>
      <c r="B5" t="s">
        <v>0</v>
      </c>
      <c r="C5" t="s">
        <v>5</v>
      </c>
      <c r="D5" t="s">
        <v>6</v>
      </c>
      <c r="E5" s="4">
        <v>4</v>
      </c>
      <c r="F5" s="5" t="s">
        <v>602</v>
      </c>
      <c r="G5" s="5"/>
      <c r="H5" s="5">
        <v>9474</v>
      </c>
      <c r="I5" s="5">
        <v>2448</v>
      </c>
      <c r="J5" s="8">
        <v>6852</v>
      </c>
      <c r="K5" s="8">
        <f>156+18</f>
        <v>174</v>
      </c>
      <c r="L5" s="5">
        <f t="shared" si="0"/>
        <v>9474</v>
      </c>
      <c r="M5" s="5">
        <f t="shared" si="1"/>
        <v>0</v>
      </c>
      <c r="N5" s="6">
        <f t="shared" si="2"/>
        <v>-0.46485117162761241</v>
      </c>
      <c r="O5" s="4">
        <v>17</v>
      </c>
      <c r="P5" s="5"/>
      <c r="Q5" s="5">
        <v>16331</v>
      </c>
      <c r="R5" s="5">
        <v>7215</v>
      </c>
      <c r="S5" s="8">
        <v>8512</v>
      </c>
      <c r="T5" s="8">
        <v>13</v>
      </c>
      <c r="U5" s="8">
        <v>591</v>
      </c>
      <c r="V5" s="5">
        <f t="shared" si="3"/>
        <v>16331</v>
      </c>
      <c r="W5" s="5">
        <f t="shared" si="4"/>
        <v>0</v>
      </c>
      <c r="X5" s="6">
        <f t="shared" si="5"/>
        <v>-7.941950890943604E-2</v>
      </c>
      <c r="Y5" s="4">
        <v>12</v>
      </c>
      <c r="Z5" s="5"/>
      <c r="AA5" s="5"/>
      <c r="AB5" s="5">
        <v>21894</v>
      </c>
      <c r="AC5" s="5">
        <v>12206</v>
      </c>
      <c r="AD5" s="8">
        <v>7744</v>
      </c>
      <c r="AE5" s="8"/>
      <c r="AF5" s="8">
        <v>1944</v>
      </c>
      <c r="AG5" s="5">
        <f t="shared" si="6"/>
        <v>21894</v>
      </c>
      <c r="AH5" s="5">
        <f t="shared" si="7"/>
        <v>0</v>
      </c>
      <c r="AI5" s="6">
        <f t="shared" si="8"/>
        <v>0.20380012788891935</v>
      </c>
    </row>
    <row r="6" spans="1:35" x14ac:dyDescent="0.2">
      <c r="A6">
        <v>10785</v>
      </c>
      <c r="B6" t="s">
        <v>0</v>
      </c>
      <c r="C6" t="s">
        <v>7</v>
      </c>
      <c r="D6" t="s">
        <v>8</v>
      </c>
      <c r="E6" s="4">
        <v>5</v>
      </c>
      <c r="F6" s="5" t="s">
        <v>7</v>
      </c>
      <c r="G6" s="5"/>
      <c r="H6" s="8">
        <v>1474</v>
      </c>
      <c r="I6" s="8">
        <v>478</v>
      </c>
      <c r="J6" s="8">
        <v>951</v>
      </c>
      <c r="K6" s="5">
        <f>43+2</f>
        <v>45</v>
      </c>
      <c r="L6" s="5">
        <f t="shared" si="0"/>
        <v>1474</v>
      </c>
      <c r="M6" s="5">
        <f t="shared" si="1"/>
        <v>0</v>
      </c>
      <c r="N6" s="6">
        <f t="shared" si="2"/>
        <v>-0.32089552238805968</v>
      </c>
      <c r="O6" s="4">
        <v>25</v>
      </c>
      <c r="P6" s="5"/>
      <c r="Q6" s="8">
        <v>712</v>
      </c>
      <c r="R6" s="8">
        <v>367</v>
      </c>
      <c r="S6" s="8">
        <v>310</v>
      </c>
      <c r="T6" s="8">
        <v>16</v>
      </c>
      <c r="U6" s="8">
        <v>19</v>
      </c>
      <c r="V6" s="5">
        <f t="shared" si="3"/>
        <v>712</v>
      </c>
      <c r="W6" s="5">
        <f t="shared" si="4"/>
        <v>0</v>
      </c>
      <c r="X6" s="6">
        <f t="shared" si="5"/>
        <v>8.00561797752809E-2</v>
      </c>
      <c r="Y6" s="4">
        <v>25</v>
      </c>
      <c r="Z6" s="5"/>
      <c r="AA6" s="5"/>
      <c r="AB6" s="8">
        <v>898</v>
      </c>
      <c r="AC6" s="8">
        <v>480</v>
      </c>
      <c r="AD6" s="8">
        <v>371</v>
      </c>
      <c r="AE6" s="8"/>
      <c r="AF6" s="8">
        <f>24+23</f>
        <v>47</v>
      </c>
      <c r="AG6" s="5">
        <f t="shared" si="6"/>
        <v>898</v>
      </c>
      <c r="AH6" s="5">
        <f t="shared" si="7"/>
        <v>0</v>
      </c>
      <c r="AI6" s="6">
        <f t="shared" si="8"/>
        <v>0.12138084632516703</v>
      </c>
    </row>
    <row r="7" spans="1:35" x14ac:dyDescent="0.2">
      <c r="A7">
        <v>10185</v>
      </c>
      <c r="B7" t="s">
        <v>0</v>
      </c>
      <c r="C7" t="s">
        <v>9</v>
      </c>
      <c r="D7" t="s">
        <v>10</v>
      </c>
      <c r="E7" s="4">
        <v>4</v>
      </c>
      <c r="F7" s="5" t="s">
        <v>594</v>
      </c>
      <c r="G7" s="5"/>
      <c r="H7" s="8">
        <v>73681</v>
      </c>
      <c r="I7" s="8">
        <v>21324</v>
      </c>
      <c r="J7" s="8">
        <v>50474</v>
      </c>
      <c r="K7" s="5">
        <f>1788+95</f>
        <v>1883</v>
      </c>
      <c r="L7" s="5">
        <f t="shared" si="0"/>
        <v>73681</v>
      </c>
      <c r="M7" s="5">
        <f t="shared" si="1"/>
        <v>0</v>
      </c>
      <c r="N7" s="6">
        <f t="shared" si="2"/>
        <v>-0.39562438077659096</v>
      </c>
      <c r="O7" s="4">
        <v>17</v>
      </c>
      <c r="P7" s="5"/>
      <c r="Q7" s="8">
        <v>95512</v>
      </c>
      <c r="R7" s="8">
        <v>43409</v>
      </c>
      <c r="S7" s="8">
        <v>49254</v>
      </c>
      <c r="T7" s="8">
        <v>124</v>
      </c>
      <c r="U7" s="8">
        <v>2725</v>
      </c>
      <c r="V7" s="5">
        <f t="shared" si="3"/>
        <v>95512</v>
      </c>
      <c r="W7" s="5">
        <f t="shared" si="4"/>
        <v>0</v>
      </c>
      <c r="X7" s="6">
        <f t="shared" si="5"/>
        <v>-6.1196498869252033E-2</v>
      </c>
      <c r="Y7" s="4">
        <v>12</v>
      </c>
      <c r="Z7" s="5"/>
      <c r="AA7" s="5"/>
      <c r="AB7" s="8">
        <v>161675</v>
      </c>
      <c r="AC7" s="8">
        <v>89377</v>
      </c>
      <c r="AD7" s="8">
        <v>62209</v>
      </c>
      <c r="AE7" s="8"/>
      <c r="AF7" s="8">
        <v>10089</v>
      </c>
      <c r="AG7" s="5">
        <f t="shared" si="6"/>
        <v>161675</v>
      </c>
      <c r="AH7" s="5">
        <f t="shared" si="7"/>
        <v>0</v>
      </c>
      <c r="AI7" s="6">
        <f t="shared" si="8"/>
        <v>0.16804082263800835</v>
      </c>
    </row>
    <row r="8" spans="1:35" x14ac:dyDescent="0.2">
      <c r="A8">
        <v>11730</v>
      </c>
      <c r="B8" t="s">
        <v>0</v>
      </c>
      <c r="C8" t="s">
        <v>11</v>
      </c>
      <c r="D8" t="s">
        <v>12</v>
      </c>
      <c r="E8" s="4">
        <v>4</v>
      </c>
      <c r="F8" s="5" t="s">
        <v>11</v>
      </c>
      <c r="G8" s="5"/>
      <c r="H8" s="8">
        <v>1049</v>
      </c>
      <c r="I8" s="8">
        <v>429</v>
      </c>
      <c r="J8" s="8">
        <v>613</v>
      </c>
      <c r="K8" s="5">
        <f>7</f>
        <v>7</v>
      </c>
      <c r="L8" s="5">
        <f t="shared" si="0"/>
        <v>1049</v>
      </c>
      <c r="M8" s="5">
        <f t="shared" si="1"/>
        <v>0</v>
      </c>
      <c r="N8" s="6">
        <f t="shared" si="2"/>
        <v>-0.1754051477597712</v>
      </c>
      <c r="O8" s="4">
        <v>22</v>
      </c>
      <c r="P8" s="5"/>
      <c r="Q8" s="8">
        <v>1610</v>
      </c>
      <c r="R8" s="8">
        <v>758</v>
      </c>
      <c r="S8" s="8">
        <v>817</v>
      </c>
      <c r="T8" s="8">
        <v>1</v>
      </c>
      <c r="U8" s="8">
        <v>34</v>
      </c>
      <c r="V8" s="5">
        <f t="shared" si="3"/>
        <v>1610</v>
      </c>
      <c r="W8" s="5">
        <f t="shared" si="4"/>
        <v>0</v>
      </c>
      <c r="X8" s="6">
        <f t="shared" si="5"/>
        <v>-3.6645962732919257E-2</v>
      </c>
      <c r="Y8" s="4">
        <v>25</v>
      </c>
      <c r="Z8" s="5"/>
      <c r="AA8" s="5"/>
      <c r="AB8" s="8">
        <v>1833</v>
      </c>
      <c r="AC8" s="8">
        <v>961</v>
      </c>
      <c r="AD8" s="8">
        <v>738</v>
      </c>
      <c r="AE8" s="8"/>
      <c r="AF8" s="8">
        <f>85+49</f>
        <v>134</v>
      </c>
      <c r="AG8" s="5">
        <f t="shared" si="6"/>
        <v>1833</v>
      </c>
      <c r="AH8" s="5">
        <f t="shared" si="7"/>
        <v>0</v>
      </c>
      <c r="AI8" s="6">
        <f t="shared" si="8"/>
        <v>0.12165848336061102</v>
      </c>
    </row>
    <row r="9" spans="1:35" x14ac:dyDescent="0.2">
      <c r="A9">
        <v>11165</v>
      </c>
      <c r="B9" t="s">
        <v>0</v>
      </c>
      <c r="C9" t="s">
        <v>13</v>
      </c>
      <c r="D9" t="s">
        <v>13</v>
      </c>
      <c r="E9" s="4">
        <v>4</v>
      </c>
      <c r="F9" s="5" t="s">
        <v>595</v>
      </c>
      <c r="G9" s="5"/>
      <c r="H9" s="5">
        <v>21083</v>
      </c>
      <c r="I9" s="5">
        <v>6443</v>
      </c>
      <c r="J9" s="8">
        <v>14069</v>
      </c>
      <c r="K9" s="5">
        <f>551+20</f>
        <v>571</v>
      </c>
      <c r="L9" s="5">
        <f t="shared" si="0"/>
        <v>21083</v>
      </c>
      <c r="M9" s="5">
        <f t="shared" si="1"/>
        <v>0</v>
      </c>
      <c r="N9" s="6">
        <f t="shared" si="2"/>
        <v>-0.36171322866764694</v>
      </c>
      <c r="O9" s="4">
        <v>17</v>
      </c>
      <c r="P9" s="5"/>
      <c r="Q9" s="5">
        <v>38567</v>
      </c>
      <c r="R9" s="5">
        <v>17620</v>
      </c>
      <c r="S9" s="8">
        <v>18831</v>
      </c>
      <c r="T9" s="8">
        <v>60</v>
      </c>
      <c r="U9" s="8">
        <v>2056</v>
      </c>
      <c r="V9" s="5">
        <f t="shared" si="3"/>
        <v>38567</v>
      </c>
      <c r="W9" s="5">
        <f t="shared" si="4"/>
        <v>0</v>
      </c>
      <c r="X9" s="6">
        <f t="shared" si="5"/>
        <v>-3.1399901470168801E-2</v>
      </c>
      <c r="Y9" s="4">
        <v>12</v>
      </c>
      <c r="Z9" s="5"/>
      <c r="AA9" s="5"/>
      <c r="AB9" s="5">
        <v>79008</v>
      </c>
      <c r="AC9" s="5">
        <v>44072</v>
      </c>
      <c r="AD9" s="8">
        <v>28250</v>
      </c>
      <c r="AE9" s="8"/>
      <c r="AF9" s="8">
        <v>6686</v>
      </c>
      <c r="AG9" s="5">
        <f t="shared" si="6"/>
        <v>79008</v>
      </c>
      <c r="AH9" s="5">
        <f t="shared" si="7"/>
        <v>0</v>
      </c>
      <c r="AI9" s="6">
        <f t="shared" si="8"/>
        <v>0.20025820170109357</v>
      </c>
    </row>
    <row r="10" spans="1:35" x14ac:dyDescent="0.2">
      <c r="A10">
        <v>1099</v>
      </c>
      <c r="B10" t="s">
        <v>0</v>
      </c>
      <c r="C10" s="2" t="s">
        <v>14</v>
      </c>
      <c r="D10" t="s">
        <v>14</v>
      </c>
      <c r="E10" s="4">
        <v>5</v>
      </c>
      <c r="F10" s="5" t="s">
        <v>598</v>
      </c>
      <c r="G10" s="5">
        <v>1</v>
      </c>
      <c r="H10" s="8">
        <v>7001</v>
      </c>
      <c r="I10" s="8">
        <v>2141</v>
      </c>
      <c r="J10" s="8">
        <v>4305</v>
      </c>
      <c r="K10" s="5">
        <f>533+22</f>
        <v>555</v>
      </c>
      <c r="L10" s="5">
        <f t="shared" si="0"/>
        <v>7001</v>
      </c>
      <c r="M10" s="5">
        <f t="shared" si="1"/>
        <v>0</v>
      </c>
      <c r="N10" s="6">
        <f t="shared" si="2"/>
        <v>-0.30909870018568775</v>
      </c>
      <c r="O10" s="4">
        <v>26</v>
      </c>
      <c r="P10" s="5"/>
      <c r="Q10" s="8">
        <v>6679</v>
      </c>
      <c r="R10" s="8">
        <v>2907</v>
      </c>
      <c r="S10" s="8">
        <v>3170</v>
      </c>
      <c r="T10" s="8">
        <v>3</v>
      </c>
      <c r="U10" s="8">
        <v>599</v>
      </c>
      <c r="V10" s="5">
        <f t="shared" si="3"/>
        <v>6679</v>
      </c>
      <c r="W10" s="5">
        <f t="shared" si="4"/>
        <v>0</v>
      </c>
      <c r="X10" s="6">
        <f t="shared" si="5"/>
        <v>-3.9377152268303635E-2</v>
      </c>
      <c r="Y10" s="4">
        <v>28</v>
      </c>
      <c r="Z10" s="5"/>
      <c r="AA10" s="5"/>
      <c r="AB10" s="8">
        <v>6175</v>
      </c>
      <c r="AC10" s="8">
        <v>3201</v>
      </c>
      <c r="AD10" s="8">
        <v>2419</v>
      </c>
      <c r="AE10" s="8"/>
      <c r="AF10" s="8">
        <v>555</v>
      </c>
      <c r="AG10" s="5">
        <f t="shared" si="6"/>
        <v>6175</v>
      </c>
      <c r="AH10" s="5">
        <f t="shared" si="7"/>
        <v>0</v>
      </c>
      <c r="AI10" s="6">
        <f t="shared" si="8"/>
        <v>0.12663967611336033</v>
      </c>
    </row>
    <row r="11" spans="1:35" x14ac:dyDescent="0.2">
      <c r="A11">
        <v>11180</v>
      </c>
      <c r="B11" t="s">
        <v>0</v>
      </c>
      <c r="C11" t="s">
        <v>15</v>
      </c>
      <c r="D11" t="s">
        <v>15</v>
      </c>
      <c r="E11" s="4">
        <v>4</v>
      </c>
      <c r="F11" s="5" t="s">
        <v>596</v>
      </c>
      <c r="G11" s="5"/>
      <c r="H11" s="5">
        <v>22219</v>
      </c>
      <c r="I11" s="5">
        <v>5872</v>
      </c>
      <c r="J11" s="8">
        <v>16060</v>
      </c>
      <c r="K11" s="5">
        <f>277+10</f>
        <v>287</v>
      </c>
      <c r="L11" s="5">
        <f t="shared" si="0"/>
        <v>22219</v>
      </c>
      <c r="M11" s="5">
        <f t="shared" si="1"/>
        <v>0</v>
      </c>
      <c r="N11" s="6">
        <f t="shared" si="2"/>
        <v>-0.4585264863405194</v>
      </c>
      <c r="O11" s="4">
        <v>17</v>
      </c>
      <c r="P11" s="5"/>
      <c r="Q11" s="8">
        <v>32315</v>
      </c>
      <c r="R11" s="8">
        <v>12232</v>
      </c>
      <c r="S11" s="8">
        <v>18241</v>
      </c>
      <c r="T11" s="8">
        <v>40</v>
      </c>
      <c r="U11" s="8">
        <v>1802</v>
      </c>
      <c r="V11" s="5">
        <f t="shared" si="3"/>
        <v>32315</v>
      </c>
      <c r="W11" s="5">
        <f t="shared" si="4"/>
        <v>0</v>
      </c>
      <c r="X11" s="6">
        <f t="shared" si="5"/>
        <v>-0.1859507968435711</v>
      </c>
      <c r="Y11" s="4">
        <v>12</v>
      </c>
      <c r="Z11" s="5"/>
      <c r="AA11" s="5"/>
      <c r="AB11" s="8">
        <v>42864</v>
      </c>
      <c r="AC11" s="8">
        <v>20842</v>
      </c>
      <c r="AD11" s="8">
        <v>19505</v>
      </c>
      <c r="AE11" s="8"/>
      <c r="AF11" s="8">
        <v>2517</v>
      </c>
      <c r="AG11" s="5">
        <f t="shared" si="6"/>
        <v>42864</v>
      </c>
      <c r="AH11" s="5">
        <f t="shared" si="7"/>
        <v>0</v>
      </c>
      <c r="AI11" s="6">
        <f t="shared" si="8"/>
        <v>3.1191675998506904E-2</v>
      </c>
    </row>
    <row r="12" spans="1:35" x14ac:dyDescent="0.2">
      <c r="A12">
        <v>11850</v>
      </c>
      <c r="B12" t="s">
        <v>0</v>
      </c>
      <c r="C12" t="s">
        <v>16</v>
      </c>
      <c r="D12" t="s">
        <v>17</v>
      </c>
      <c r="E12" s="4">
        <v>5</v>
      </c>
      <c r="F12" s="5" t="s">
        <v>16</v>
      </c>
      <c r="G12" s="5"/>
      <c r="H12" s="8">
        <v>846</v>
      </c>
      <c r="I12" s="8">
        <v>233</v>
      </c>
      <c r="J12" s="8">
        <v>582</v>
      </c>
      <c r="K12" s="5">
        <f>29+2</f>
        <v>31</v>
      </c>
      <c r="L12" s="5">
        <f t="shared" si="0"/>
        <v>846</v>
      </c>
      <c r="M12" s="5">
        <f t="shared" si="1"/>
        <v>0</v>
      </c>
      <c r="N12" s="6">
        <f t="shared" si="2"/>
        <v>-0.41252955082742315</v>
      </c>
      <c r="O12" s="4">
        <v>25</v>
      </c>
      <c r="P12" s="5"/>
      <c r="Q12" s="8">
        <v>543</v>
      </c>
      <c r="R12" s="8">
        <v>232</v>
      </c>
      <c r="S12" s="8">
        <v>296</v>
      </c>
      <c r="T12" s="8">
        <v>5</v>
      </c>
      <c r="U12" s="8">
        <v>10</v>
      </c>
      <c r="V12" s="5">
        <f t="shared" si="3"/>
        <v>543</v>
      </c>
      <c r="W12" s="5">
        <f t="shared" si="4"/>
        <v>0</v>
      </c>
      <c r="X12" s="6">
        <f t="shared" si="5"/>
        <v>-0.11786372007366483</v>
      </c>
      <c r="Y12" s="4">
        <v>25</v>
      </c>
      <c r="Z12" s="5"/>
      <c r="AA12" s="5"/>
      <c r="AB12" s="8">
        <v>878</v>
      </c>
      <c r="AC12" s="8">
        <v>471</v>
      </c>
      <c r="AD12" s="8">
        <v>377</v>
      </c>
      <c r="AE12" s="8"/>
      <c r="AF12" s="8">
        <f>16+14</f>
        <v>30</v>
      </c>
      <c r="AG12" s="5">
        <f t="shared" si="6"/>
        <v>878</v>
      </c>
      <c r="AH12" s="5">
        <f t="shared" si="7"/>
        <v>0</v>
      </c>
      <c r="AI12" s="6">
        <f t="shared" si="8"/>
        <v>0.1070615034168565</v>
      </c>
    </row>
    <row r="13" spans="1:35" x14ac:dyDescent="0.2">
      <c r="A13">
        <v>11655</v>
      </c>
      <c r="B13" t="s">
        <v>0</v>
      </c>
      <c r="C13" t="s">
        <v>18</v>
      </c>
      <c r="D13" t="s">
        <v>18</v>
      </c>
      <c r="E13" s="4">
        <v>4</v>
      </c>
      <c r="F13" s="5" t="s">
        <v>601</v>
      </c>
      <c r="G13" s="5"/>
      <c r="H13" s="5">
        <v>2128</v>
      </c>
      <c r="I13" s="5">
        <v>636</v>
      </c>
      <c r="J13" s="8">
        <v>1472</v>
      </c>
      <c r="K13" s="5">
        <f>18+2</f>
        <v>20</v>
      </c>
      <c r="L13" s="5">
        <f t="shared" si="0"/>
        <v>2128</v>
      </c>
      <c r="M13" s="5">
        <f t="shared" si="1"/>
        <v>0</v>
      </c>
      <c r="N13" s="6">
        <f t="shared" si="2"/>
        <v>-0.39285714285714285</v>
      </c>
      <c r="O13" s="4">
        <v>17</v>
      </c>
      <c r="P13" s="5"/>
      <c r="Q13" s="5">
        <v>3300</v>
      </c>
      <c r="R13" s="5">
        <v>1307</v>
      </c>
      <c r="S13" s="8">
        <v>1873</v>
      </c>
      <c r="T13" s="8">
        <v>2</v>
      </c>
      <c r="U13" s="8">
        <v>118</v>
      </c>
      <c r="V13" s="5">
        <f t="shared" si="3"/>
        <v>3300</v>
      </c>
      <c r="W13" s="5">
        <f t="shared" si="4"/>
        <v>0</v>
      </c>
      <c r="X13" s="6">
        <f t="shared" si="5"/>
        <v>-0.17151515151515151</v>
      </c>
      <c r="Y13" s="4">
        <v>28</v>
      </c>
      <c r="Z13" s="5"/>
      <c r="AA13" s="5">
        <v>1</v>
      </c>
      <c r="AB13" s="8">
        <v>18375</v>
      </c>
      <c r="AC13" s="8">
        <v>9950</v>
      </c>
      <c r="AD13" s="8">
        <v>6953</v>
      </c>
      <c r="AE13" s="8"/>
      <c r="AF13" s="8">
        <v>1472</v>
      </c>
      <c r="AG13" s="5">
        <f t="shared" si="6"/>
        <v>18375</v>
      </c>
      <c r="AH13" s="5">
        <f t="shared" si="7"/>
        <v>0</v>
      </c>
      <c r="AI13" s="6">
        <f t="shared" si="8"/>
        <v>0.16310204081632654</v>
      </c>
    </row>
    <row r="14" spans="1:35" x14ac:dyDescent="0.2">
      <c r="A14">
        <v>11720</v>
      </c>
      <c r="B14" t="s">
        <v>0</v>
      </c>
      <c r="C14" t="s">
        <v>19</v>
      </c>
      <c r="D14" t="s">
        <v>19</v>
      </c>
      <c r="E14" s="4">
        <v>4</v>
      </c>
      <c r="F14" s="5" t="s">
        <v>597</v>
      </c>
      <c r="G14" s="5"/>
      <c r="H14" s="8">
        <v>6743</v>
      </c>
      <c r="I14" s="8">
        <v>1708</v>
      </c>
      <c r="J14" s="8">
        <v>4848</v>
      </c>
      <c r="K14" s="5">
        <f>73+114</f>
        <v>187</v>
      </c>
      <c r="L14" s="5">
        <f t="shared" si="0"/>
        <v>6743</v>
      </c>
      <c r="M14" s="5">
        <f t="shared" si="1"/>
        <v>0</v>
      </c>
      <c r="N14" s="6">
        <f t="shared" si="2"/>
        <v>-0.4656681002521133</v>
      </c>
      <c r="O14" s="4">
        <v>17</v>
      </c>
      <c r="P14" s="5"/>
      <c r="Q14" s="8">
        <v>11177</v>
      </c>
      <c r="R14" s="8">
        <v>4566</v>
      </c>
      <c r="S14" s="8">
        <v>6238</v>
      </c>
      <c r="T14" s="8">
        <v>12</v>
      </c>
      <c r="U14" s="8">
        <v>361</v>
      </c>
      <c r="V14" s="5">
        <f t="shared" si="3"/>
        <v>11177</v>
      </c>
      <c r="W14" s="5">
        <f t="shared" si="4"/>
        <v>0</v>
      </c>
      <c r="X14" s="6">
        <f t="shared" si="5"/>
        <v>-0.14959291401986222</v>
      </c>
      <c r="Y14" s="4">
        <v>12</v>
      </c>
      <c r="Z14" s="5"/>
      <c r="AA14" s="5"/>
      <c r="AB14" s="8">
        <v>20669</v>
      </c>
      <c r="AC14" s="8">
        <v>9983</v>
      </c>
      <c r="AD14" s="8">
        <v>9612</v>
      </c>
      <c r="AE14" s="8"/>
      <c r="AF14" s="8">
        <v>1074</v>
      </c>
      <c r="AG14" s="5">
        <f t="shared" si="6"/>
        <v>20669</v>
      </c>
      <c r="AH14" s="5">
        <f t="shared" si="7"/>
        <v>0</v>
      </c>
      <c r="AI14" s="6">
        <f t="shared" si="8"/>
        <v>1.7949586337026466E-2</v>
      </c>
    </row>
    <row r="15" spans="1:35" x14ac:dyDescent="0.2">
      <c r="A15">
        <v>1013</v>
      </c>
      <c r="B15" t="s">
        <v>0</v>
      </c>
      <c r="C15" t="s">
        <v>20</v>
      </c>
      <c r="D15" t="s">
        <v>606</v>
      </c>
      <c r="E15" s="4">
        <v>5</v>
      </c>
      <c r="F15" s="5" t="s">
        <v>593</v>
      </c>
      <c r="G15" s="5"/>
      <c r="H15" s="5">
        <v>1520</v>
      </c>
      <c r="I15" s="5">
        <v>452</v>
      </c>
      <c r="J15" s="8">
        <v>977</v>
      </c>
      <c r="K15" s="5">
        <f>87+4</f>
        <v>91</v>
      </c>
      <c r="L15" s="5">
        <f t="shared" si="0"/>
        <v>1520</v>
      </c>
      <c r="M15" s="5">
        <f t="shared" si="1"/>
        <v>0</v>
      </c>
      <c r="N15" s="6">
        <f t="shared" si="2"/>
        <v>-0.34539473684210525</v>
      </c>
      <c r="O15" s="4">
        <v>25</v>
      </c>
      <c r="P15" s="5"/>
      <c r="Q15" s="5">
        <v>489</v>
      </c>
      <c r="R15" s="5">
        <v>290</v>
      </c>
      <c r="S15" s="8">
        <v>175</v>
      </c>
      <c r="T15" s="8">
        <v>13</v>
      </c>
      <c r="U15" s="8">
        <v>11</v>
      </c>
      <c r="V15" s="5">
        <f t="shared" si="3"/>
        <v>489</v>
      </c>
      <c r="W15" s="5">
        <f t="shared" si="4"/>
        <v>0</v>
      </c>
      <c r="X15" s="6">
        <f t="shared" si="5"/>
        <v>0.23517382413087934</v>
      </c>
      <c r="Y15" s="4">
        <v>28</v>
      </c>
      <c r="Z15" s="5"/>
      <c r="AA15" s="5">
        <v>1</v>
      </c>
      <c r="AB15" s="8">
        <v>7096</v>
      </c>
      <c r="AC15" s="8">
        <v>3466</v>
      </c>
      <c r="AD15" s="8">
        <v>2985</v>
      </c>
      <c r="AE15" s="8"/>
      <c r="AF15" s="8">
        <v>645</v>
      </c>
      <c r="AG15" s="5">
        <f t="shared" si="6"/>
        <v>7096</v>
      </c>
      <c r="AH15" s="5">
        <f t="shared" si="7"/>
        <v>0</v>
      </c>
      <c r="AI15" s="6">
        <f t="shared" si="8"/>
        <v>6.7784667418263805E-2</v>
      </c>
    </row>
    <row r="16" spans="1:35" x14ac:dyDescent="0.2">
      <c r="E16" s="4"/>
      <c r="F16" s="5"/>
      <c r="G16" s="5"/>
      <c r="H16" s="5"/>
      <c r="I16" s="5"/>
      <c r="J16" s="5"/>
      <c r="K16" s="5"/>
      <c r="L16" s="5"/>
      <c r="M16" s="5"/>
      <c r="N16" s="6"/>
      <c r="O16" s="4"/>
      <c r="P16" s="5"/>
      <c r="Q16" s="5"/>
      <c r="R16" s="5"/>
      <c r="S16" s="5"/>
      <c r="T16" s="5"/>
      <c r="U16" s="5"/>
      <c r="V16" s="5"/>
      <c r="W16" s="5"/>
      <c r="X16" s="6"/>
      <c r="Y16" s="4"/>
      <c r="Z16" s="5"/>
      <c r="AA16" s="5"/>
      <c r="AB16" s="5"/>
      <c r="AC16" s="5"/>
      <c r="AD16" s="5"/>
      <c r="AE16" s="5"/>
      <c r="AF16" s="5"/>
      <c r="AG16" s="5"/>
      <c r="AH16" s="5"/>
      <c r="AI16" s="6"/>
    </row>
    <row r="17" spans="1:35" x14ac:dyDescent="0.2">
      <c r="A17">
        <v>40260</v>
      </c>
      <c r="B17" t="s">
        <v>22</v>
      </c>
      <c r="C17" t="s">
        <v>23</v>
      </c>
      <c r="D17" t="s">
        <v>24</v>
      </c>
      <c r="E17" s="4">
        <v>4</v>
      </c>
      <c r="F17" s="5" t="s">
        <v>23</v>
      </c>
      <c r="G17" s="5"/>
      <c r="H17" s="8">
        <v>20692</v>
      </c>
      <c r="I17" s="8">
        <v>6777</v>
      </c>
      <c r="J17" s="8">
        <v>12510</v>
      </c>
      <c r="K17" s="5">
        <f>1250+155</f>
        <v>1405</v>
      </c>
      <c r="L17" s="5">
        <f>I17+J17+K17</f>
        <v>20692</v>
      </c>
      <c r="M17" s="5">
        <f>L17-H17</f>
        <v>0</v>
      </c>
      <c r="N17" s="6">
        <f>(I17-J17)/H17</f>
        <v>-0.27706359945872799</v>
      </c>
      <c r="O17" s="4">
        <v>17</v>
      </c>
      <c r="P17" s="5"/>
      <c r="Q17" s="8">
        <v>37444</v>
      </c>
      <c r="R17" s="8">
        <v>17480</v>
      </c>
      <c r="S17" s="8">
        <v>16765</v>
      </c>
      <c r="T17" s="8">
        <v>343</v>
      </c>
      <c r="U17" s="8">
        <v>2856</v>
      </c>
      <c r="V17" s="5">
        <f>R17+S17+T17+U17</f>
        <v>37444</v>
      </c>
      <c r="W17" s="5">
        <f>V17-Q17</f>
        <v>0</v>
      </c>
      <c r="X17" s="6">
        <f>(R17-S17)/Q17</f>
        <v>1.9095182138660398E-2</v>
      </c>
      <c r="Y17" s="4">
        <v>12</v>
      </c>
      <c r="Z17" s="5"/>
      <c r="AA17" s="5"/>
      <c r="AB17" s="8">
        <v>178423</v>
      </c>
      <c r="AC17" s="8">
        <v>109744</v>
      </c>
      <c r="AD17" s="8">
        <v>53396</v>
      </c>
      <c r="AE17" s="8"/>
      <c r="AF17" s="8">
        <v>15283</v>
      </c>
      <c r="AG17" s="5">
        <f>AC17+AD17+AE17+AF17</f>
        <v>178423</v>
      </c>
      <c r="AH17" s="5">
        <f>AG17-AB17</f>
        <v>0</v>
      </c>
      <c r="AI17" s="6">
        <f>(AC17-AD17)/AB17</f>
        <v>0.3158113023545171</v>
      </c>
    </row>
    <row r="18" spans="1:35" x14ac:dyDescent="0.2">
      <c r="E18" s="4"/>
      <c r="F18" s="5"/>
      <c r="G18" s="5"/>
      <c r="H18" s="5"/>
      <c r="I18" s="5"/>
      <c r="J18" s="5"/>
      <c r="K18" s="5"/>
      <c r="L18" s="5"/>
      <c r="M18" s="5"/>
      <c r="N18" s="6"/>
      <c r="O18" s="4"/>
      <c r="P18" s="5"/>
      <c r="Q18" s="5"/>
      <c r="R18" s="5"/>
      <c r="S18" s="5"/>
      <c r="T18" s="5"/>
      <c r="U18" s="5"/>
      <c r="V18" s="5"/>
      <c r="W18" s="5"/>
      <c r="X18" s="6"/>
      <c r="Y18" s="4"/>
      <c r="Z18" s="5"/>
      <c r="AA18" s="5"/>
      <c r="AB18" s="5"/>
      <c r="AC18" s="5"/>
      <c r="AD18" s="5"/>
      <c r="AE18" s="5"/>
      <c r="AF18" s="5"/>
      <c r="AG18" s="5"/>
      <c r="AH18" s="5"/>
      <c r="AI18" s="6"/>
    </row>
    <row r="19" spans="1:35" x14ac:dyDescent="0.2">
      <c r="A19">
        <v>51530</v>
      </c>
      <c r="B19" t="s">
        <v>25</v>
      </c>
      <c r="C19" t="s">
        <v>26</v>
      </c>
      <c r="D19" t="s">
        <v>27</v>
      </c>
      <c r="E19" s="4">
        <v>4</v>
      </c>
      <c r="F19" s="5" t="s">
        <v>589</v>
      </c>
      <c r="G19" s="5"/>
      <c r="H19" s="8">
        <v>922</v>
      </c>
      <c r="I19" s="8">
        <v>219</v>
      </c>
      <c r="J19" s="8">
        <v>694</v>
      </c>
      <c r="K19" s="8">
        <v>9</v>
      </c>
      <c r="L19" s="5">
        <f t="shared" ref="L19:L24" si="9">I19+J19+K19</f>
        <v>922</v>
      </c>
      <c r="M19" s="5">
        <f t="shared" ref="M19:M24" si="10">L19-H19</f>
        <v>0</v>
      </c>
      <c r="N19" s="6">
        <f t="shared" ref="N19:N24" si="11">(I19-J19)/H19</f>
        <v>-0.51518438177874182</v>
      </c>
      <c r="O19" s="4">
        <v>22</v>
      </c>
      <c r="P19" s="5"/>
      <c r="Q19" s="8">
        <v>1620</v>
      </c>
      <c r="R19" s="8">
        <v>521</v>
      </c>
      <c r="S19" s="8">
        <v>1048</v>
      </c>
      <c r="T19" s="8">
        <v>0</v>
      </c>
      <c r="U19" s="8">
        <v>51</v>
      </c>
      <c r="V19" s="5">
        <f t="shared" ref="V19:V24" si="12">R19+S19+T19+U19</f>
        <v>1620</v>
      </c>
      <c r="W19" s="5">
        <f t="shared" ref="W19:W24" si="13">V19-Q19</f>
        <v>0</v>
      </c>
      <c r="X19" s="6">
        <f t="shared" ref="X19:X24" si="14">(R19-S19)/Q19</f>
        <v>-0.32530864197530862</v>
      </c>
      <c r="Y19" s="4">
        <v>25</v>
      </c>
      <c r="Z19" s="5"/>
      <c r="AA19" s="5"/>
      <c r="AB19" s="8">
        <v>1965</v>
      </c>
      <c r="AC19" s="8">
        <v>738</v>
      </c>
      <c r="AD19" s="8">
        <v>1112</v>
      </c>
      <c r="AE19" s="8"/>
      <c r="AF19" s="8">
        <f>49+66</f>
        <v>115</v>
      </c>
      <c r="AG19" s="5">
        <f t="shared" ref="AG19:AG24" si="15">AC19+AD19+AE19+AF19</f>
        <v>1965</v>
      </c>
      <c r="AH19" s="5">
        <f t="shared" ref="AH19:AH24" si="16">AG19-AB19</f>
        <v>0</v>
      </c>
      <c r="AI19" s="6">
        <f t="shared" ref="AI19:AI24" si="17">(AC19-AD19)/AB19</f>
        <v>-0.19033078880407125</v>
      </c>
    </row>
    <row r="20" spans="1:35" x14ac:dyDescent="0.2">
      <c r="A20">
        <v>50945</v>
      </c>
      <c r="B20" t="s">
        <v>25</v>
      </c>
      <c r="C20" t="s">
        <v>28</v>
      </c>
      <c r="D20" t="s">
        <v>29</v>
      </c>
      <c r="E20" s="4">
        <v>4</v>
      </c>
      <c r="F20" s="5" t="s">
        <v>588</v>
      </c>
      <c r="G20" s="5"/>
      <c r="H20" s="5">
        <v>2916</v>
      </c>
      <c r="I20" s="5">
        <v>495</v>
      </c>
      <c r="J20" s="8">
        <v>2236</v>
      </c>
      <c r="K20" s="5">
        <f>183+2</f>
        <v>185</v>
      </c>
      <c r="L20" s="5">
        <f t="shared" si="9"/>
        <v>2916</v>
      </c>
      <c r="M20" s="5">
        <f t="shared" si="10"/>
        <v>0</v>
      </c>
      <c r="N20" s="6">
        <f t="shared" si="11"/>
        <v>-0.59705075445816191</v>
      </c>
      <c r="O20" s="4">
        <v>17</v>
      </c>
      <c r="P20" s="5"/>
      <c r="Q20" s="5">
        <v>3731</v>
      </c>
      <c r="R20" s="5">
        <v>1032</v>
      </c>
      <c r="S20" s="8">
        <v>2583</v>
      </c>
      <c r="T20" s="8">
        <v>3</v>
      </c>
      <c r="U20" s="8">
        <v>113</v>
      </c>
      <c r="V20" s="5">
        <f t="shared" si="12"/>
        <v>3731</v>
      </c>
      <c r="W20" s="5">
        <f t="shared" si="13"/>
        <v>0</v>
      </c>
      <c r="X20" s="6">
        <f t="shared" si="14"/>
        <v>-0.41570624497453768</v>
      </c>
      <c r="Y20" s="4">
        <v>22</v>
      </c>
      <c r="Z20" s="5"/>
      <c r="AA20" s="5"/>
      <c r="AB20" s="5">
        <v>3913</v>
      </c>
      <c r="AC20" s="5">
        <v>1170</v>
      </c>
      <c r="AD20" s="8">
        <v>2503</v>
      </c>
      <c r="AE20" s="8"/>
      <c r="AF20" s="8">
        <v>240</v>
      </c>
      <c r="AG20" s="5">
        <f t="shared" si="15"/>
        <v>3913</v>
      </c>
      <c r="AH20" s="5">
        <f t="shared" si="16"/>
        <v>0</v>
      </c>
      <c r="AI20" s="6">
        <f t="shared" si="17"/>
        <v>-0.34065934065934067</v>
      </c>
    </row>
    <row r="21" spans="1:35" x14ac:dyDescent="0.2">
      <c r="A21">
        <v>5107</v>
      </c>
      <c r="B21" t="s">
        <v>25</v>
      </c>
      <c r="C21" s="2" t="s">
        <v>30</v>
      </c>
      <c r="D21" t="s">
        <v>29</v>
      </c>
      <c r="E21" s="4">
        <v>5</v>
      </c>
      <c r="F21" s="8" t="s">
        <v>629</v>
      </c>
      <c r="G21" s="5">
        <v>1</v>
      </c>
      <c r="H21" s="8">
        <v>13464</v>
      </c>
      <c r="I21" s="8">
        <v>2608</v>
      </c>
      <c r="J21" s="8">
        <v>10201</v>
      </c>
      <c r="K21" s="8">
        <f>635+20</f>
        <v>655</v>
      </c>
      <c r="L21" s="5">
        <f t="shared" si="9"/>
        <v>13464</v>
      </c>
      <c r="M21" s="5">
        <f t="shared" si="10"/>
        <v>0</v>
      </c>
      <c r="N21" s="6">
        <f t="shared" si="11"/>
        <v>-0.56394830659536543</v>
      </c>
      <c r="O21" s="4">
        <v>26</v>
      </c>
      <c r="P21" s="8">
        <v>1</v>
      </c>
      <c r="Q21" s="8">
        <v>13832</v>
      </c>
      <c r="R21" s="8">
        <v>4228</v>
      </c>
      <c r="S21" s="8">
        <v>8382</v>
      </c>
      <c r="T21" s="8">
        <v>11</v>
      </c>
      <c r="U21" s="8">
        <v>1211</v>
      </c>
      <c r="V21" s="5">
        <f t="shared" si="12"/>
        <v>13832</v>
      </c>
      <c r="W21" s="5">
        <f t="shared" si="13"/>
        <v>0</v>
      </c>
      <c r="X21" s="6">
        <f t="shared" si="14"/>
        <v>-0.30031810294968192</v>
      </c>
      <c r="Y21" s="4">
        <v>28</v>
      </c>
      <c r="Z21" s="8"/>
      <c r="AA21" s="5">
        <v>1</v>
      </c>
      <c r="AB21" s="8">
        <v>13191</v>
      </c>
      <c r="AC21" s="8">
        <v>4519</v>
      </c>
      <c r="AD21" s="8">
        <v>7286</v>
      </c>
      <c r="AE21" s="8"/>
      <c r="AF21" s="8">
        <v>1386</v>
      </c>
      <c r="AG21" s="5">
        <f t="shared" si="15"/>
        <v>13191</v>
      </c>
      <c r="AH21" s="5">
        <f t="shared" si="16"/>
        <v>0</v>
      </c>
      <c r="AI21" s="6">
        <f t="shared" si="17"/>
        <v>-0.20976423318929574</v>
      </c>
    </row>
    <row r="22" spans="1:35" x14ac:dyDescent="0.2">
      <c r="A22">
        <v>53000</v>
      </c>
      <c r="B22" t="s">
        <v>25</v>
      </c>
      <c r="C22" t="s">
        <v>31</v>
      </c>
      <c r="D22" t="s">
        <v>29</v>
      </c>
      <c r="E22" s="4">
        <v>5</v>
      </c>
      <c r="F22" s="5" t="s">
        <v>645</v>
      </c>
      <c r="G22" s="5"/>
      <c r="H22" s="8">
        <v>1449</v>
      </c>
      <c r="I22" s="8">
        <v>323</v>
      </c>
      <c r="J22" s="8">
        <v>1104</v>
      </c>
      <c r="K22" s="5">
        <f>21+1</f>
        <v>22</v>
      </c>
      <c r="L22" s="5">
        <f t="shared" si="9"/>
        <v>1449</v>
      </c>
      <c r="M22" s="5">
        <f t="shared" si="10"/>
        <v>0</v>
      </c>
      <c r="N22" s="6">
        <f t="shared" si="11"/>
        <v>-0.53899240855762598</v>
      </c>
      <c r="O22" s="4">
        <v>22</v>
      </c>
      <c r="P22" s="5"/>
      <c r="Q22" s="8">
        <v>1893</v>
      </c>
      <c r="R22" s="8">
        <v>878</v>
      </c>
      <c r="S22" s="8">
        <v>932</v>
      </c>
      <c r="T22" s="8">
        <v>3</v>
      </c>
      <c r="U22" s="8">
        <v>80</v>
      </c>
      <c r="V22" s="5">
        <f t="shared" si="12"/>
        <v>1893</v>
      </c>
      <c r="W22" s="5">
        <f t="shared" si="13"/>
        <v>0</v>
      </c>
      <c r="X22" s="6">
        <f t="shared" si="14"/>
        <v>-2.8526148969889066E-2</v>
      </c>
      <c r="Y22" s="4">
        <v>25</v>
      </c>
      <c r="Z22" s="5"/>
      <c r="AA22" s="5"/>
      <c r="AB22" s="8">
        <v>2557</v>
      </c>
      <c r="AC22" s="8">
        <v>1333</v>
      </c>
      <c r="AD22" s="8">
        <v>1132</v>
      </c>
      <c r="AE22" s="8"/>
      <c r="AF22" s="8">
        <f>59+33</f>
        <v>92</v>
      </c>
      <c r="AG22" s="5">
        <f t="shared" si="15"/>
        <v>2557</v>
      </c>
      <c r="AH22" s="5">
        <f t="shared" si="16"/>
        <v>0</v>
      </c>
      <c r="AI22" s="6">
        <f t="shared" si="17"/>
        <v>7.8607743449354714E-2</v>
      </c>
    </row>
    <row r="23" spans="1:35" x14ac:dyDescent="0.2">
      <c r="A23">
        <v>51195</v>
      </c>
      <c r="B23" t="s">
        <v>25</v>
      </c>
      <c r="C23" t="s">
        <v>32</v>
      </c>
      <c r="D23" t="s">
        <v>33</v>
      </c>
      <c r="E23" s="4">
        <v>4</v>
      </c>
      <c r="F23" s="5" t="s">
        <v>591</v>
      </c>
      <c r="G23" s="5"/>
      <c r="H23" s="5">
        <v>25496</v>
      </c>
      <c r="I23" s="5">
        <v>8707</v>
      </c>
      <c r="J23" s="8">
        <v>15965</v>
      </c>
      <c r="K23" s="5">
        <f>752+72</f>
        <v>824</v>
      </c>
      <c r="L23" s="5">
        <f t="shared" si="9"/>
        <v>25496</v>
      </c>
      <c r="M23" s="5">
        <f t="shared" si="10"/>
        <v>0</v>
      </c>
      <c r="N23" s="6">
        <f t="shared" si="11"/>
        <v>-0.28467210542830246</v>
      </c>
      <c r="O23" s="4">
        <v>17</v>
      </c>
      <c r="P23" s="5"/>
      <c r="Q23" s="5">
        <v>32217</v>
      </c>
      <c r="R23" s="5">
        <v>15970</v>
      </c>
      <c r="S23" s="8">
        <v>15017</v>
      </c>
      <c r="T23" s="8">
        <v>44</v>
      </c>
      <c r="U23" s="8">
        <v>1186</v>
      </c>
      <c r="V23" s="5">
        <f t="shared" si="12"/>
        <v>32217</v>
      </c>
      <c r="W23" s="5">
        <f t="shared" si="13"/>
        <v>0</v>
      </c>
      <c r="X23" s="6">
        <f t="shared" si="14"/>
        <v>2.9580656175311172E-2</v>
      </c>
      <c r="Y23" s="4">
        <v>12</v>
      </c>
      <c r="Z23" s="5"/>
      <c r="AA23" s="5"/>
      <c r="AB23" s="5">
        <v>37050</v>
      </c>
      <c r="AC23" s="5">
        <v>19322</v>
      </c>
      <c r="AD23" s="8">
        <v>15543</v>
      </c>
      <c r="AE23" s="8"/>
      <c r="AF23" s="8">
        <v>2185</v>
      </c>
      <c r="AG23" s="5">
        <f t="shared" si="15"/>
        <v>37050</v>
      </c>
      <c r="AH23" s="5">
        <f t="shared" si="16"/>
        <v>0</v>
      </c>
      <c r="AI23" s="6">
        <f t="shared" si="17"/>
        <v>0.10199730094466937</v>
      </c>
    </row>
    <row r="24" spans="1:35" x14ac:dyDescent="0.2">
      <c r="A24">
        <v>50700</v>
      </c>
      <c r="B24" t="s">
        <v>25</v>
      </c>
      <c r="C24" t="s">
        <v>34</v>
      </c>
      <c r="D24" t="s">
        <v>35</v>
      </c>
      <c r="E24" s="4">
        <v>4</v>
      </c>
      <c r="F24" s="5" t="s">
        <v>592</v>
      </c>
      <c r="G24" s="5"/>
      <c r="H24" s="5">
        <v>10417</v>
      </c>
      <c r="I24" s="5">
        <v>4354</v>
      </c>
      <c r="J24" s="8">
        <v>5817</v>
      </c>
      <c r="K24" s="5">
        <f>236+10</f>
        <v>246</v>
      </c>
      <c r="L24" s="5">
        <f t="shared" si="9"/>
        <v>10417</v>
      </c>
      <c r="M24" s="5">
        <f t="shared" si="10"/>
        <v>0</v>
      </c>
      <c r="N24" s="6">
        <f t="shared" si="11"/>
        <v>-0.14044350580781415</v>
      </c>
      <c r="O24" s="4">
        <v>17</v>
      </c>
      <c r="P24" s="5"/>
      <c r="Q24" s="5">
        <v>16269</v>
      </c>
      <c r="R24" s="5">
        <v>9445</v>
      </c>
      <c r="S24" s="8">
        <v>5468</v>
      </c>
      <c r="T24" s="8">
        <v>15</v>
      </c>
      <c r="U24" s="8">
        <v>1341</v>
      </c>
      <c r="V24" s="5">
        <f t="shared" si="12"/>
        <v>16269</v>
      </c>
      <c r="W24" s="5">
        <f t="shared" si="13"/>
        <v>0</v>
      </c>
      <c r="X24" s="6">
        <f t="shared" si="14"/>
        <v>0.24445263999016534</v>
      </c>
      <c r="Y24" s="4">
        <v>12</v>
      </c>
      <c r="Z24" s="5"/>
      <c r="AA24" s="5"/>
      <c r="AB24" s="5">
        <v>19775</v>
      </c>
      <c r="AC24" s="5">
        <v>11683</v>
      </c>
      <c r="AD24" s="8">
        <v>5144</v>
      </c>
      <c r="AE24" s="8"/>
      <c r="AF24" s="8">
        <v>2948</v>
      </c>
      <c r="AG24" s="5">
        <f t="shared" si="15"/>
        <v>19775</v>
      </c>
      <c r="AH24" s="5">
        <f t="shared" si="16"/>
        <v>0</v>
      </c>
      <c r="AI24" s="6">
        <f t="shared" si="17"/>
        <v>0.3306700379266751</v>
      </c>
    </row>
    <row r="25" spans="1:35" x14ac:dyDescent="0.2">
      <c r="E25" s="4"/>
      <c r="F25" s="5"/>
      <c r="G25" s="5"/>
      <c r="H25" s="5"/>
      <c r="I25" s="5"/>
      <c r="J25" s="5"/>
      <c r="K25" s="5"/>
      <c r="L25" s="5"/>
      <c r="M25" s="5"/>
      <c r="N25" s="6"/>
      <c r="O25" s="4"/>
      <c r="P25" s="5"/>
      <c r="Q25" s="5"/>
      <c r="R25" s="5"/>
      <c r="S25" s="5"/>
      <c r="T25" s="5"/>
      <c r="U25" s="5"/>
      <c r="V25" s="5"/>
      <c r="W25" s="5"/>
      <c r="X25" s="6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6"/>
    </row>
    <row r="26" spans="1:35" x14ac:dyDescent="0.2">
      <c r="A26">
        <v>61970</v>
      </c>
      <c r="B26" t="s">
        <v>36</v>
      </c>
      <c r="C26" t="s">
        <v>37</v>
      </c>
      <c r="D26" t="s">
        <v>38</v>
      </c>
      <c r="E26" s="4">
        <v>4</v>
      </c>
      <c r="F26" s="5" t="s">
        <v>584</v>
      </c>
      <c r="G26" s="5"/>
      <c r="H26" s="8">
        <v>103709</v>
      </c>
      <c r="I26" s="8">
        <v>42593</v>
      </c>
      <c r="J26" s="8">
        <v>56732</v>
      </c>
      <c r="K26" s="5">
        <f>4069+315</f>
        <v>4384</v>
      </c>
      <c r="L26" s="5">
        <f>I26+J26+K26</f>
        <v>103709</v>
      </c>
      <c r="M26" s="5">
        <f>L26-H26</f>
        <v>0</v>
      </c>
      <c r="N26" s="6">
        <f>(I26-J26)/H26</f>
        <v>-0.13633339440164305</v>
      </c>
      <c r="O26" s="4">
        <v>17</v>
      </c>
      <c r="P26" s="5"/>
      <c r="Q26" s="8">
        <v>133263</v>
      </c>
      <c r="R26" s="8">
        <v>63303</v>
      </c>
      <c r="S26" s="8">
        <v>65582</v>
      </c>
      <c r="T26" s="8">
        <v>143</v>
      </c>
      <c r="U26" s="8">
        <v>4235</v>
      </c>
      <c r="V26" s="5">
        <f>R26+S26+T26+U26</f>
        <v>133263</v>
      </c>
      <c r="W26" s="5">
        <f>V26-Q26</f>
        <v>0</v>
      </c>
      <c r="X26" s="6">
        <f>(R26-S26)/Q26</f>
        <v>-1.7101521052355118E-2</v>
      </c>
      <c r="Y26" s="4">
        <v>12</v>
      </c>
      <c r="Z26" s="5" t="s">
        <v>641</v>
      </c>
      <c r="AA26" s="5"/>
      <c r="AB26" s="8">
        <v>861399</v>
      </c>
      <c r="AC26" s="8">
        <v>428480</v>
      </c>
      <c r="AD26" s="8">
        <v>387658</v>
      </c>
      <c r="AE26" s="8"/>
      <c r="AF26" s="8">
        <v>45261</v>
      </c>
      <c r="AG26" s="5">
        <f>AC26+AD26+AE26+AF26</f>
        <v>861399</v>
      </c>
      <c r="AH26" s="5">
        <f>AG26-AB26</f>
        <v>0</v>
      </c>
      <c r="AI26" s="6">
        <f>(AC26-AD26)/AB26</f>
        <v>4.7390349884316098E-2</v>
      </c>
    </row>
    <row r="27" spans="1:35" x14ac:dyDescent="0.2">
      <c r="A27">
        <v>61630</v>
      </c>
      <c r="B27" t="s">
        <v>36</v>
      </c>
      <c r="C27" t="s">
        <v>39</v>
      </c>
      <c r="D27" t="s">
        <v>39</v>
      </c>
      <c r="E27" s="4">
        <v>4</v>
      </c>
      <c r="F27" s="5" t="s">
        <v>587</v>
      </c>
      <c r="G27" s="5"/>
      <c r="H27" s="8">
        <v>529251</v>
      </c>
      <c r="I27" s="8">
        <v>166094</v>
      </c>
      <c r="J27" s="8">
        <v>326993</v>
      </c>
      <c r="K27" s="5">
        <f>33732+2432</f>
        <v>36164</v>
      </c>
      <c r="L27" s="5">
        <f>I27+J27+K27</f>
        <v>529251</v>
      </c>
      <c r="M27" s="5">
        <f>L27-H27</f>
        <v>0</v>
      </c>
      <c r="N27" s="6">
        <f>(I27-J27)/H27</f>
        <v>-0.30401265184194265</v>
      </c>
      <c r="O27" s="4">
        <v>17</v>
      </c>
      <c r="P27" s="5"/>
      <c r="Q27" s="8">
        <v>698039</v>
      </c>
      <c r="R27" s="8">
        <v>305393</v>
      </c>
      <c r="S27" s="8">
        <v>361294</v>
      </c>
      <c r="T27" s="8">
        <v>1586</v>
      </c>
      <c r="U27" s="8">
        <v>29766</v>
      </c>
      <c r="V27" s="5">
        <f>R27+S27+T27+U27</f>
        <v>698039</v>
      </c>
      <c r="W27" s="5">
        <f>V27-Q27</f>
        <v>0</v>
      </c>
      <c r="X27" s="6">
        <f>(R27-S27)/Q27</f>
        <v>-8.0082918003148817E-2</v>
      </c>
      <c r="Y27" s="4">
        <v>12</v>
      </c>
      <c r="Z27" s="5"/>
      <c r="AA27" s="5"/>
      <c r="AB27" s="8">
        <v>936265</v>
      </c>
      <c r="AC27" s="8">
        <v>404962</v>
      </c>
      <c r="AD27" s="8">
        <v>471806</v>
      </c>
      <c r="AE27" s="8"/>
      <c r="AF27" s="8">
        <v>59497</v>
      </c>
      <c r="AG27" s="5">
        <f>AC27+AD27+AE27+AF27</f>
        <v>936265</v>
      </c>
      <c r="AH27" s="5">
        <f>AG27-AB27</f>
        <v>0</v>
      </c>
      <c r="AI27" s="6">
        <f>(AC27-AD27)/AB27</f>
        <v>-7.1394316779971476E-2</v>
      </c>
    </row>
    <row r="28" spans="1:35" x14ac:dyDescent="0.2">
      <c r="A28">
        <v>62370</v>
      </c>
      <c r="B28" t="s">
        <v>36</v>
      </c>
      <c r="C28" t="s">
        <v>40</v>
      </c>
      <c r="D28" t="s">
        <v>40</v>
      </c>
      <c r="E28" s="4">
        <v>4</v>
      </c>
      <c r="F28" s="5" t="s">
        <v>585</v>
      </c>
      <c r="G28" s="5"/>
      <c r="H28" s="8">
        <v>11073</v>
      </c>
      <c r="I28" s="8">
        <v>5266</v>
      </c>
      <c r="J28" s="8">
        <v>5166</v>
      </c>
      <c r="K28" s="5">
        <f>561+80</f>
        <v>641</v>
      </c>
      <c r="L28" s="5">
        <f>I28+J28+K28</f>
        <v>11073</v>
      </c>
      <c r="M28" s="5">
        <f>L28-H28</f>
        <v>0</v>
      </c>
      <c r="N28" s="6">
        <f>(I28-J28)/H28</f>
        <v>9.0309762485324668E-3</v>
      </c>
      <c r="O28" s="4">
        <v>17</v>
      </c>
      <c r="P28" s="5"/>
      <c r="Q28" s="8">
        <v>16056</v>
      </c>
      <c r="R28" s="8">
        <v>8980</v>
      </c>
      <c r="S28" s="8">
        <v>6071</v>
      </c>
      <c r="T28" s="8">
        <v>57</v>
      </c>
      <c r="U28" s="8">
        <v>948</v>
      </c>
      <c r="V28" s="5">
        <f>R28+S28+T28+U28</f>
        <v>16056</v>
      </c>
      <c r="W28" s="5">
        <f>V28-Q28</f>
        <v>0</v>
      </c>
      <c r="X28" s="6">
        <f>(R28-S28)/Q28</f>
        <v>0.18117837568510214</v>
      </c>
      <c r="Y28" s="4">
        <v>31</v>
      </c>
      <c r="Z28" s="5"/>
      <c r="AA28" s="5"/>
      <c r="AB28" s="8">
        <v>37700</v>
      </c>
      <c r="AC28" s="8">
        <v>16725</v>
      </c>
      <c r="AD28" s="8">
        <v>9907</v>
      </c>
      <c r="AE28" s="8"/>
      <c r="AF28" s="8">
        <v>11068</v>
      </c>
      <c r="AG28" s="5">
        <f>AC28+AD28+AE28+AF28</f>
        <v>37700</v>
      </c>
      <c r="AH28" s="5">
        <f>AG28-AB28</f>
        <v>0</v>
      </c>
      <c r="AI28" s="6">
        <f>(AC28-AD28)/AB28</f>
        <v>0.18084880636604775</v>
      </c>
    </row>
    <row r="29" spans="1:35" x14ac:dyDescent="0.2">
      <c r="A29">
        <v>62575</v>
      </c>
      <c r="B29" t="s">
        <v>36</v>
      </c>
      <c r="C29" t="s">
        <v>41</v>
      </c>
      <c r="D29" t="s">
        <v>41</v>
      </c>
      <c r="E29" s="4">
        <v>4</v>
      </c>
      <c r="F29" s="5" t="s">
        <v>41</v>
      </c>
      <c r="G29" s="5"/>
      <c r="H29" s="8">
        <v>12160</v>
      </c>
      <c r="I29" s="8">
        <v>4551</v>
      </c>
      <c r="J29" s="8">
        <v>6877</v>
      </c>
      <c r="K29" s="5">
        <f>666+66</f>
        <v>732</v>
      </c>
      <c r="L29" s="5">
        <f>I29+J29+K29</f>
        <v>12160</v>
      </c>
      <c r="M29" s="5">
        <f>L29-H29</f>
        <v>0</v>
      </c>
      <c r="N29" s="6">
        <f>(I29-J29)/H29</f>
        <v>-0.1912828947368421</v>
      </c>
      <c r="O29" s="4">
        <v>17</v>
      </c>
      <c r="P29" s="5"/>
      <c r="Q29" s="8">
        <v>15743</v>
      </c>
      <c r="R29" s="8">
        <v>7946</v>
      </c>
      <c r="S29" s="8">
        <v>7123</v>
      </c>
      <c r="T29" s="8">
        <v>40</v>
      </c>
      <c r="U29" s="8">
        <v>634</v>
      </c>
      <c r="V29" s="5">
        <f>R29+S29+T29+U29</f>
        <v>15743</v>
      </c>
      <c r="W29" s="5">
        <f>V29-Q29</f>
        <v>0</v>
      </c>
      <c r="X29" s="6">
        <f>(R29-S29)/Q29</f>
        <v>5.2277202566219906E-2</v>
      </c>
      <c r="Y29" s="4">
        <v>31</v>
      </c>
      <c r="Z29" s="5"/>
      <c r="AA29" s="5"/>
      <c r="AB29" s="8">
        <v>15012</v>
      </c>
      <c r="AC29" s="8">
        <v>7620</v>
      </c>
      <c r="AD29" s="8">
        <v>5146</v>
      </c>
      <c r="AE29" s="8"/>
      <c r="AF29" s="8">
        <v>2246</v>
      </c>
      <c r="AG29" s="5">
        <f>AC29+AD29+AE29+AF29</f>
        <v>15012</v>
      </c>
      <c r="AH29" s="5">
        <f>AG29-AB29</f>
        <v>0</v>
      </c>
      <c r="AI29" s="6">
        <f>(AC29-AD29)/AB29</f>
        <v>0.16480149213962164</v>
      </c>
    </row>
    <row r="30" spans="1:35" x14ac:dyDescent="0.2">
      <c r="A30">
        <v>62510</v>
      </c>
      <c r="B30" t="s">
        <v>36</v>
      </c>
      <c r="C30" t="s">
        <v>42</v>
      </c>
      <c r="D30" t="s">
        <v>43</v>
      </c>
      <c r="E30" s="4">
        <v>4</v>
      </c>
      <c r="F30" s="5" t="s">
        <v>586</v>
      </c>
      <c r="G30" s="5"/>
      <c r="H30" s="5">
        <v>22881</v>
      </c>
      <c r="I30" s="5">
        <v>11157</v>
      </c>
      <c r="J30" s="8">
        <v>10477</v>
      </c>
      <c r="K30" s="5">
        <f>1060+187</f>
        <v>1247</v>
      </c>
      <c r="L30" s="5">
        <f>I30+J30+K30</f>
        <v>22881</v>
      </c>
      <c r="M30" s="5">
        <f>L30-H30</f>
        <v>0</v>
      </c>
      <c r="N30" s="6">
        <f>(I30-J30)/H30</f>
        <v>2.9718980813775622E-2</v>
      </c>
      <c r="O30" s="4">
        <v>17</v>
      </c>
      <c r="P30" s="5"/>
      <c r="Q30" s="8">
        <v>30867</v>
      </c>
      <c r="R30" s="8">
        <v>18673</v>
      </c>
      <c r="S30" s="8">
        <v>11052</v>
      </c>
      <c r="T30" s="8">
        <v>56</v>
      </c>
      <c r="U30" s="8">
        <v>1086</v>
      </c>
      <c r="V30" s="5">
        <f>R30+S30+T30+U30</f>
        <v>30867</v>
      </c>
      <c r="W30" s="5">
        <f>V30-Q30</f>
        <v>0</v>
      </c>
      <c r="X30" s="6">
        <f>(R30-S30)/Q30</f>
        <v>0.24689798166326499</v>
      </c>
      <c r="Y30" s="4">
        <v>12</v>
      </c>
      <c r="Z30" s="5"/>
      <c r="AA30" s="5"/>
      <c r="AB30" s="8">
        <v>187024</v>
      </c>
      <c r="AC30" s="8">
        <v>120619</v>
      </c>
      <c r="AD30" s="8">
        <v>53537</v>
      </c>
      <c r="AE30" s="8"/>
      <c r="AF30" s="8">
        <v>12868</v>
      </c>
      <c r="AG30" s="5">
        <f>AC30+AD30+AE30+AF30</f>
        <v>187024</v>
      </c>
      <c r="AH30" s="5">
        <f>AG30-AB30</f>
        <v>0</v>
      </c>
      <c r="AI30" s="6">
        <f>(AC30-AD30)/AB30</f>
        <v>0.35868123877149455</v>
      </c>
    </row>
    <row r="31" spans="1:35" x14ac:dyDescent="0.2">
      <c r="E31" s="4"/>
      <c r="F31" s="5"/>
      <c r="G31" s="5"/>
      <c r="H31" s="5"/>
      <c r="I31" s="5"/>
      <c r="J31" s="5"/>
      <c r="K31" s="5"/>
      <c r="L31" s="5"/>
      <c r="M31" s="5"/>
      <c r="N31" s="6"/>
      <c r="O31" s="4"/>
      <c r="P31" s="5"/>
      <c r="Q31" s="5"/>
      <c r="R31" s="5"/>
      <c r="S31" s="5"/>
      <c r="T31" s="5"/>
      <c r="U31" s="5"/>
      <c r="V31" s="5"/>
      <c r="W31" s="5"/>
      <c r="X31" s="6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6"/>
    </row>
    <row r="32" spans="1:35" x14ac:dyDescent="0.2">
      <c r="A32">
        <v>9001</v>
      </c>
      <c r="B32" t="s">
        <v>44</v>
      </c>
      <c r="C32" t="s">
        <v>45</v>
      </c>
      <c r="D32" t="s">
        <v>46</v>
      </c>
      <c r="E32" s="4">
        <v>5</v>
      </c>
      <c r="F32" s="5" t="s">
        <v>578</v>
      </c>
      <c r="G32" s="5"/>
      <c r="H32" s="8">
        <v>9530</v>
      </c>
      <c r="I32" s="8">
        <v>4011</v>
      </c>
      <c r="J32" s="8">
        <v>4856</v>
      </c>
      <c r="K32" s="5">
        <f>504+159</f>
        <v>663</v>
      </c>
      <c r="L32" s="5">
        <f>I32+J32+K32</f>
        <v>9530</v>
      </c>
      <c r="M32" s="5">
        <f>L32-H32</f>
        <v>0</v>
      </c>
      <c r="N32" s="6">
        <f>(I32-J32)/H32</f>
        <v>-8.8667366211962223E-2</v>
      </c>
      <c r="O32" s="4">
        <v>26</v>
      </c>
      <c r="P32" s="5">
        <v>1</v>
      </c>
      <c r="Q32" s="8">
        <v>153716</v>
      </c>
      <c r="R32" s="8">
        <v>75133</v>
      </c>
      <c r="S32" s="8">
        <v>68646</v>
      </c>
      <c r="T32" s="8">
        <v>1023</v>
      </c>
      <c r="U32" s="8">
        <v>8914</v>
      </c>
      <c r="V32" s="5">
        <f>R32+S32+T32+U32</f>
        <v>153716</v>
      </c>
      <c r="W32" s="5">
        <f>V32-Q32</f>
        <v>0</v>
      </c>
      <c r="X32" s="6">
        <f>(R32-S32)/Q32</f>
        <v>4.2201202217075649E-2</v>
      </c>
      <c r="Y32" s="4">
        <v>12</v>
      </c>
      <c r="Z32" s="5"/>
      <c r="AA32" s="5"/>
      <c r="AB32" s="8">
        <v>16708</v>
      </c>
      <c r="AC32" s="8">
        <v>10479</v>
      </c>
      <c r="AD32" s="8">
        <v>5443</v>
      </c>
      <c r="AE32" s="8"/>
      <c r="AF32" s="8">
        <v>786</v>
      </c>
      <c r="AG32" s="5">
        <f>AC32+AD32+AE32+AF32</f>
        <v>16708</v>
      </c>
      <c r="AH32" s="5">
        <f>AG32-AB32</f>
        <v>0</v>
      </c>
      <c r="AI32" s="6">
        <f>(AC32-AD32)/AB32</f>
        <v>0.30141249700742162</v>
      </c>
    </row>
    <row r="33" spans="1:35" x14ac:dyDescent="0.2">
      <c r="A33">
        <v>91630</v>
      </c>
      <c r="B33" t="s">
        <v>44</v>
      </c>
      <c r="C33" t="s">
        <v>47</v>
      </c>
      <c r="D33" t="s">
        <v>46</v>
      </c>
      <c r="E33" s="4">
        <v>4</v>
      </c>
      <c r="F33" s="5" t="s">
        <v>47</v>
      </c>
      <c r="G33" s="5"/>
      <c r="H33" s="8">
        <v>11644</v>
      </c>
      <c r="I33" s="8">
        <v>4808</v>
      </c>
      <c r="J33" s="8">
        <v>6096</v>
      </c>
      <c r="K33" s="5">
        <f>440+300</f>
        <v>740</v>
      </c>
      <c r="L33" s="5">
        <f>I33+J33+K33</f>
        <v>11644</v>
      </c>
      <c r="M33" s="5">
        <f>L33-H33</f>
        <v>0</v>
      </c>
      <c r="N33" s="6">
        <f>(I33-J33)/H33</f>
        <v>-0.11061490896599106</v>
      </c>
      <c r="O33" s="4">
        <v>17</v>
      </c>
      <c r="P33" s="5"/>
      <c r="Q33" s="8">
        <v>14917</v>
      </c>
      <c r="R33" s="8">
        <v>8232</v>
      </c>
      <c r="S33" s="8">
        <v>6177</v>
      </c>
      <c r="T33" s="8">
        <v>19</v>
      </c>
      <c r="U33" s="8">
        <v>489</v>
      </c>
      <c r="V33" s="5">
        <f>R33+S33+T33+U33</f>
        <v>14917</v>
      </c>
      <c r="W33" s="5">
        <f>V33-Q33</f>
        <v>0</v>
      </c>
      <c r="X33" s="6">
        <f>(R33-S33)/Q33</f>
        <v>0.137762284641684</v>
      </c>
      <c r="Y33" s="4">
        <v>12</v>
      </c>
      <c r="Z33" s="5"/>
      <c r="AA33" s="5"/>
      <c r="AB33" s="8">
        <v>21467</v>
      </c>
      <c r="AC33" s="8">
        <v>12894</v>
      </c>
      <c r="AD33" s="8">
        <v>7621</v>
      </c>
      <c r="AE33" s="8"/>
      <c r="AF33" s="8">
        <v>952</v>
      </c>
      <c r="AG33" s="5">
        <f>AC33+AD33+AE33+AF33</f>
        <v>21467</v>
      </c>
      <c r="AH33" s="5">
        <f>AG33-AB33</f>
        <v>0</v>
      </c>
      <c r="AI33" s="6">
        <f>(AC33-AD33)/AB33</f>
        <v>0.24563283178832626</v>
      </c>
    </row>
    <row r="34" spans="1:35" x14ac:dyDescent="0.2">
      <c r="A34">
        <v>92180</v>
      </c>
      <c r="B34" t="s">
        <v>44</v>
      </c>
      <c r="C34" t="s">
        <v>48</v>
      </c>
      <c r="D34" t="s">
        <v>49</v>
      </c>
      <c r="E34" s="4">
        <v>4</v>
      </c>
      <c r="F34" s="5" t="s">
        <v>48</v>
      </c>
      <c r="G34" s="5"/>
      <c r="H34" s="8">
        <v>12747</v>
      </c>
      <c r="I34" s="8">
        <v>3597</v>
      </c>
      <c r="J34" s="8">
        <v>8649</v>
      </c>
      <c r="K34" s="5">
        <f>477+24</f>
        <v>501</v>
      </c>
      <c r="L34" s="5">
        <f>I34+J34+K34</f>
        <v>12747</v>
      </c>
      <c r="M34" s="5">
        <f>L34-H34</f>
        <v>0</v>
      </c>
      <c r="N34" s="6">
        <f>(I34-J34)/H34</f>
        <v>-0.39632854789362204</v>
      </c>
      <c r="O34" s="4">
        <v>17</v>
      </c>
      <c r="P34" s="5"/>
      <c r="Q34" s="8">
        <v>21291</v>
      </c>
      <c r="R34" s="8">
        <v>9690</v>
      </c>
      <c r="S34" s="8">
        <v>10959</v>
      </c>
      <c r="T34" s="8">
        <v>17</v>
      </c>
      <c r="U34" s="8">
        <v>625</v>
      </c>
      <c r="V34" s="5">
        <f>R34+S34+T34+U34</f>
        <v>21291</v>
      </c>
      <c r="W34" s="5">
        <f>V34-Q34</f>
        <v>0</v>
      </c>
      <c r="X34" s="6">
        <f>(R34-S34)/Q34</f>
        <v>-5.9602649006622516E-2</v>
      </c>
      <c r="Y34" s="4">
        <v>12</v>
      </c>
      <c r="Z34" s="5"/>
      <c r="AA34" s="5"/>
      <c r="AB34" s="8">
        <v>28955</v>
      </c>
      <c r="AC34" s="8">
        <v>14987</v>
      </c>
      <c r="AD34" s="8">
        <v>12906</v>
      </c>
      <c r="AE34" s="8"/>
      <c r="AF34" s="8">
        <v>1062</v>
      </c>
      <c r="AG34" s="5">
        <f>AC34+AD34+AE34+AF34</f>
        <v>28955</v>
      </c>
      <c r="AH34" s="5">
        <f>AG34-AB34</f>
        <v>0</v>
      </c>
      <c r="AI34" s="6">
        <f>(AC34-AD34)/AB34</f>
        <v>7.1870143325850455E-2</v>
      </c>
    </row>
    <row r="35" spans="1:35" x14ac:dyDescent="0.2">
      <c r="A35">
        <v>90970</v>
      </c>
      <c r="B35" t="s">
        <v>44</v>
      </c>
      <c r="C35" t="s">
        <v>50</v>
      </c>
      <c r="D35" t="s">
        <v>50</v>
      </c>
      <c r="E35" s="4">
        <v>4</v>
      </c>
      <c r="F35" s="5" t="s">
        <v>479</v>
      </c>
      <c r="G35" s="5"/>
      <c r="H35" s="5">
        <v>45102</v>
      </c>
      <c r="I35" s="5">
        <v>7696</v>
      </c>
      <c r="J35" s="8">
        <v>36557</v>
      </c>
      <c r="K35" s="5">
        <f>798+51</f>
        <v>849</v>
      </c>
      <c r="L35" s="5">
        <f>I35+J35+K35</f>
        <v>45102</v>
      </c>
      <c r="M35" s="5">
        <f>L35-H35</f>
        <v>0</v>
      </c>
      <c r="N35" s="6">
        <f>(I35-J35)/H35</f>
        <v>-0.63990510398651945</v>
      </c>
      <c r="O35" s="4">
        <v>17</v>
      </c>
      <c r="P35" s="5"/>
      <c r="Q35" s="5">
        <v>87744</v>
      </c>
      <c r="R35" s="5">
        <v>34162</v>
      </c>
      <c r="S35" s="8">
        <v>51959</v>
      </c>
      <c r="T35" s="8">
        <v>19</v>
      </c>
      <c r="U35" s="8">
        <v>1604</v>
      </c>
      <c r="V35" s="5">
        <f>R35+S35+T35+U35</f>
        <v>87744</v>
      </c>
      <c r="W35" s="5">
        <f>V35-Q35</f>
        <v>0</v>
      </c>
      <c r="X35" s="6">
        <f>(R35-S35)/Q35</f>
        <v>-0.20282868344274252</v>
      </c>
      <c r="Y35" s="4">
        <v>12</v>
      </c>
      <c r="Z35" s="5"/>
      <c r="AA35" s="5"/>
      <c r="AB35" s="8">
        <v>122650</v>
      </c>
      <c r="AC35" s="8">
        <v>62831</v>
      </c>
      <c r="AD35" s="8">
        <v>55073</v>
      </c>
      <c r="AE35" s="8"/>
      <c r="AF35" s="8">
        <v>4746</v>
      </c>
      <c r="AG35" s="5">
        <f>AC35+AD35+AE35+AF35</f>
        <v>122650</v>
      </c>
      <c r="AH35" s="5">
        <f>AG35-AB35</f>
        <v>0</v>
      </c>
      <c r="AI35" s="6">
        <f>(AC35-AD35)/AB35</f>
        <v>6.3253159396657155E-2</v>
      </c>
    </row>
    <row r="36" spans="1:35" x14ac:dyDescent="0.2">
      <c r="A36">
        <v>9003</v>
      </c>
      <c r="B36" t="s">
        <v>44</v>
      </c>
      <c r="C36" s="1" t="s">
        <v>332</v>
      </c>
      <c r="D36" t="s">
        <v>50</v>
      </c>
      <c r="E36" s="4"/>
      <c r="F36" s="5"/>
      <c r="G36" s="5"/>
      <c r="H36" s="5"/>
      <c r="I36" s="5"/>
      <c r="J36" s="5"/>
      <c r="K36" s="5"/>
      <c r="L36" s="5"/>
      <c r="M36" s="5"/>
      <c r="N36" s="6"/>
      <c r="O36" s="4"/>
      <c r="P36" s="5"/>
      <c r="Q36" s="5"/>
      <c r="R36" s="5"/>
      <c r="S36" s="5"/>
      <c r="T36" s="5"/>
      <c r="U36" s="5"/>
      <c r="V36" s="5"/>
      <c r="W36" s="5"/>
      <c r="X36" s="6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6"/>
    </row>
    <row r="37" spans="1:35" x14ac:dyDescent="0.2">
      <c r="A37">
        <v>9005</v>
      </c>
      <c r="B37" t="s">
        <v>44</v>
      </c>
      <c r="C37" t="s">
        <v>51</v>
      </c>
      <c r="D37" t="s">
        <v>52</v>
      </c>
      <c r="E37" s="4">
        <v>5</v>
      </c>
      <c r="F37" s="5" t="s">
        <v>579</v>
      </c>
      <c r="G37" s="5"/>
      <c r="H37" s="8">
        <v>625</v>
      </c>
      <c r="I37" s="8">
        <v>271</v>
      </c>
      <c r="J37" s="5">
        <v>176</v>
      </c>
      <c r="K37" s="5">
        <f>29+149</f>
        <v>178</v>
      </c>
      <c r="L37" s="5">
        <f>I37+J37+K37</f>
        <v>625</v>
      </c>
      <c r="M37" s="5">
        <f>L37-H37</f>
        <v>0</v>
      </c>
      <c r="N37" s="6">
        <f>(I37-J37)/H37</f>
        <v>0.152</v>
      </c>
      <c r="O37" s="4">
        <v>17</v>
      </c>
      <c r="P37" s="5"/>
      <c r="Q37" s="8">
        <v>33866</v>
      </c>
      <c r="R37" s="8">
        <v>17653</v>
      </c>
      <c r="S37" s="8">
        <v>11215</v>
      </c>
      <c r="T37" s="8">
        <v>593</v>
      </c>
      <c r="U37" s="8">
        <v>4405</v>
      </c>
      <c r="V37" s="5">
        <f>R37+S37+T37+U37</f>
        <v>33866</v>
      </c>
      <c r="W37" s="5">
        <f>V37-Q37</f>
        <v>0</v>
      </c>
      <c r="X37" s="6">
        <f>(R37-S37)/Q37</f>
        <v>0.19010216736549931</v>
      </c>
      <c r="Y37" s="4">
        <v>12</v>
      </c>
      <c r="Z37" s="5"/>
      <c r="AA37" s="5"/>
      <c r="AB37" s="8"/>
      <c r="AC37" s="8"/>
      <c r="AD37" s="8"/>
      <c r="AE37" s="8"/>
      <c r="AF37" s="8"/>
      <c r="AG37" s="5">
        <f>AC37+AD37+AE37+AF37</f>
        <v>0</v>
      </c>
      <c r="AH37" s="5">
        <f>AG37-AB37</f>
        <v>0</v>
      </c>
      <c r="AI37" s="6" t="e">
        <f>(AC37-AD37)/AB37</f>
        <v>#DIV/0!</v>
      </c>
    </row>
    <row r="38" spans="1:35" x14ac:dyDescent="0.2">
      <c r="A38">
        <v>91450</v>
      </c>
      <c r="B38" t="s">
        <v>44</v>
      </c>
      <c r="C38" t="s">
        <v>53</v>
      </c>
      <c r="D38" t="s">
        <v>53</v>
      </c>
      <c r="E38" s="4">
        <v>4</v>
      </c>
      <c r="F38" s="5" t="s">
        <v>53</v>
      </c>
      <c r="G38" s="5"/>
      <c r="H38" s="5">
        <v>44130</v>
      </c>
      <c r="I38" s="5">
        <f>11126</f>
        <v>11126</v>
      </c>
      <c r="J38" s="5">
        <v>31354</v>
      </c>
      <c r="K38" s="5">
        <f>1521+129</f>
        <v>1650</v>
      </c>
      <c r="L38" s="5">
        <f>I38+J38+K38</f>
        <v>44130</v>
      </c>
      <c r="M38" s="5">
        <f>L38-H38</f>
        <v>0</v>
      </c>
      <c r="N38" s="6">
        <f>(I38-J38)/H38</f>
        <v>-0.45837298889644235</v>
      </c>
      <c r="O38" s="4">
        <v>17</v>
      </c>
      <c r="P38" s="5"/>
      <c r="Q38" s="5">
        <v>47385</v>
      </c>
      <c r="R38" s="5">
        <v>14865</v>
      </c>
      <c r="S38" s="8">
        <v>32026</v>
      </c>
      <c r="T38" s="8">
        <v>12</v>
      </c>
      <c r="U38" s="8">
        <v>482</v>
      </c>
      <c r="V38" s="5">
        <f>R38+S38+T38+U38</f>
        <v>47385</v>
      </c>
      <c r="W38" s="5">
        <f>V38-Q38</f>
        <v>0</v>
      </c>
      <c r="X38" s="6">
        <f>(R38-S38)/Q38</f>
        <v>-0.36216102142028067</v>
      </c>
      <c r="Y38" s="4">
        <v>12</v>
      </c>
      <c r="Z38" s="5"/>
      <c r="AA38" s="5"/>
      <c r="AB38" s="5">
        <v>51471</v>
      </c>
      <c r="AC38" s="5">
        <v>16588</v>
      </c>
      <c r="AD38" s="8">
        <v>32581</v>
      </c>
      <c r="AE38" s="8"/>
      <c r="AF38" s="8">
        <v>2302</v>
      </c>
      <c r="AG38" s="5">
        <f>AC38+AD38+AE38+AF38</f>
        <v>51471</v>
      </c>
      <c r="AH38" s="5">
        <f>AG38-AB38</f>
        <v>0</v>
      </c>
      <c r="AI38" s="6">
        <f>(AC38-AD38)/AB38</f>
        <v>-0.31071865710788599</v>
      </c>
    </row>
    <row r="39" spans="1:35" x14ac:dyDescent="0.2">
      <c r="A39">
        <v>92535</v>
      </c>
      <c r="B39" t="s">
        <v>44</v>
      </c>
      <c r="C39" t="s">
        <v>452</v>
      </c>
      <c r="D39" t="s">
        <v>53</v>
      </c>
      <c r="E39" s="4">
        <v>4</v>
      </c>
      <c r="F39" s="5" t="s">
        <v>580</v>
      </c>
      <c r="G39" s="5"/>
      <c r="H39" s="8">
        <v>8536</v>
      </c>
      <c r="I39" s="5">
        <v>3551</v>
      </c>
      <c r="J39" s="8">
        <v>4534</v>
      </c>
      <c r="K39" s="5">
        <f>366+85</f>
        <v>451</v>
      </c>
      <c r="L39" s="5">
        <f>I39+J39+K39</f>
        <v>8536</v>
      </c>
      <c r="M39" s="5">
        <f>L39-H39</f>
        <v>0</v>
      </c>
      <c r="N39" s="6">
        <f>(I39-J39)/H39</f>
        <v>-0.1151593252108716</v>
      </c>
      <c r="O39" s="4">
        <v>26</v>
      </c>
      <c r="P39" s="5">
        <v>1</v>
      </c>
      <c r="Q39" s="8">
        <v>163974</v>
      </c>
      <c r="R39" s="8">
        <v>77138</v>
      </c>
      <c r="S39" s="8">
        <v>78535</v>
      </c>
      <c r="T39" s="8">
        <v>181</v>
      </c>
      <c r="U39" s="8">
        <v>8120</v>
      </c>
      <c r="V39" s="5">
        <f>R39+S39+T39+U39</f>
        <v>163974</v>
      </c>
      <c r="W39" s="5">
        <f>V39-Q39</f>
        <v>0</v>
      </c>
      <c r="X39" s="6">
        <f>(R39-S39)/Q39</f>
        <v>-8.5196433580933557E-3</v>
      </c>
      <c r="Y39" s="4">
        <v>18</v>
      </c>
      <c r="Z39" s="5"/>
      <c r="AA39" s="5"/>
      <c r="AB39" s="8">
        <v>13077</v>
      </c>
      <c r="AC39" s="8">
        <v>8966</v>
      </c>
      <c r="AD39" s="8">
        <v>3692</v>
      </c>
      <c r="AE39" s="8"/>
      <c r="AF39" s="8">
        <v>419</v>
      </c>
      <c r="AG39" s="5">
        <f>AC39+AD39+AE39+AF39</f>
        <v>13077</v>
      </c>
      <c r="AH39" s="5">
        <f>AG39-AB39</f>
        <v>0</v>
      </c>
      <c r="AI39" s="6">
        <f>(AC39-AD39)/AB39</f>
        <v>0.40330350997935305</v>
      </c>
    </row>
    <row r="40" spans="1:35" x14ac:dyDescent="0.2">
      <c r="A40">
        <v>92160</v>
      </c>
      <c r="B40" t="s">
        <v>44</v>
      </c>
      <c r="C40" t="s">
        <v>54</v>
      </c>
      <c r="D40" t="s">
        <v>55</v>
      </c>
      <c r="E40" s="4">
        <v>4</v>
      </c>
      <c r="F40" s="5" t="s">
        <v>582</v>
      </c>
      <c r="G40" s="5"/>
      <c r="H40" s="5">
        <v>955</v>
      </c>
      <c r="I40" s="5">
        <v>418</v>
      </c>
      <c r="J40" s="8">
        <v>509</v>
      </c>
      <c r="K40" s="5">
        <f>19+9</f>
        <v>28</v>
      </c>
      <c r="L40" s="5">
        <f>I40+J40+K40</f>
        <v>955</v>
      </c>
      <c r="M40" s="5">
        <f>L40-H40</f>
        <v>0</v>
      </c>
      <c r="N40" s="6">
        <f>(I40-J40)/H40</f>
        <v>-9.5287958115183244E-2</v>
      </c>
      <c r="O40" s="4">
        <v>22</v>
      </c>
      <c r="P40" s="5"/>
      <c r="Q40" s="5">
        <v>1079</v>
      </c>
      <c r="R40" s="5">
        <v>563</v>
      </c>
      <c r="S40" s="8">
        <v>497</v>
      </c>
      <c r="T40" s="8">
        <v>0</v>
      </c>
      <c r="U40" s="8">
        <v>19</v>
      </c>
      <c r="V40" s="5">
        <f>R40+S40+T40+U40</f>
        <v>1079</v>
      </c>
      <c r="W40" s="5">
        <f>V40-Q40</f>
        <v>0</v>
      </c>
      <c r="X40" s="6">
        <f>(R40-S40)/Q40</f>
        <v>6.1167747914735865E-2</v>
      </c>
      <c r="Y40" s="4">
        <v>25</v>
      </c>
      <c r="Z40" s="5"/>
      <c r="AA40" s="5"/>
      <c r="AB40" s="8">
        <v>1158</v>
      </c>
      <c r="AC40" s="8">
        <v>605</v>
      </c>
      <c r="AD40" s="8">
        <v>471</v>
      </c>
      <c r="AE40" s="8"/>
      <c r="AF40" s="8">
        <f>66+16</f>
        <v>82</v>
      </c>
      <c r="AG40" s="5">
        <f>AC40+AD40+AE40+AF40</f>
        <v>1158</v>
      </c>
      <c r="AH40" s="5">
        <f>AG40-AB40</f>
        <v>0</v>
      </c>
      <c r="AI40" s="6">
        <f>(AC40-AD40)/AB40</f>
        <v>0.1157167530224525</v>
      </c>
    </row>
    <row r="41" spans="1:35" x14ac:dyDescent="0.2">
      <c r="A41">
        <v>91650</v>
      </c>
      <c r="B41" t="s">
        <v>44</v>
      </c>
      <c r="C41" t="s">
        <v>451</v>
      </c>
      <c r="D41" t="s">
        <v>211</v>
      </c>
      <c r="E41" s="4">
        <v>4</v>
      </c>
      <c r="F41" s="5" t="s">
        <v>581</v>
      </c>
      <c r="G41" s="5"/>
      <c r="H41" s="5">
        <v>6784</v>
      </c>
      <c r="I41" s="5">
        <v>2529</v>
      </c>
      <c r="J41" s="8">
        <v>3859</v>
      </c>
      <c r="K41" s="5">
        <f>370+26</f>
        <v>396</v>
      </c>
      <c r="L41" s="5">
        <f>I41+J41+K41</f>
        <v>6784</v>
      </c>
      <c r="M41" s="5">
        <f>L41-H41</f>
        <v>0</v>
      </c>
      <c r="N41" s="6">
        <f>(I41-J41)/H41</f>
        <v>-0.19604952830188679</v>
      </c>
      <c r="O41" s="4">
        <v>17</v>
      </c>
      <c r="P41" s="5"/>
      <c r="Q41" s="5">
        <v>7397</v>
      </c>
      <c r="R41" s="5">
        <v>3263</v>
      </c>
      <c r="S41" s="8">
        <v>3907</v>
      </c>
      <c r="T41" s="8">
        <v>9</v>
      </c>
      <c r="U41" s="8">
        <v>218</v>
      </c>
      <c r="V41" s="5">
        <f>R41+S41+T41+U41</f>
        <v>7397</v>
      </c>
      <c r="W41" s="5">
        <f>V41-Q41</f>
        <v>0</v>
      </c>
      <c r="X41" s="6">
        <f>(R41-S41)/Q41</f>
        <v>-8.7062322563201303E-2</v>
      </c>
      <c r="Y41" s="4">
        <v>18</v>
      </c>
      <c r="Z41" s="5"/>
      <c r="AA41" s="5"/>
      <c r="AB41" s="5">
        <v>12604</v>
      </c>
      <c r="AC41" s="5">
        <v>6469</v>
      </c>
      <c r="AD41" s="8">
        <v>5406</v>
      </c>
      <c r="AE41" s="8"/>
      <c r="AF41" s="8">
        <v>729</v>
      </c>
      <c r="AG41" s="5">
        <f>AC41+AD41+AE41+AF41</f>
        <v>12604</v>
      </c>
      <c r="AH41" s="5">
        <f>AG41-AB41</f>
        <v>0</v>
      </c>
      <c r="AI41" s="6">
        <f>(AC41-AD41)/AB41</f>
        <v>8.4338305299904798E-2</v>
      </c>
    </row>
    <row r="42" spans="1:35" x14ac:dyDescent="0.2">
      <c r="E42" s="4"/>
      <c r="F42" s="5"/>
      <c r="G42" s="5"/>
      <c r="H42" s="5"/>
      <c r="I42" s="5"/>
      <c r="J42" s="5"/>
      <c r="K42" s="5"/>
      <c r="L42" s="5"/>
      <c r="M42" s="5"/>
      <c r="N42" s="6"/>
      <c r="O42" s="4"/>
      <c r="P42" s="5"/>
      <c r="Q42" s="5"/>
      <c r="R42" s="5"/>
      <c r="S42" s="5"/>
      <c r="T42" s="5"/>
      <c r="U42" s="5"/>
      <c r="V42" s="5"/>
      <c r="W42" s="5"/>
      <c r="X42" s="6"/>
      <c r="Y42" s="4"/>
      <c r="Z42" s="5"/>
      <c r="AA42" s="5"/>
      <c r="AB42" s="5"/>
      <c r="AC42" s="5"/>
      <c r="AD42" s="5"/>
      <c r="AE42" s="5"/>
      <c r="AF42" s="5"/>
      <c r="AG42" s="5"/>
      <c r="AH42" s="5"/>
      <c r="AI42" s="6"/>
    </row>
    <row r="43" spans="1:35" x14ac:dyDescent="0.2">
      <c r="A43">
        <v>110005</v>
      </c>
      <c r="B43" t="s">
        <v>56</v>
      </c>
      <c r="C43" t="s">
        <v>57</v>
      </c>
      <c r="E43" s="4">
        <v>3</v>
      </c>
      <c r="F43" s="5" t="s">
        <v>577</v>
      </c>
      <c r="G43" s="5"/>
      <c r="H43" s="8">
        <v>185128</v>
      </c>
      <c r="I43" s="8">
        <v>51944</v>
      </c>
      <c r="J43" s="8">
        <v>121501</v>
      </c>
      <c r="K43" s="5">
        <f>9974+1709</f>
        <v>11683</v>
      </c>
      <c r="L43" s="5">
        <f>I43+J43+K43</f>
        <v>185128</v>
      </c>
      <c r="M43" s="5">
        <f>L43-H43</f>
        <v>0</v>
      </c>
      <c r="N43" s="6">
        <f>(I43-J43)/H43</f>
        <v>-0.37572382351670197</v>
      </c>
      <c r="O43" s="4">
        <v>2</v>
      </c>
      <c r="P43" s="5"/>
      <c r="Q43" s="8">
        <v>229738</v>
      </c>
      <c r="R43" s="8">
        <v>72362</v>
      </c>
      <c r="S43" s="8">
        <v>151780</v>
      </c>
      <c r="T43" s="8">
        <v>861</v>
      </c>
      <c r="U43" s="8">
        <v>4735</v>
      </c>
      <c r="V43" s="5">
        <f>R43+S43+T43+U43</f>
        <v>229738</v>
      </c>
      <c r="W43" s="5">
        <f>V43-Q43</f>
        <v>0</v>
      </c>
      <c r="X43" s="6">
        <f>(R43-S43)/Q43</f>
        <v>-0.34568943753318998</v>
      </c>
      <c r="Y43" s="4">
        <v>12</v>
      </c>
      <c r="Z43" s="5"/>
      <c r="AA43" s="5"/>
      <c r="AB43" s="8">
        <v>262641</v>
      </c>
      <c r="AC43" s="8">
        <v>75532</v>
      </c>
      <c r="AD43" s="8">
        <v>176534</v>
      </c>
      <c r="AE43" s="8"/>
      <c r="AF43" s="8">
        <v>10575</v>
      </c>
      <c r="AG43" s="5">
        <f>AC43+AD43+AE43+AF43</f>
        <v>262641</v>
      </c>
      <c r="AH43" s="5">
        <f>AG43-AB43</f>
        <v>0</v>
      </c>
      <c r="AI43" s="6">
        <f>(AC43-AD43)/AB43</f>
        <v>-0.38456295856320988</v>
      </c>
    </row>
    <row r="44" spans="1:35" x14ac:dyDescent="0.2">
      <c r="E44" s="4"/>
      <c r="F44" s="5"/>
      <c r="G44" s="5"/>
      <c r="H44" s="5"/>
      <c r="I44" s="5"/>
      <c r="J44" s="5"/>
      <c r="K44" s="5"/>
      <c r="L44" s="5"/>
      <c r="M44" s="5"/>
      <c r="N44" s="6"/>
      <c r="O44" s="4"/>
      <c r="P44" s="5"/>
      <c r="Q44" s="5"/>
      <c r="R44" s="5"/>
      <c r="S44" s="5"/>
      <c r="T44" s="5"/>
      <c r="U44" s="5"/>
      <c r="V44" s="5"/>
      <c r="W44" s="5"/>
      <c r="X44" s="6"/>
      <c r="Y44" s="4"/>
      <c r="Z44" s="5"/>
      <c r="AA44" s="5"/>
      <c r="AB44" s="5"/>
      <c r="AC44" s="5"/>
      <c r="AD44" s="5"/>
      <c r="AE44" s="5"/>
      <c r="AF44" s="5"/>
      <c r="AG44" s="5"/>
      <c r="AH44" s="5"/>
      <c r="AI44" s="6"/>
    </row>
    <row r="45" spans="1:35" x14ac:dyDescent="0.2">
      <c r="A45">
        <v>120645</v>
      </c>
      <c r="B45" t="s">
        <v>58</v>
      </c>
      <c r="C45" t="s">
        <v>59</v>
      </c>
      <c r="D45" t="s">
        <v>60</v>
      </c>
      <c r="E45" s="4">
        <v>4</v>
      </c>
      <c r="F45" s="5" t="s">
        <v>59</v>
      </c>
      <c r="G45" s="5"/>
      <c r="H45" s="8">
        <v>7006</v>
      </c>
      <c r="I45" s="8">
        <v>2304</v>
      </c>
      <c r="J45" s="8">
        <v>2939</v>
      </c>
      <c r="K45" s="5">
        <f>1294+469</f>
        <v>1763</v>
      </c>
      <c r="L45" s="5">
        <f t="shared" ref="L45:L52" si="18">I45+J45+K45</f>
        <v>7006</v>
      </c>
      <c r="M45" s="5">
        <f t="shared" ref="M45:M52" si="19">L45-H45</f>
        <v>0</v>
      </c>
      <c r="N45" s="6">
        <f t="shared" ref="N45:N52" si="20">(I45-J45)/H45</f>
        <v>-9.0636597202397945E-2</v>
      </c>
      <c r="O45" s="4">
        <v>17</v>
      </c>
      <c r="P45" s="5"/>
      <c r="Q45" s="8">
        <v>16969</v>
      </c>
      <c r="R45" s="8">
        <v>6894</v>
      </c>
      <c r="S45" s="8">
        <v>5096</v>
      </c>
      <c r="T45" s="8">
        <v>896</v>
      </c>
      <c r="U45" s="8">
        <v>4083</v>
      </c>
      <c r="V45" s="5">
        <f t="shared" ref="V45:V52" si="21">R45+S45+T45+U45</f>
        <v>16969</v>
      </c>
      <c r="W45" s="5">
        <f t="shared" ref="W45:W52" si="22">V45-Q45</f>
        <v>0</v>
      </c>
      <c r="X45" s="6">
        <f t="shared" ref="X45:X52" si="23">(R45-S45)/Q45</f>
        <v>0.10595792327184866</v>
      </c>
      <c r="Y45" s="4">
        <v>12</v>
      </c>
      <c r="Z45" s="5"/>
      <c r="AA45" s="5"/>
      <c r="AB45" s="8">
        <v>34984</v>
      </c>
      <c r="AC45" s="8">
        <v>18337</v>
      </c>
      <c r="AD45" s="8">
        <v>10684</v>
      </c>
      <c r="AE45" s="8"/>
      <c r="AF45" s="8">
        <v>5963</v>
      </c>
      <c r="AG45" s="5">
        <f t="shared" ref="AG45:AG52" si="24">AC45+AD45+AE45+AF45</f>
        <v>34984</v>
      </c>
      <c r="AH45" s="5">
        <f t="shared" ref="AH45:AH52" si="25">AG45-AB45</f>
        <v>0</v>
      </c>
      <c r="AI45" s="6">
        <f t="shared" ref="AI45:AI52" si="26">(AC45-AD45)/AB45</f>
        <v>0.21875714612394237</v>
      </c>
    </row>
    <row r="46" spans="1:35" x14ac:dyDescent="0.2">
      <c r="A46">
        <v>120915</v>
      </c>
      <c r="B46" t="s">
        <v>58</v>
      </c>
      <c r="C46" t="s">
        <v>61</v>
      </c>
      <c r="D46" t="s">
        <v>60</v>
      </c>
      <c r="E46" s="4">
        <v>4</v>
      </c>
      <c r="F46" s="5" t="s">
        <v>61</v>
      </c>
      <c r="G46" s="5"/>
      <c r="H46" s="8">
        <v>3330</v>
      </c>
      <c r="I46" s="8">
        <v>1025</v>
      </c>
      <c r="J46" s="8">
        <v>940</v>
      </c>
      <c r="K46" s="5">
        <f>956+409</f>
        <v>1365</v>
      </c>
      <c r="L46" s="5">
        <f t="shared" si="18"/>
        <v>3330</v>
      </c>
      <c r="M46" s="5">
        <f t="shared" si="19"/>
        <v>0</v>
      </c>
      <c r="N46" s="6">
        <f t="shared" si="20"/>
        <v>2.5525525525525526E-2</v>
      </c>
      <c r="O46" s="4">
        <v>17</v>
      </c>
      <c r="P46" s="5"/>
      <c r="Q46" s="8">
        <v>6778</v>
      </c>
      <c r="R46" s="8">
        <v>3151</v>
      </c>
      <c r="S46" s="8">
        <v>1663</v>
      </c>
      <c r="T46" s="8">
        <v>510</v>
      </c>
      <c r="U46" s="8">
        <v>1454</v>
      </c>
      <c r="V46" s="5">
        <f t="shared" si="21"/>
        <v>6778</v>
      </c>
      <c r="W46" s="5">
        <f t="shared" si="22"/>
        <v>0</v>
      </c>
      <c r="X46" s="6">
        <f t="shared" si="23"/>
        <v>0.21953378577751548</v>
      </c>
      <c r="Y46" s="4">
        <v>18</v>
      </c>
      <c r="Z46" s="5"/>
      <c r="AA46" s="5"/>
      <c r="AB46" s="8">
        <v>15409</v>
      </c>
      <c r="AC46" s="8">
        <v>9426</v>
      </c>
      <c r="AD46" s="8">
        <v>3404</v>
      </c>
      <c r="AE46" s="8"/>
      <c r="AF46" s="8">
        <v>2579</v>
      </c>
      <c r="AG46" s="5">
        <f t="shared" si="24"/>
        <v>15409</v>
      </c>
      <c r="AH46" s="5">
        <f t="shared" si="25"/>
        <v>0</v>
      </c>
      <c r="AI46" s="6">
        <f t="shared" si="26"/>
        <v>0.39081056525407232</v>
      </c>
    </row>
    <row r="47" spans="1:35" x14ac:dyDescent="0.2">
      <c r="A47">
        <v>121000</v>
      </c>
      <c r="B47" t="s">
        <v>58</v>
      </c>
      <c r="C47" t="s">
        <v>62</v>
      </c>
      <c r="D47" t="s">
        <v>63</v>
      </c>
      <c r="E47" s="4">
        <v>4</v>
      </c>
      <c r="F47" s="5" t="s">
        <v>62</v>
      </c>
      <c r="G47" s="5"/>
      <c r="H47" s="8">
        <v>46955</v>
      </c>
      <c r="I47" s="8">
        <v>14012</v>
      </c>
      <c r="J47" s="8">
        <v>31365</v>
      </c>
      <c r="K47" s="5">
        <f>1545+33</f>
        <v>1578</v>
      </c>
      <c r="L47" s="5">
        <f t="shared" si="18"/>
        <v>46955</v>
      </c>
      <c r="M47" s="5">
        <f t="shared" si="19"/>
        <v>0</v>
      </c>
      <c r="N47" s="6">
        <f t="shared" si="20"/>
        <v>-0.36956660632520499</v>
      </c>
      <c r="O47" s="4">
        <v>17</v>
      </c>
      <c r="P47" s="5"/>
      <c r="Q47" s="8">
        <v>60465</v>
      </c>
      <c r="R47" s="8">
        <v>28115</v>
      </c>
      <c r="S47" s="8">
        <v>29792</v>
      </c>
      <c r="T47" s="8">
        <v>75</v>
      </c>
      <c r="U47" s="8">
        <v>2483</v>
      </c>
      <c r="V47" s="5">
        <f t="shared" si="21"/>
        <v>60465</v>
      </c>
      <c r="W47" s="5">
        <f t="shared" si="22"/>
        <v>0</v>
      </c>
      <c r="X47" s="6">
        <f t="shared" si="23"/>
        <v>-2.7735053336641034E-2</v>
      </c>
      <c r="Y47" s="4">
        <v>12</v>
      </c>
      <c r="Z47" s="5"/>
      <c r="AA47" s="5"/>
      <c r="AB47" s="8">
        <v>116384</v>
      </c>
      <c r="AC47" s="8">
        <v>69829</v>
      </c>
      <c r="AD47" s="8">
        <v>38250</v>
      </c>
      <c r="AE47" s="8"/>
      <c r="AF47" s="8">
        <v>8305</v>
      </c>
      <c r="AG47" s="5">
        <f t="shared" si="24"/>
        <v>116384</v>
      </c>
      <c r="AH47" s="5">
        <f t="shared" si="25"/>
        <v>0</v>
      </c>
      <c r="AI47" s="6">
        <f t="shared" si="26"/>
        <v>0.27133454770415177</v>
      </c>
    </row>
    <row r="48" spans="1:35" x14ac:dyDescent="0.2">
      <c r="A48">
        <v>121825</v>
      </c>
      <c r="B48" t="s">
        <v>58</v>
      </c>
      <c r="C48" t="s">
        <v>64</v>
      </c>
      <c r="D48" t="s">
        <v>5</v>
      </c>
      <c r="E48" s="4">
        <v>4</v>
      </c>
      <c r="F48" s="5" t="s">
        <v>64</v>
      </c>
      <c r="G48" s="5"/>
      <c r="H48" s="8">
        <v>1144</v>
      </c>
      <c r="I48" s="8">
        <v>430</v>
      </c>
      <c r="J48" s="8">
        <v>652</v>
      </c>
      <c r="K48" s="5">
        <f>61+1</f>
        <v>62</v>
      </c>
      <c r="L48" s="5">
        <f t="shared" si="18"/>
        <v>1144</v>
      </c>
      <c r="M48" s="5">
        <f t="shared" si="19"/>
        <v>0</v>
      </c>
      <c r="N48" s="6">
        <f t="shared" si="20"/>
        <v>-0.19405594405594406</v>
      </c>
      <c r="O48" s="4">
        <v>22</v>
      </c>
      <c r="P48" s="5"/>
      <c r="Q48" s="8">
        <v>1988</v>
      </c>
      <c r="R48" s="8">
        <v>1140</v>
      </c>
      <c r="S48" s="8">
        <v>774</v>
      </c>
      <c r="T48" s="8">
        <v>6</v>
      </c>
      <c r="U48" s="8">
        <v>68</v>
      </c>
      <c r="V48" s="5">
        <f t="shared" si="21"/>
        <v>1988</v>
      </c>
      <c r="W48" s="5">
        <f t="shared" si="22"/>
        <v>0</v>
      </c>
      <c r="X48" s="6">
        <f t="shared" si="23"/>
        <v>0.18410462776659961</v>
      </c>
      <c r="Y48" s="4">
        <v>28</v>
      </c>
      <c r="Z48" s="5"/>
      <c r="AA48" s="5">
        <v>1</v>
      </c>
      <c r="AB48" s="8">
        <v>9625</v>
      </c>
      <c r="AC48" s="8">
        <v>4907</v>
      </c>
      <c r="AD48" s="8">
        <v>3802</v>
      </c>
      <c r="AE48" s="8"/>
      <c r="AF48" s="8">
        <v>916</v>
      </c>
      <c r="AG48" s="5">
        <f t="shared" si="24"/>
        <v>9625</v>
      </c>
      <c r="AH48" s="5">
        <f t="shared" si="25"/>
        <v>0</v>
      </c>
      <c r="AI48" s="6">
        <f t="shared" si="26"/>
        <v>0.1148051948051948</v>
      </c>
    </row>
    <row r="49" spans="1:35" x14ac:dyDescent="0.2">
      <c r="A49">
        <v>120425</v>
      </c>
      <c r="B49" t="s">
        <v>58</v>
      </c>
      <c r="C49" t="s">
        <v>65</v>
      </c>
      <c r="D49" t="s">
        <v>66</v>
      </c>
      <c r="E49" s="4">
        <v>4</v>
      </c>
      <c r="F49" s="5" t="s">
        <v>65</v>
      </c>
      <c r="G49" s="5"/>
      <c r="H49" s="5">
        <v>3296</v>
      </c>
      <c r="I49" s="5">
        <v>1387</v>
      </c>
      <c r="J49" s="8">
        <v>1188</v>
      </c>
      <c r="K49" s="5">
        <f>521+200</f>
        <v>721</v>
      </c>
      <c r="L49" s="5">
        <f t="shared" si="18"/>
        <v>3296</v>
      </c>
      <c r="M49" s="5">
        <f t="shared" si="19"/>
        <v>0</v>
      </c>
      <c r="N49" s="6">
        <f t="shared" si="20"/>
        <v>6.0376213592233011E-2</v>
      </c>
      <c r="O49" s="4">
        <v>17</v>
      </c>
      <c r="P49" s="5"/>
      <c r="Q49" s="5">
        <v>7246</v>
      </c>
      <c r="R49" s="5">
        <v>3273</v>
      </c>
      <c r="S49" s="8">
        <v>3022</v>
      </c>
      <c r="T49" s="8">
        <v>190</v>
      </c>
      <c r="U49" s="8">
        <v>761</v>
      </c>
      <c r="V49" s="5">
        <f t="shared" si="21"/>
        <v>7246</v>
      </c>
      <c r="W49" s="5">
        <f t="shared" si="22"/>
        <v>0</v>
      </c>
      <c r="X49" s="6">
        <f t="shared" si="23"/>
        <v>3.4639801269666023E-2</v>
      </c>
      <c r="Y49" s="4">
        <v>12</v>
      </c>
      <c r="Z49" s="5" t="s">
        <v>642</v>
      </c>
      <c r="AA49" s="5">
        <v>1</v>
      </c>
      <c r="AB49" s="5">
        <v>348946</v>
      </c>
      <c r="AC49" s="5">
        <v>183103</v>
      </c>
      <c r="AD49" s="8">
        <v>125222</v>
      </c>
      <c r="AE49" s="8"/>
      <c r="AF49" s="8">
        <v>40621</v>
      </c>
      <c r="AG49" s="5">
        <f t="shared" si="24"/>
        <v>348946</v>
      </c>
      <c r="AH49" s="5">
        <f t="shared" si="25"/>
        <v>0</v>
      </c>
      <c r="AI49" s="6">
        <f t="shared" si="26"/>
        <v>0.16587380282335948</v>
      </c>
    </row>
    <row r="50" spans="1:35" x14ac:dyDescent="0.2">
      <c r="A50">
        <v>121370</v>
      </c>
      <c r="B50" t="s">
        <v>58</v>
      </c>
      <c r="C50" t="s">
        <v>67</v>
      </c>
      <c r="D50" t="s">
        <v>66</v>
      </c>
      <c r="E50" s="4">
        <v>4</v>
      </c>
      <c r="F50" s="5" t="s">
        <v>576</v>
      </c>
      <c r="G50" s="5"/>
      <c r="H50" s="8">
        <v>55271</v>
      </c>
      <c r="I50" s="8">
        <v>18321</v>
      </c>
      <c r="J50" s="8">
        <v>30162</v>
      </c>
      <c r="K50" s="5">
        <f>5761+1027</f>
        <v>6788</v>
      </c>
      <c r="L50" s="5">
        <f t="shared" si="18"/>
        <v>55271</v>
      </c>
      <c r="M50" s="5">
        <f t="shared" si="19"/>
        <v>0</v>
      </c>
      <c r="N50" s="6">
        <f t="shared" si="20"/>
        <v>-0.21423531327459247</v>
      </c>
      <c r="O50" s="4">
        <v>17</v>
      </c>
      <c r="P50" s="5"/>
      <c r="Q50" s="8">
        <v>87532</v>
      </c>
      <c r="R50" s="8">
        <v>37896</v>
      </c>
      <c r="S50" s="8">
        <v>40489</v>
      </c>
      <c r="T50" s="8">
        <v>1015</v>
      </c>
      <c r="U50" s="8">
        <v>8132</v>
      </c>
      <c r="V50" s="5">
        <f t="shared" si="21"/>
        <v>87532</v>
      </c>
      <c r="W50" s="5">
        <f t="shared" si="22"/>
        <v>0</v>
      </c>
      <c r="X50" s="6">
        <f t="shared" si="23"/>
        <v>-2.9623451994699082E-2</v>
      </c>
      <c r="Y50" s="4">
        <v>12</v>
      </c>
      <c r="Z50" s="5"/>
      <c r="AA50" s="5"/>
      <c r="AB50" s="8">
        <v>120017</v>
      </c>
      <c r="AC50" s="8">
        <v>45699</v>
      </c>
      <c r="AD50" s="8">
        <v>62126</v>
      </c>
      <c r="AE50" s="8"/>
      <c r="AF50" s="8">
        <v>12192</v>
      </c>
      <c r="AG50" s="5">
        <f t="shared" si="24"/>
        <v>120017</v>
      </c>
      <c r="AH50" s="5">
        <f t="shared" si="25"/>
        <v>0</v>
      </c>
      <c r="AI50" s="6">
        <f t="shared" si="26"/>
        <v>-0.1368722764275061</v>
      </c>
    </row>
    <row r="51" spans="1:35" x14ac:dyDescent="0.2">
      <c r="A51">
        <v>121656</v>
      </c>
      <c r="B51" t="s">
        <v>58</v>
      </c>
      <c r="C51" t="s">
        <v>68</v>
      </c>
      <c r="D51" t="s">
        <v>68</v>
      </c>
      <c r="E51" s="4">
        <v>4</v>
      </c>
      <c r="F51" s="5" t="s">
        <v>575</v>
      </c>
      <c r="G51" s="5"/>
      <c r="H51" s="8">
        <v>1625</v>
      </c>
      <c r="I51" s="8">
        <v>377</v>
      </c>
      <c r="J51" s="8">
        <v>568</v>
      </c>
      <c r="K51" s="5">
        <f>344+336</f>
        <v>680</v>
      </c>
      <c r="L51" s="5">
        <f t="shared" si="18"/>
        <v>1625</v>
      </c>
      <c r="M51" s="5">
        <f t="shared" si="19"/>
        <v>0</v>
      </c>
      <c r="N51" s="6">
        <f t="shared" si="20"/>
        <v>-0.11753846153846154</v>
      </c>
      <c r="O51" s="4">
        <v>22</v>
      </c>
      <c r="P51" s="5"/>
      <c r="Q51" s="8">
        <v>2606</v>
      </c>
      <c r="R51" s="8">
        <v>712</v>
      </c>
      <c r="S51" s="8">
        <v>580</v>
      </c>
      <c r="T51" s="8">
        <v>314</v>
      </c>
      <c r="U51" s="8">
        <v>1000</v>
      </c>
      <c r="V51" s="5">
        <f t="shared" si="21"/>
        <v>2606</v>
      </c>
      <c r="W51" s="5">
        <f t="shared" si="22"/>
        <v>0</v>
      </c>
      <c r="X51" s="6">
        <f t="shared" si="23"/>
        <v>5.0652340752110517E-2</v>
      </c>
      <c r="Y51" s="4">
        <v>25</v>
      </c>
      <c r="Z51" s="5"/>
      <c r="AA51" s="5"/>
      <c r="AB51" s="8">
        <v>3559</v>
      </c>
      <c r="AC51" s="8">
        <v>1408</v>
      </c>
      <c r="AD51" s="8">
        <v>1109</v>
      </c>
      <c r="AE51" s="8"/>
      <c r="AF51" s="8">
        <f>102+940</f>
        <v>1042</v>
      </c>
      <c r="AG51" s="5">
        <f t="shared" si="24"/>
        <v>3559</v>
      </c>
      <c r="AH51" s="5">
        <f t="shared" si="25"/>
        <v>0</v>
      </c>
      <c r="AI51" s="6">
        <f t="shared" si="26"/>
        <v>8.4012363023321157E-2</v>
      </c>
    </row>
    <row r="52" spans="1:35" x14ac:dyDescent="0.2">
      <c r="A52">
        <v>120375</v>
      </c>
      <c r="B52" t="s">
        <v>58</v>
      </c>
      <c r="C52" t="s">
        <v>69</v>
      </c>
      <c r="D52" t="s">
        <v>70</v>
      </c>
      <c r="E52" s="4">
        <v>4</v>
      </c>
      <c r="F52" s="5" t="s">
        <v>69</v>
      </c>
      <c r="G52" s="5"/>
      <c r="H52" s="5">
        <v>3897</v>
      </c>
      <c r="I52" s="5">
        <v>1308</v>
      </c>
      <c r="J52" s="8">
        <v>1679</v>
      </c>
      <c r="K52" s="5">
        <f>602+308</f>
        <v>910</v>
      </c>
      <c r="L52" s="5">
        <f t="shared" si="18"/>
        <v>3897</v>
      </c>
      <c r="M52" s="5">
        <f t="shared" si="19"/>
        <v>0</v>
      </c>
      <c r="N52" s="6">
        <f t="shared" si="20"/>
        <v>-9.5201437002822686E-2</v>
      </c>
      <c r="O52" s="4">
        <v>17</v>
      </c>
      <c r="P52" s="5"/>
      <c r="Q52" s="5">
        <v>7660</v>
      </c>
      <c r="R52" s="5">
        <v>3234</v>
      </c>
      <c r="S52" s="8">
        <v>2268</v>
      </c>
      <c r="T52" s="8">
        <v>528</v>
      </c>
      <c r="U52" s="8">
        <v>1630</v>
      </c>
      <c r="V52" s="5">
        <f t="shared" si="21"/>
        <v>7660</v>
      </c>
      <c r="W52" s="5">
        <f t="shared" si="22"/>
        <v>0</v>
      </c>
      <c r="X52" s="6">
        <f t="shared" si="23"/>
        <v>0.12610966057441253</v>
      </c>
      <c r="Y52" s="4">
        <v>18</v>
      </c>
      <c r="Z52" s="5"/>
      <c r="AA52" s="5"/>
      <c r="AB52" s="8">
        <v>15013</v>
      </c>
      <c r="AC52" s="8">
        <v>8583</v>
      </c>
      <c r="AD52" s="8">
        <v>4146</v>
      </c>
      <c r="AE52" s="8"/>
      <c r="AF52" s="8">
        <v>2284</v>
      </c>
      <c r="AG52" s="5">
        <f t="shared" si="24"/>
        <v>15013</v>
      </c>
      <c r="AH52" s="5">
        <f t="shared" si="25"/>
        <v>0</v>
      </c>
      <c r="AI52" s="6">
        <f t="shared" si="26"/>
        <v>0.29554386198627858</v>
      </c>
    </row>
    <row r="53" spans="1:35" x14ac:dyDescent="0.2">
      <c r="B53" t="s">
        <v>58</v>
      </c>
      <c r="C53" s="1" t="s">
        <v>71</v>
      </c>
      <c r="E53" s="4"/>
      <c r="F53" s="5"/>
      <c r="G53" s="5"/>
      <c r="H53" s="5"/>
      <c r="I53" s="5"/>
      <c r="J53" s="5"/>
      <c r="K53" s="5"/>
      <c r="L53" s="5"/>
      <c r="M53" s="5"/>
      <c r="N53" s="6"/>
      <c r="O53" s="4"/>
      <c r="P53" s="5"/>
      <c r="Q53" s="5"/>
      <c r="R53" s="5"/>
      <c r="S53" s="5"/>
      <c r="T53" s="5"/>
      <c r="U53" s="5"/>
      <c r="V53" s="5"/>
      <c r="W53" s="5"/>
      <c r="X53" s="6"/>
      <c r="Y53" s="4"/>
      <c r="Z53" s="5"/>
      <c r="AA53" s="5"/>
      <c r="AB53" s="5"/>
      <c r="AC53" s="5"/>
      <c r="AD53" s="5"/>
      <c r="AE53" s="5"/>
      <c r="AF53" s="5"/>
      <c r="AG53" s="5"/>
      <c r="AH53" s="5"/>
      <c r="AI53" s="6"/>
    </row>
    <row r="54" spans="1:35" x14ac:dyDescent="0.2">
      <c r="B54" t="s">
        <v>58</v>
      </c>
      <c r="C54" s="1" t="s">
        <v>72</v>
      </c>
      <c r="E54" s="4"/>
      <c r="F54" s="5"/>
      <c r="G54" s="5"/>
      <c r="H54" s="5"/>
      <c r="I54" s="5"/>
      <c r="J54" s="5"/>
      <c r="K54" s="5"/>
      <c r="L54" s="5"/>
      <c r="M54" s="5"/>
      <c r="N54" s="6"/>
      <c r="O54" s="4"/>
      <c r="P54" s="5"/>
      <c r="Q54" s="5"/>
      <c r="R54" s="5"/>
      <c r="S54" s="5"/>
      <c r="T54" s="5"/>
      <c r="U54" s="5"/>
      <c r="V54" s="5"/>
      <c r="W54" s="5"/>
      <c r="X54" s="6"/>
      <c r="Y54" s="4"/>
      <c r="Z54" s="5"/>
      <c r="AA54" s="5"/>
      <c r="AB54" s="5"/>
      <c r="AC54" s="5"/>
      <c r="AD54" s="5"/>
      <c r="AE54" s="5"/>
      <c r="AF54" s="5"/>
      <c r="AG54" s="5"/>
      <c r="AH54" s="5"/>
      <c r="AI54" s="6"/>
    </row>
    <row r="55" spans="1:35" x14ac:dyDescent="0.2">
      <c r="E55" s="4"/>
      <c r="F55" s="5"/>
      <c r="G55" s="5"/>
      <c r="H55" s="5"/>
      <c r="I55" s="5"/>
      <c r="J55" s="5"/>
      <c r="K55" s="5"/>
      <c r="L55" s="5"/>
      <c r="M55" s="5"/>
      <c r="N55" s="6"/>
      <c r="O55" s="4"/>
      <c r="P55" s="5"/>
      <c r="Q55" s="5"/>
      <c r="R55" s="5"/>
      <c r="S55" s="5"/>
      <c r="T55" s="5"/>
      <c r="U55" s="5"/>
      <c r="V55" s="5"/>
      <c r="W55" s="5"/>
      <c r="X55" s="6"/>
      <c r="Y55" s="4"/>
      <c r="Z55" s="5"/>
      <c r="AA55" s="5"/>
      <c r="AB55" s="5"/>
      <c r="AC55" s="5"/>
      <c r="AD55" s="5"/>
      <c r="AE55" s="5"/>
      <c r="AF55" s="5"/>
      <c r="AG55" s="5"/>
      <c r="AH55" s="5"/>
      <c r="AI55" s="6"/>
    </row>
    <row r="56" spans="1:35" x14ac:dyDescent="0.2">
      <c r="A56">
        <v>130195</v>
      </c>
      <c r="B56" t="s">
        <v>73</v>
      </c>
      <c r="C56" t="s">
        <v>74</v>
      </c>
      <c r="D56" t="s">
        <v>75</v>
      </c>
      <c r="E56" s="4">
        <v>4</v>
      </c>
      <c r="F56" s="5" t="s">
        <v>74</v>
      </c>
      <c r="G56" s="5"/>
      <c r="H56" s="5">
        <v>1763</v>
      </c>
      <c r="I56" s="5">
        <v>604</v>
      </c>
      <c r="J56" s="8">
        <v>1104</v>
      </c>
      <c r="K56" s="8">
        <v>55</v>
      </c>
      <c r="L56" s="5">
        <f t="shared" ref="L56:L63" si="27">I56+J56+K56</f>
        <v>1763</v>
      </c>
      <c r="M56" s="5">
        <f t="shared" ref="M56:M63" si="28">L56-H56</f>
        <v>0</v>
      </c>
      <c r="N56" s="6">
        <f t="shared" ref="N56:N62" si="29">(I56-J56)/H56</f>
        <v>-0.28360748723766305</v>
      </c>
      <c r="O56" s="4">
        <v>22</v>
      </c>
      <c r="P56" s="5"/>
      <c r="Q56" s="5">
        <v>2307</v>
      </c>
      <c r="R56" s="5">
        <v>1254</v>
      </c>
      <c r="S56" s="8">
        <v>942</v>
      </c>
      <c r="T56" s="8">
        <v>6</v>
      </c>
      <c r="U56" s="8">
        <v>105</v>
      </c>
      <c r="V56" s="5">
        <f t="shared" ref="V56:V62" si="30">R56+S56+T56+U56</f>
        <v>2307</v>
      </c>
      <c r="W56" s="5">
        <f t="shared" ref="W56:W63" si="31">V56-Q56</f>
        <v>0</v>
      </c>
      <c r="X56" s="6">
        <f t="shared" ref="X56:X62" si="32">(R56-S56)/Q56</f>
        <v>0.1352405721716515</v>
      </c>
      <c r="Y56" s="4">
        <v>22</v>
      </c>
      <c r="Z56" s="5"/>
      <c r="AA56" s="5"/>
      <c r="AB56" s="5">
        <v>3916</v>
      </c>
      <c r="AC56" s="5">
        <v>2149</v>
      </c>
      <c r="AD56" s="8">
        <v>1412</v>
      </c>
      <c r="AE56" s="8"/>
      <c r="AF56" s="8">
        <v>355</v>
      </c>
      <c r="AG56" s="5">
        <f t="shared" ref="AG56:AG62" si="33">AC56+AD56+AE56+AF56</f>
        <v>3916</v>
      </c>
      <c r="AH56" s="5">
        <f t="shared" ref="AH56:AH63" si="34">AG56-AB56</f>
        <v>0</v>
      </c>
      <c r="AI56" s="6">
        <f t="shared" ref="AI56:AI62" si="35">(AC56-AD56)/AB56</f>
        <v>0.18820224719101122</v>
      </c>
    </row>
    <row r="57" spans="1:35" x14ac:dyDescent="0.2">
      <c r="A57">
        <v>130285</v>
      </c>
      <c r="B57" t="s">
        <v>73</v>
      </c>
      <c r="C57" t="s">
        <v>76</v>
      </c>
      <c r="D57" t="s">
        <v>77</v>
      </c>
      <c r="E57" s="4">
        <v>4</v>
      </c>
      <c r="F57" s="5" t="s">
        <v>76</v>
      </c>
      <c r="G57" s="5"/>
      <c r="H57" s="5">
        <v>819</v>
      </c>
      <c r="I57" s="5">
        <v>271</v>
      </c>
      <c r="J57" s="8">
        <v>536</v>
      </c>
      <c r="K57" s="5">
        <f>11+1</f>
        <v>12</v>
      </c>
      <c r="L57" s="5">
        <f t="shared" si="27"/>
        <v>819</v>
      </c>
      <c r="M57" s="5">
        <f t="shared" si="28"/>
        <v>0</v>
      </c>
      <c r="N57" s="6">
        <f t="shared" si="29"/>
        <v>-0.32356532356532358</v>
      </c>
      <c r="O57" s="4">
        <v>22</v>
      </c>
      <c r="P57" s="5"/>
      <c r="Q57" s="5">
        <v>995</v>
      </c>
      <c r="R57" s="5">
        <v>417</v>
      </c>
      <c r="S57" s="8">
        <v>540</v>
      </c>
      <c r="T57" s="8">
        <v>0</v>
      </c>
      <c r="U57" s="8">
        <v>38</v>
      </c>
      <c r="V57" s="5">
        <f t="shared" si="30"/>
        <v>995</v>
      </c>
      <c r="W57" s="5">
        <f t="shared" si="31"/>
        <v>0</v>
      </c>
      <c r="X57" s="6">
        <f t="shared" si="32"/>
        <v>-0.12361809045226131</v>
      </c>
      <c r="Y57" s="4">
        <v>25</v>
      </c>
      <c r="Z57" s="5"/>
      <c r="AA57" s="5"/>
      <c r="AB57" s="5">
        <v>1147</v>
      </c>
      <c r="AC57" s="5">
        <v>519</v>
      </c>
      <c r="AD57" s="8">
        <v>565</v>
      </c>
      <c r="AE57" s="8"/>
      <c r="AF57" s="8">
        <f>31+32</f>
        <v>63</v>
      </c>
      <c r="AG57" s="5">
        <f t="shared" si="33"/>
        <v>1147</v>
      </c>
      <c r="AH57" s="5">
        <f t="shared" si="34"/>
        <v>0</v>
      </c>
      <c r="AI57" s="6">
        <f t="shared" si="35"/>
        <v>-4.0104620749782043E-2</v>
      </c>
    </row>
    <row r="58" spans="1:35" x14ac:dyDescent="0.2">
      <c r="A58">
        <v>130150</v>
      </c>
      <c r="B58" t="s">
        <v>73</v>
      </c>
      <c r="C58" t="s">
        <v>78</v>
      </c>
      <c r="D58" t="s">
        <v>79</v>
      </c>
      <c r="E58" s="4">
        <v>4</v>
      </c>
      <c r="F58" s="5" t="s">
        <v>569</v>
      </c>
      <c r="G58" s="5"/>
      <c r="H58" s="5">
        <v>84764</v>
      </c>
      <c r="I58" s="5">
        <v>20769</v>
      </c>
      <c r="J58" s="8">
        <v>61231</v>
      </c>
      <c r="K58" s="5">
        <f>2637+127</f>
        <v>2764</v>
      </c>
      <c r="L58" s="5">
        <f t="shared" si="27"/>
        <v>84764</v>
      </c>
      <c r="M58" s="5">
        <f t="shared" si="28"/>
        <v>0</v>
      </c>
      <c r="N58" s="6">
        <f t="shared" si="29"/>
        <v>-0.47734887452220282</v>
      </c>
      <c r="O58" s="4">
        <v>17</v>
      </c>
      <c r="P58" s="5"/>
      <c r="Q58" s="5">
        <v>94530</v>
      </c>
      <c r="R58" s="5">
        <v>36985</v>
      </c>
      <c r="S58" s="8">
        <v>55682</v>
      </c>
      <c r="T58" s="8">
        <v>37</v>
      </c>
      <c r="U58" s="8">
        <v>1826</v>
      </c>
      <c r="V58" s="5">
        <f t="shared" si="30"/>
        <v>94530</v>
      </c>
      <c r="W58" s="5">
        <f t="shared" si="31"/>
        <v>0</v>
      </c>
      <c r="X58" s="6">
        <f t="shared" si="32"/>
        <v>-0.19778906167354279</v>
      </c>
      <c r="Y58" s="4">
        <v>12</v>
      </c>
      <c r="Z58" s="5"/>
      <c r="AA58" s="5"/>
      <c r="AB58" s="5">
        <v>154135</v>
      </c>
      <c r="AC58" s="5">
        <v>66504</v>
      </c>
      <c r="AD58" s="8">
        <v>79449</v>
      </c>
      <c r="AE58" s="8"/>
      <c r="AF58" s="8">
        <v>8182</v>
      </c>
      <c r="AG58" s="5">
        <f t="shared" si="33"/>
        <v>154135</v>
      </c>
      <c r="AH58" s="5">
        <f t="shared" si="34"/>
        <v>0</v>
      </c>
      <c r="AI58" s="6">
        <f t="shared" si="35"/>
        <v>-8.3984818503260131E-2</v>
      </c>
    </row>
    <row r="59" spans="1:35" x14ac:dyDescent="0.2">
      <c r="A59">
        <v>132210</v>
      </c>
      <c r="B59" t="s">
        <v>73</v>
      </c>
      <c r="C59" t="s">
        <v>80</v>
      </c>
      <c r="D59" t="s">
        <v>81</v>
      </c>
      <c r="E59" s="4">
        <v>5</v>
      </c>
      <c r="F59" s="5" t="s">
        <v>567</v>
      </c>
      <c r="G59" s="5"/>
      <c r="H59" s="8">
        <v>465</v>
      </c>
      <c r="I59" s="8">
        <v>213</v>
      </c>
      <c r="J59" s="8">
        <v>242</v>
      </c>
      <c r="K59" s="8">
        <v>10</v>
      </c>
      <c r="L59" s="5">
        <f t="shared" si="27"/>
        <v>465</v>
      </c>
      <c r="M59" s="5">
        <f t="shared" si="28"/>
        <v>0</v>
      </c>
      <c r="N59" s="6">
        <f t="shared" si="29"/>
        <v>-6.236559139784946E-2</v>
      </c>
      <c r="O59" s="4">
        <v>22</v>
      </c>
      <c r="P59" s="5"/>
      <c r="Q59" s="8">
        <v>1144</v>
      </c>
      <c r="R59" s="8">
        <v>656</v>
      </c>
      <c r="S59" s="8">
        <v>433</v>
      </c>
      <c r="T59" s="8">
        <v>1</v>
      </c>
      <c r="U59" s="8">
        <v>54</v>
      </c>
      <c r="V59" s="5">
        <f t="shared" si="30"/>
        <v>1144</v>
      </c>
      <c r="W59" s="5">
        <f t="shared" si="31"/>
        <v>0</v>
      </c>
      <c r="X59" s="6">
        <f t="shared" si="32"/>
        <v>0.19493006993006992</v>
      </c>
      <c r="Y59" s="4">
        <v>25</v>
      </c>
      <c r="Z59" s="5"/>
      <c r="AA59" s="5"/>
      <c r="AB59" s="8">
        <v>1674</v>
      </c>
      <c r="AC59" s="8">
        <v>1056</v>
      </c>
      <c r="AD59" s="8">
        <v>535</v>
      </c>
      <c r="AE59" s="8"/>
      <c r="AF59" s="8">
        <f>33+50</f>
        <v>83</v>
      </c>
      <c r="AG59" s="5">
        <f t="shared" si="33"/>
        <v>1674</v>
      </c>
      <c r="AH59" s="5">
        <f t="shared" si="34"/>
        <v>0</v>
      </c>
      <c r="AI59" s="6">
        <f t="shared" si="35"/>
        <v>0.31123058542413379</v>
      </c>
    </row>
    <row r="60" spans="1:35" x14ac:dyDescent="0.2">
      <c r="A60">
        <v>131725</v>
      </c>
      <c r="B60" t="s">
        <v>73</v>
      </c>
      <c r="C60" t="s">
        <v>12</v>
      </c>
      <c r="D60" t="s">
        <v>82</v>
      </c>
      <c r="E60" s="4">
        <v>4</v>
      </c>
      <c r="F60" s="5" t="s">
        <v>568</v>
      </c>
      <c r="G60" s="5"/>
      <c r="H60" s="8">
        <v>17067</v>
      </c>
      <c r="I60" s="8">
        <v>3017</v>
      </c>
      <c r="J60" s="8">
        <v>13659</v>
      </c>
      <c r="K60" s="5">
        <f>375+16</f>
        <v>391</v>
      </c>
      <c r="L60" s="5">
        <f t="shared" si="27"/>
        <v>17067</v>
      </c>
      <c r="M60" s="5">
        <f t="shared" si="28"/>
        <v>0</v>
      </c>
      <c r="N60" s="6">
        <f t="shared" si="29"/>
        <v>-0.62354250893537233</v>
      </c>
      <c r="O60" s="4">
        <v>17</v>
      </c>
      <c r="P60" s="5"/>
      <c r="Q60" s="8">
        <v>21198</v>
      </c>
      <c r="R60" s="8">
        <v>7347</v>
      </c>
      <c r="S60" s="8">
        <v>13386</v>
      </c>
      <c r="T60" s="8">
        <v>17</v>
      </c>
      <c r="U60" s="8">
        <v>448</v>
      </c>
      <c r="V60" s="5">
        <f t="shared" si="30"/>
        <v>21198</v>
      </c>
      <c r="W60" s="5">
        <f t="shared" si="31"/>
        <v>0</v>
      </c>
      <c r="X60" s="6">
        <f t="shared" si="32"/>
        <v>-0.28488536654401359</v>
      </c>
      <c r="Y60" s="4">
        <v>12</v>
      </c>
      <c r="Z60" s="5"/>
      <c r="AA60" s="5"/>
      <c r="AB60" s="8">
        <v>22550</v>
      </c>
      <c r="AC60" s="8">
        <v>8412</v>
      </c>
      <c r="AD60" s="8">
        <v>12877</v>
      </c>
      <c r="AE60" s="8"/>
      <c r="AF60" s="8">
        <v>1261</v>
      </c>
      <c r="AG60" s="5">
        <f t="shared" si="33"/>
        <v>22550</v>
      </c>
      <c r="AH60" s="5">
        <f t="shared" si="34"/>
        <v>0</v>
      </c>
      <c r="AI60" s="6">
        <f t="shared" si="35"/>
        <v>-0.19800443458980044</v>
      </c>
    </row>
    <row r="61" spans="1:35" x14ac:dyDescent="0.2">
      <c r="A61">
        <v>130750</v>
      </c>
      <c r="B61" t="s">
        <v>73</v>
      </c>
      <c r="C61" t="s">
        <v>83</v>
      </c>
      <c r="D61" t="s">
        <v>84</v>
      </c>
      <c r="E61" s="4">
        <v>4</v>
      </c>
      <c r="F61" s="5" t="s">
        <v>83</v>
      </c>
      <c r="G61" s="5"/>
      <c r="H61" s="8">
        <v>991</v>
      </c>
      <c r="I61" s="8">
        <v>448</v>
      </c>
      <c r="J61" s="8">
        <v>521</v>
      </c>
      <c r="K61" s="5">
        <f>21+1</f>
        <v>22</v>
      </c>
      <c r="L61" s="5">
        <f t="shared" si="27"/>
        <v>991</v>
      </c>
      <c r="M61" s="5">
        <f t="shared" si="28"/>
        <v>0</v>
      </c>
      <c r="N61" s="6">
        <f t="shared" si="29"/>
        <v>-7.3662966700302729E-2</v>
      </c>
      <c r="O61" s="4">
        <v>22</v>
      </c>
      <c r="P61" s="5"/>
      <c r="Q61" s="8">
        <v>1171</v>
      </c>
      <c r="R61" s="8">
        <v>613</v>
      </c>
      <c r="S61" s="8">
        <v>501</v>
      </c>
      <c r="T61" s="8">
        <v>1</v>
      </c>
      <c r="U61" s="8">
        <v>56</v>
      </c>
      <c r="V61" s="5">
        <f t="shared" si="30"/>
        <v>1171</v>
      </c>
      <c r="W61" s="5">
        <f t="shared" si="31"/>
        <v>0</v>
      </c>
      <c r="X61" s="6">
        <f t="shared" si="32"/>
        <v>9.5644748078565323E-2</v>
      </c>
      <c r="Y61" s="4">
        <v>25</v>
      </c>
      <c r="Z61" s="5"/>
      <c r="AA61" s="5"/>
      <c r="AB61" s="8">
        <v>1289</v>
      </c>
      <c r="AC61" s="8">
        <v>717</v>
      </c>
      <c r="AD61" s="8">
        <v>490</v>
      </c>
      <c r="AE61" s="8"/>
      <c r="AF61" s="8">
        <f>3+79</f>
        <v>82</v>
      </c>
      <c r="AG61" s="5">
        <f t="shared" si="33"/>
        <v>1289</v>
      </c>
      <c r="AH61" s="5">
        <f t="shared" si="34"/>
        <v>0</v>
      </c>
      <c r="AI61" s="6">
        <f t="shared" si="35"/>
        <v>0.17610550814584949</v>
      </c>
    </row>
    <row r="62" spans="1:35" x14ac:dyDescent="0.2">
      <c r="A62">
        <v>130165</v>
      </c>
      <c r="B62" t="s">
        <v>73</v>
      </c>
      <c r="C62" t="s">
        <v>85</v>
      </c>
      <c r="D62" t="s">
        <v>86</v>
      </c>
      <c r="E62" s="4">
        <v>4</v>
      </c>
      <c r="F62" s="5" t="s">
        <v>570</v>
      </c>
      <c r="G62" s="5"/>
      <c r="H62" s="5">
        <v>18375</v>
      </c>
      <c r="I62" s="5">
        <v>3768</v>
      </c>
      <c r="J62" s="8">
        <v>13742</v>
      </c>
      <c r="K62" s="5">
        <f>841+24</f>
        <v>865</v>
      </c>
      <c r="L62" s="5">
        <f t="shared" si="27"/>
        <v>18375</v>
      </c>
      <c r="M62" s="5">
        <f t="shared" si="28"/>
        <v>0</v>
      </c>
      <c r="N62" s="6">
        <f t="shared" si="29"/>
        <v>-0.54280272108843541</v>
      </c>
      <c r="O62" s="4">
        <v>17</v>
      </c>
      <c r="P62" s="5"/>
      <c r="Q62" s="5">
        <v>20704</v>
      </c>
      <c r="R62" s="5">
        <v>7508</v>
      </c>
      <c r="S62" s="8">
        <v>12457</v>
      </c>
      <c r="T62" s="8">
        <v>8</v>
      </c>
      <c r="U62" s="8">
        <v>731</v>
      </c>
      <c r="V62" s="5">
        <f t="shared" si="30"/>
        <v>20704</v>
      </c>
      <c r="W62" s="5">
        <f t="shared" si="31"/>
        <v>0</v>
      </c>
      <c r="X62" s="6">
        <f t="shared" si="32"/>
        <v>-0.23903593508500773</v>
      </c>
      <c r="Y62" s="4">
        <v>12</v>
      </c>
      <c r="Z62" s="5"/>
      <c r="AA62" s="5"/>
      <c r="AB62" s="5">
        <v>22054</v>
      </c>
      <c r="AC62" s="5">
        <v>9312</v>
      </c>
      <c r="AD62" s="8">
        <v>11231</v>
      </c>
      <c r="AE62" s="8"/>
      <c r="AF62" s="8">
        <v>1511</v>
      </c>
      <c r="AG62" s="5">
        <f t="shared" si="33"/>
        <v>22054</v>
      </c>
      <c r="AH62" s="5">
        <f t="shared" si="34"/>
        <v>0</v>
      </c>
      <c r="AI62" s="6">
        <f t="shared" si="35"/>
        <v>-8.7013693661013872E-2</v>
      </c>
    </row>
    <row r="63" spans="1:35" x14ac:dyDescent="0.2">
      <c r="B63" t="s">
        <v>73</v>
      </c>
      <c r="C63" s="1" t="s">
        <v>87</v>
      </c>
      <c r="E63" s="4"/>
      <c r="F63" s="5"/>
      <c r="G63" s="5"/>
      <c r="H63" s="5"/>
      <c r="I63" s="5"/>
      <c r="J63" s="5"/>
      <c r="K63" s="5"/>
      <c r="L63" s="5">
        <f t="shared" si="27"/>
        <v>0</v>
      </c>
      <c r="M63" s="5">
        <f t="shared" si="28"/>
        <v>0</v>
      </c>
      <c r="N63" s="6"/>
      <c r="O63" s="4"/>
      <c r="P63" s="5"/>
      <c r="Q63" s="5"/>
      <c r="R63" s="5"/>
      <c r="S63" s="5"/>
      <c r="T63" s="5"/>
      <c r="U63" s="5"/>
      <c r="V63" s="5">
        <f>R63+S63+T63</f>
        <v>0</v>
      </c>
      <c r="W63" s="5">
        <f t="shared" si="31"/>
        <v>0</v>
      </c>
      <c r="X63" s="6"/>
      <c r="Y63" s="4"/>
      <c r="Z63" s="5"/>
      <c r="AA63" s="5"/>
      <c r="AB63" s="5"/>
      <c r="AC63" s="5"/>
      <c r="AD63" s="5"/>
      <c r="AE63" s="5"/>
      <c r="AF63" s="5"/>
      <c r="AG63" s="5">
        <f>AC63+AD63+AE63</f>
        <v>0</v>
      </c>
      <c r="AH63" s="5">
        <f t="shared" si="34"/>
        <v>0</v>
      </c>
      <c r="AI63" s="6"/>
    </row>
    <row r="64" spans="1:35" x14ac:dyDescent="0.2">
      <c r="E64" s="4"/>
      <c r="F64" s="5"/>
      <c r="G64" s="5"/>
      <c r="H64" s="5"/>
      <c r="I64" s="5"/>
      <c r="J64" s="5"/>
      <c r="K64" s="5"/>
      <c r="L64" s="5"/>
      <c r="M64" s="5"/>
      <c r="N64" s="6"/>
      <c r="O64" s="4"/>
      <c r="P64" s="5"/>
      <c r="Q64" s="5"/>
      <c r="R64" s="5"/>
      <c r="S64" s="5"/>
      <c r="T64" s="5"/>
      <c r="U64" s="5"/>
      <c r="V64" s="5"/>
      <c r="W64" s="5"/>
      <c r="X64" s="6"/>
      <c r="Y64" s="4"/>
      <c r="Z64" s="5"/>
      <c r="AA64" s="5"/>
      <c r="AB64" s="5"/>
      <c r="AC64" s="5"/>
      <c r="AD64" s="5"/>
      <c r="AE64" s="5"/>
      <c r="AF64" s="5"/>
      <c r="AG64" s="5"/>
      <c r="AH64" s="5"/>
      <c r="AI64" s="6"/>
    </row>
    <row r="65" spans="1:35" x14ac:dyDescent="0.2">
      <c r="A65">
        <v>150110</v>
      </c>
      <c r="B65" s="2" t="s">
        <v>88</v>
      </c>
      <c r="C65" s="2" t="s">
        <v>89</v>
      </c>
      <c r="E65" s="4"/>
      <c r="F65" s="5"/>
      <c r="G65" s="5"/>
      <c r="H65" s="5"/>
      <c r="I65" s="5"/>
      <c r="J65" s="5"/>
      <c r="K65" s="5"/>
      <c r="L65" s="5">
        <f>I65+J65+K65</f>
        <v>0</v>
      </c>
      <c r="M65" s="5">
        <f>L65-H65</f>
        <v>0</v>
      </c>
      <c r="N65" s="6"/>
      <c r="O65" s="4"/>
      <c r="P65" s="5"/>
      <c r="Q65" s="5"/>
      <c r="R65" s="5"/>
      <c r="S65" s="5"/>
      <c r="T65" s="5"/>
      <c r="U65" s="5"/>
      <c r="V65" s="5">
        <f>R65+S65+T65</f>
        <v>0</v>
      </c>
      <c r="W65" s="5">
        <f>V65-Q65</f>
        <v>0</v>
      </c>
      <c r="X65" s="6"/>
      <c r="Y65" s="4">
        <v>12</v>
      </c>
      <c r="Z65" s="5"/>
      <c r="AA65" s="5"/>
      <c r="AB65" s="8">
        <v>80758</v>
      </c>
      <c r="AC65" s="8">
        <v>29562</v>
      </c>
      <c r="AD65" s="8">
        <v>47113</v>
      </c>
      <c r="AE65" s="5"/>
      <c r="AF65" s="8">
        <v>4083</v>
      </c>
      <c r="AG65" s="5">
        <f>AC65+AD65+AE65+AF65</f>
        <v>80758</v>
      </c>
      <c r="AH65" s="5">
        <f>AG65-AB65</f>
        <v>0</v>
      </c>
      <c r="AI65" s="6">
        <f>(AC65-AD65)/AB65</f>
        <v>-0.21732831422273954</v>
      </c>
    </row>
    <row r="66" spans="1:35" x14ac:dyDescent="0.2">
      <c r="E66" s="4"/>
      <c r="F66" s="5"/>
      <c r="G66" s="5"/>
      <c r="H66" s="5"/>
      <c r="I66" s="5"/>
      <c r="J66" s="5"/>
      <c r="K66" s="5"/>
      <c r="L66" s="5"/>
      <c r="M66" s="5"/>
      <c r="N66" s="6"/>
      <c r="O66" s="4"/>
      <c r="P66" s="5"/>
      <c r="Q66" s="5"/>
      <c r="R66" s="5"/>
      <c r="S66" s="5"/>
      <c r="T66" s="5"/>
      <c r="U66" s="5"/>
      <c r="V66" s="5"/>
      <c r="W66" s="5"/>
      <c r="X66" s="6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6"/>
    </row>
    <row r="67" spans="1:35" x14ac:dyDescent="0.2">
      <c r="B67" t="s">
        <v>90</v>
      </c>
      <c r="C67" s="1" t="s">
        <v>257</v>
      </c>
      <c r="E67" s="4"/>
      <c r="F67" s="5"/>
      <c r="G67" s="5"/>
      <c r="H67" s="5"/>
      <c r="I67" s="5"/>
      <c r="J67" s="5"/>
      <c r="K67" s="5"/>
      <c r="L67" s="5"/>
      <c r="M67" s="5"/>
      <c r="N67" s="6"/>
      <c r="O67" s="4"/>
      <c r="P67" s="5"/>
      <c r="Q67" s="5"/>
      <c r="R67" s="5"/>
      <c r="S67" s="5"/>
      <c r="T67" s="5"/>
      <c r="U67" s="5"/>
      <c r="V67" s="5"/>
      <c r="W67" s="5"/>
      <c r="X67" s="6"/>
      <c r="Y67" s="4"/>
      <c r="Z67" s="5"/>
      <c r="AA67" s="5"/>
      <c r="AB67" s="5"/>
      <c r="AC67" s="5"/>
      <c r="AD67" s="5"/>
      <c r="AE67" s="5"/>
      <c r="AF67" s="5"/>
      <c r="AG67" s="5"/>
      <c r="AH67" s="5"/>
      <c r="AI67" s="6"/>
    </row>
    <row r="68" spans="1:35" x14ac:dyDescent="0.2">
      <c r="A68">
        <v>171051</v>
      </c>
      <c r="B68" t="s">
        <v>90</v>
      </c>
      <c r="C68" t="s">
        <v>91</v>
      </c>
      <c r="D68" t="s">
        <v>92</v>
      </c>
      <c r="E68" s="4">
        <v>4</v>
      </c>
      <c r="F68" s="5" t="s">
        <v>562</v>
      </c>
      <c r="G68" s="5"/>
      <c r="H68" s="5">
        <v>989503</v>
      </c>
      <c r="I68" s="5">
        <v>230975</v>
      </c>
      <c r="J68" s="8">
        <v>718769</v>
      </c>
      <c r="K68" s="5">
        <f>37651+2108</f>
        <v>39759</v>
      </c>
      <c r="L68" s="5">
        <f>I68+J68+K68</f>
        <v>989503</v>
      </c>
      <c r="M68" s="5">
        <f>L68-H68</f>
        <v>0</v>
      </c>
      <c r="N68" s="6">
        <f>(I68-J68)/H68</f>
        <v>-0.49296869236374219</v>
      </c>
      <c r="O68" s="4">
        <v>17</v>
      </c>
      <c r="P68" s="5"/>
      <c r="Q68" s="5">
        <v>1106119</v>
      </c>
      <c r="R68" s="5">
        <v>329993</v>
      </c>
      <c r="S68" s="8">
        <v>757265</v>
      </c>
      <c r="T68" s="8">
        <v>1480</v>
      </c>
      <c r="U68" s="8">
        <v>17381</v>
      </c>
      <c r="V68" s="5">
        <f>R68+S68+T68+U68</f>
        <v>1106119</v>
      </c>
      <c r="W68" s="5">
        <f>V68-Q68</f>
        <v>0</v>
      </c>
      <c r="X68" s="6">
        <f>(R68-S68)/Q68</f>
        <v>-0.38628031884453662</v>
      </c>
      <c r="Y68" s="4">
        <v>12</v>
      </c>
      <c r="Z68" s="5"/>
      <c r="AA68" s="5"/>
      <c r="AB68" s="5">
        <v>1214958</v>
      </c>
      <c r="AC68" s="5">
        <v>396727</v>
      </c>
      <c r="AD68" s="8">
        <v>760682</v>
      </c>
      <c r="AE68" s="8"/>
      <c r="AF68" s="8">
        <v>57549</v>
      </c>
      <c r="AG68" s="5">
        <f>AC68+AD68+AE68+AF68</f>
        <v>1214958</v>
      </c>
      <c r="AH68" s="5">
        <f>AG68-AB68</f>
        <v>0</v>
      </c>
      <c r="AI68" s="6">
        <f>(AC68-AD68)/AB68</f>
        <v>-0.29956179555178036</v>
      </c>
    </row>
    <row r="69" spans="1:35" x14ac:dyDescent="0.2">
      <c r="A69">
        <v>174295</v>
      </c>
      <c r="B69" t="s">
        <v>90</v>
      </c>
      <c r="C69" t="s">
        <v>93</v>
      </c>
      <c r="D69" t="s">
        <v>92</v>
      </c>
      <c r="E69" s="4">
        <v>4</v>
      </c>
      <c r="F69" s="5" t="s">
        <v>563</v>
      </c>
      <c r="G69" s="5"/>
      <c r="H69" s="5">
        <v>19719</v>
      </c>
      <c r="I69" s="5">
        <v>8384</v>
      </c>
      <c r="J69" s="8">
        <v>10720</v>
      </c>
      <c r="K69" s="5">
        <f>551+64</f>
        <v>615</v>
      </c>
      <c r="L69" s="5">
        <f>I69+J69+K69</f>
        <v>19719</v>
      </c>
      <c r="M69" s="5">
        <f>L69-H69</f>
        <v>0</v>
      </c>
      <c r="N69" s="6">
        <f>(I69-J69)/H69</f>
        <v>-0.11846442517369035</v>
      </c>
      <c r="O69" s="4">
        <v>17</v>
      </c>
      <c r="P69" s="5"/>
      <c r="Q69" s="5">
        <v>20374</v>
      </c>
      <c r="R69" s="5">
        <v>10185</v>
      </c>
      <c r="S69" s="8">
        <v>9868</v>
      </c>
      <c r="T69" s="8">
        <v>67</v>
      </c>
      <c r="U69" s="8">
        <v>254</v>
      </c>
      <c r="V69" s="5">
        <f>R69+S69+T69+U69</f>
        <v>20374</v>
      </c>
      <c r="W69" s="5">
        <f>V69-Q69</f>
        <v>0</v>
      </c>
      <c r="X69" s="6">
        <f>(R69-S69)/Q69</f>
        <v>1.5559045842740747E-2</v>
      </c>
      <c r="Y69" s="4">
        <v>12</v>
      </c>
      <c r="Z69" s="5"/>
      <c r="AA69" s="5"/>
      <c r="AB69" s="5">
        <v>21555</v>
      </c>
      <c r="AC69" s="5">
        <v>10585</v>
      </c>
      <c r="AD69" s="8">
        <v>10312</v>
      </c>
      <c r="AE69" s="8"/>
      <c r="AF69" s="8">
        <v>658</v>
      </c>
      <c r="AG69" s="5">
        <f>AC69+AD69+AE69+AF69</f>
        <v>21555</v>
      </c>
      <c r="AH69" s="5">
        <f>AG69-AB69</f>
        <v>0</v>
      </c>
      <c r="AI69" s="6">
        <f>(AC69-AD69)/AB69</f>
        <v>1.2665274878218511E-2</v>
      </c>
    </row>
    <row r="70" spans="1:35" x14ac:dyDescent="0.2">
      <c r="E70" s="4"/>
      <c r="F70" s="5"/>
      <c r="G70" s="5"/>
      <c r="H70" s="5"/>
      <c r="I70" s="5"/>
      <c r="J70" s="5"/>
      <c r="K70" s="5"/>
      <c r="L70" s="5"/>
      <c r="M70" s="5"/>
      <c r="N70" s="6"/>
      <c r="O70" s="4"/>
      <c r="P70" s="5"/>
      <c r="Q70" s="5"/>
      <c r="R70" s="5"/>
      <c r="S70" s="5"/>
      <c r="T70" s="5"/>
      <c r="U70" s="5"/>
      <c r="V70" s="5"/>
      <c r="W70" s="5"/>
      <c r="X70" s="6"/>
      <c r="Y70" s="4"/>
      <c r="Z70" s="5"/>
      <c r="AA70" s="5"/>
      <c r="AB70" s="5"/>
      <c r="AC70" s="5"/>
      <c r="AD70" s="5"/>
      <c r="AE70" s="5"/>
      <c r="AF70" s="5"/>
      <c r="AG70" s="5"/>
      <c r="AH70" s="5"/>
      <c r="AI70" s="6"/>
    </row>
    <row r="71" spans="1:35" x14ac:dyDescent="0.2">
      <c r="A71">
        <v>180905</v>
      </c>
      <c r="B71" t="s">
        <v>94</v>
      </c>
      <c r="C71" t="s">
        <v>95</v>
      </c>
      <c r="D71" t="s">
        <v>96</v>
      </c>
      <c r="E71" s="4">
        <v>4</v>
      </c>
      <c r="F71" s="5" t="s">
        <v>561</v>
      </c>
      <c r="G71" s="5"/>
      <c r="H71" s="5">
        <v>30520</v>
      </c>
      <c r="I71" s="5">
        <v>10615</v>
      </c>
      <c r="J71" s="8">
        <v>19390</v>
      </c>
      <c r="K71" s="5">
        <f>437+78</f>
        <v>515</v>
      </c>
      <c r="L71" s="5">
        <f>I71+J71+K71</f>
        <v>30520</v>
      </c>
      <c r="M71" s="5">
        <f t="shared" ref="M71:M78" si="36">L71-H71</f>
        <v>0</v>
      </c>
      <c r="N71" s="6">
        <f>(I71-J71)/H71</f>
        <v>-0.28751638269986896</v>
      </c>
      <c r="O71" s="4">
        <v>17</v>
      </c>
      <c r="P71" s="5"/>
      <c r="Q71" s="5">
        <v>38283</v>
      </c>
      <c r="R71" s="5">
        <v>19696</v>
      </c>
      <c r="S71" s="8">
        <v>17627</v>
      </c>
      <c r="T71" s="8">
        <v>20</v>
      </c>
      <c r="U71" s="8">
        <v>940</v>
      </c>
      <c r="V71" s="5">
        <f>R71+S71+T71+U71</f>
        <v>38283</v>
      </c>
      <c r="W71" s="5">
        <f t="shared" ref="W71:W78" si="37">V71-Q71</f>
        <v>0</v>
      </c>
      <c r="X71" s="6">
        <f>(R71-S71)/Q71</f>
        <v>5.4044876315858213E-2</v>
      </c>
      <c r="Y71" s="4">
        <v>12</v>
      </c>
      <c r="Z71" s="5"/>
      <c r="AA71" s="5"/>
      <c r="AB71" s="5">
        <v>52289</v>
      </c>
      <c r="AC71" s="5">
        <v>28626</v>
      </c>
      <c r="AD71" s="8">
        <v>21649</v>
      </c>
      <c r="AE71" s="8"/>
      <c r="AF71" s="8">
        <v>2014</v>
      </c>
      <c r="AG71" s="5">
        <f>AC71+AD71+AE71+AF71</f>
        <v>52289</v>
      </c>
      <c r="AH71" s="5">
        <f t="shared" ref="AH71:AH78" si="38">AG71-AB71</f>
        <v>0</v>
      </c>
      <c r="AI71" s="6">
        <f>(AC71-AD71)/AB71</f>
        <v>0.13343150567040868</v>
      </c>
    </row>
    <row r="72" spans="1:35" x14ac:dyDescent="0.2">
      <c r="B72" t="s">
        <v>94</v>
      </c>
      <c r="C72" t="s">
        <v>97</v>
      </c>
      <c r="D72" t="s">
        <v>97</v>
      </c>
      <c r="E72" s="4">
        <v>5</v>
      </c>
      <c r="F72" s="5" t="s">
        <v>560</v>
      </c>
      <c r="G72" s="5"/>
      <c r="H72" s="8">
        <v>594</v>
      </c>
      <c r="I72" s="8">
        <v>327</v>
      </c>
      <c r="J72" s="8">
        <v>249</v>
      </c>
      <c r="K72" s="8">
        <v>18</v>
      </c>
      <c r="L72" s="5">
        <f>I72+J72+K72</f>
        <v>594</v>
      </c>
      <c r="M72" s="5">
        <f t="shared" si="36"/>
        <v>0</v>
      </c>
      <c r="N72" s="6">
        <f>(I72-J72)/H72</f>
        <v>0.13131313131313133</v>
      </c>
      <c r="O72" s="4">
        <v>25</v>
      </c>
      <c r="P72" s="5"/>
      <c r="Q72" s="8">
        <v>671</v>
      </c>
      <c r="R72" s="8">
        <v>469</v>
      </c>
      <c r="S72" s="8">
        <v>179</v>
      </c>
      <c r="T72" s="8">
        <v>9</v>
      </c>
      <c r="U72" s="8">
        <v>14</v>
      </c>
      <c r="V72" s="5">
        <f>R72+S72+T72+U72</f>
        <v>671</v>
      </c>
      <c r="W72" s="5">
        <f t="shared" si="37"/>
        <v>0</v>
      </c>
      <c r="X72" s="6">
        <f>(R72-S72)/Q72</f>
        <v>0.43219076005961254</v>
      </c>
      <c r="Y72" s="4">
        <v>28</v>
      </c>
      <c r="Z72" s="5"/>
      <c r="AA72" s="5"/>
      <c r="AB72" s="8">
        <v>6723</v>
      </c>
      <c r="AC72" s="8">
        <v>3634</v>
      </c>
      <c r="AD72" s="8">
        <v>1082</v>
      </c>
      <c r="AE72" s="8"/>
      <c r="AF72" s="8">
        <v>2007</v>
      </c>
      <c r="AG72" s="5">
        <f>AC72+AD72+AE72+AF72</f>
        <v>6723</v>
      </c>
      <c r="AH72" s="5">
        <f t="shared" si="38"/>
        <v>0</v>
      </c>
      <c r="AI72" s="6">
        <f>(AC72-AD72)/AB72</f>
        <v>0.37959244384947194</v>
      </c>
    </row>
    <row r="73" spans="1:35" x14ac:dyDescent="0.2">
      <c r="A73">
        <v>181285</v>
      </c>
      <c r="B73" t="s">
        <v>94</v>
      </c>
      <c r="C73" t="s">
        <v>98</v>
      </c>
      <c r="D73" t="s">
        <v>99</v>
      </c>
      <c r="E73" s="4">
        <v>4</v>
      </c>
      <c r="F73" s="5" t="s">
        <v>559</v>
      </c>
      <c r="G73" s="5"/>
      <c r="H73" s="8">
        <v>8342</v>
      </c>
      <c r="I73" s="8">
        <v>3614</v>
      </c>
      <c r="J73" s="8">
        <v>4518</v>
      </c>
      <c r="K73" s="5">
        <f>194+16</f>
        <v>210</v>
      </c>
      <c r="L73" s="5">
        <f>I73+J73+K73</f>
        <v>8342</v>
      </c>
      <c r="M73" s="5">
        <f t="shared" si="36"/>
        <v>0</v>
      </c>
      <c r="N73" s="6">
        <f>(I73-J73)/H73</f>
        <v>-0.10836729801006953</v>
      </c>
      <c r="O73" s="4">
        <v>17</v>
      </c>
      <c r="P73" s="5"/>
      <c r="Q73" s="8">
        <v>11222</v>
      </c>
      <c r="R73" s="8">
        <v>6238</v>
      </c>
      <c r="S73" s="8">
        <v>4739</v>
      </c>
      <c r="T73" s="8">
        <v>2</v>
      </c>
      <c r="U73" s="8">
        <v>243</v>
      </c>
      <c r="V73" s="5">
        <f>R73+S73+T73+U73</f>
        <v>11222</v>
      </c>
      <c r="W73" s="5">
        <f t="shared" si="37"/>
        <v>0</v>
      </c>
      <c r="X73" s="6">
        <f>(R73-S73)/Q73</f>
        <v>0.13357690251292104</v>
      </c>
      <c r="Y73" s="4">
        <v>18</v>
      </c>
      <c r="Z73" s="5"/>
      <c r="AA73" s="5"/>
      <c r="AB73" s="8">
        <v>13937</v>
      </c>
      <c r="AC73" s="8">
        <v>8583</v>
      </c>
      <c r="AD73" s="8">
        <v>4587</v>
      </c>
      <c r="AE73" s="8"/>
      <c r="AF73" s="8">
        <v>767</v>
      </c>
      <c r="AG73" s="5">
        <f>AC73+AD73+AE73+AF73</f>
        <v>13937</v>
      </c>
      <c r="AH73" s="5">
        <f t="shared" si="38"/>
        <v>0</v>
      </c>
      <c r="AI73" s="6">
        <f>(AC73-AD73)/AB73</f>
        <v>0.28671880605582262</v>
      </c>
    </row>
    <row r="74" spans="1:35" x14ac:dyDescent="0.2">
      <c r="E74" s="4"/>
      <c r="F74" s="5"/>
      <c r="G74" s="5"/>
      <c r="H74" s="5"/>
      <c r="I74" s="5"/>
      <c r="J74" s="5"/>
      <c r="K74" s="5"/>
      <c r="L74" s="5"/>
      <c r="M74" s="5">
        <f t="shared" si="36"/>
        <v>0</v>
      </c>
      <c r="N74" s="6"/>
      <c r="O74" s="4"/>
      <c r="P74" s="5"/>
      <c r="Q74" s="5"/>
      <c r="R74" s="5"/>
      <c r="S74" s="5"/>
      <c r="T74" s="5"/>
      <c r="U74" s="5"/>
      <c r="V74" s="5"/>
      <c r="W74" s="5">
        <f t="shared" si="37"/>
        <v>0</v>
      </c>
      <c r="X74" s="6"/>
      <c r="Y74" s="4"/>
      <c r="Z74" s="5"/>
      <c r="AA74" s="5"/>
      <c r="AB74" s="5"/>
      <c r="AC74" s="5"/>
      <c r="AD74" s="5"/>
      <c r="AE74" s="5"/>
      <c r="AF74" s="5"/>
      <c r="AG74" s="5"/>
      <c r="AH74" s="5">
        <f t="shared" si="38"/>
        <v>0</v>
      </c>
      <c r="AI74" s="6"/>
    </row>
    <row r="75" spans="1:35" x14ac:dyDescent="0.2">
      <c r="B75" t="s">
        <v>100</v>
      </c>
      <c r="C75" t="s">
        <v>21</v>
      </c>
      <c r="E75" s="4"/>
      <c r="F75" s="5"/>
      <c r="G75" s="5"/>
      <c r="H75" s="5"/>
      <c r="I75" s="5"/>
      <c r="J75" s="5"/>
      <c r="K75" s="5"/>
      <c r="L75" s="5">
        <f>I75+J75+K75</f>
        <v>0</v>
      </c>
      <c r="M75" s="5">
        <f t="shared" si="36"/>
        <v>0</v>
      </c>
      <c r="N75" s="6"/>
      <c r="O75" s="4"/>
      <c r="P75" s="5"/>
      <c r="Q75" s="5"/>
      <c r="R75" s="5"/>
      <c r="S75" s="5"/>
      <c r="T75" s="5"/>
      <c r="U75" s="5"/>
      <c r="V75" s="5">
        <f>R75+S75+T75</f>
        <v>0</v>
      </c>
      <c r="W75" s="5">
        <f t="shared" si="37"/>
        <v>0</v>
      </c>
      <c r="X75" s="6"/>
      <c r="Y75" s="4"/>
      <c r="Z75" s="5"/>
      <c r="AA75" s="5"/>
      <c r="AB75" s="5"/>
      <c r="AC75" s="5"/>
      <c r="AD75" s="5"/>
      <c r="AE75" s="5"/>
      <c r="AF75" s="5"/>
      <c r="AG75" s="5">
        <f>AC75+AD75+AE75</f>
        <v>0</v>
      </c>
      <c r="AH75" s="5">
        <f t="shared" si="38"/>
        <v>0</v>
      </c>
      <c r="AI75" s="6"/>
    </row>
    <row r="76" spans="1:35" x14ac:dyDescent="0.2">
      <c r="E76" s="4"/>
      <c r="F76" s="5"/>
      <c r="G76" s="5"/>
      <c r="H76" s="5"/>
      <c r="I76" s="5"/>
      <c r="J76" s="5"/>
      <c r="K76" s="5"/>
      <c r="L76" s="5"/>
      <c r="M76" s="5">
        <f t="shared" si="36"/>
        <v>0</v>
      </c>
      <c r="N76" s="6"/>
      <c r="O76" s="4"/>
      <c r="P76" s="5"/>
      <c r="Q76" s="5"/>
      <c r="R76" s="5"/>
      <c r="S76" s="5"/>
      <c r="T76" s="5"/>
      <c r="U76" s="5"/>
      <c r="V76" s="5"/>
      <c r="W76" s="5">
        <f t="shared" si="37"/>
        <v>0</v>
      </c>
      <c r="X76" s="6"/>
      <c r="Y76" s="4"/>
      <c r="Z76" s="5"/>
      <c r="AA76" s="5"/>
      <c r="AB76" s="5"/>
      <c r="AC76" s="5"/>
      <c r="AD76" s="5"/>
      <c r="AE76" s="5"/>
      <c r="AF76" s="5"/>
      <c r="AG76" s="5"/>
      <c r="AH76" s="5">
        <f t="shared" si="38"/>
        <v>0</v>
      </c>
      <c r="AI76" s="6"/>
    </row>
    <row r="77" spans="1:35" x14ac:dyDescent="0.2">
      <c r="A77">
        <v>211160</v>
      </c>
      <c r="B77" t="s">
        <v>101</v>
      </c>
      <c r="C77" t="s">
        <v>102</v>
      </c>
      <c r="D77" t="s">
        <v>103</v>
      </c>
      <c r="E77" s="4">
        <v>4</v>
      </c>
      <c r="F77" s="5" t="s">
        <v>102</v>
      </c>
      <c r="G77" s="5"/>
      <c r="H77" s="5">
        <v>14562</v>
      </c>
      <c r="I77" s="5">
        <v>4035</v>
      </c>
      <c r="J77" s="8">
        <v>9814</v>
      </c>
      <c r="K77" s="5">
        <f>673+40</f>
        <v>713</v>
      </c>
      <c r="L77" s="5">
        <f>I77+J77+K77</f>
        <v>14562</v>
      </c>
      <c r="M77" s="5">
        <f t="shared" si="36"/>
        <v>0</v>
      </c>
      <c r="N77" s="6">
        <f>(I77-J77)/H77</f>
        <v>-0.39685482763356683</v>
      </c>
      <c r="O77" s="4">
        <v>17</v>
      </c>
      <c r="P77" s="5"/>
      <c r="Q77" s="5">
        <v>15978</v>
      </c>
      <c r="R77" s="5">
        <v>6052</v>
      </c>
      <c r="S77" s="8">
        <v>9590</v>
      </c>
      <c r="T77" s="8">
        <v>6</v>
      </c>
      <c r="U77" s="8">
        <v>330</v>
      </c>
      <c r="V77" s="5">
        <f>R77+S77+T77+U77</f>
        <v>15978</v>
      </c>
      <c r="W77" s="5">
        <f t="shared" si="37"/>
        <v>0</v>
      </c>
      <c r="X77" s="6">
        <f>(R77-S77)/Q77</f>
        <v>-0.22142946551508325</v>
      </c>
      <c r="Y77" s="4">
        <v>12</v>
      </c>
      <c r="Z77" s="5"/>
      <c r="AA77" s="5"/>
      <c r="AB77" s="5">
        <v>20324</v>
      </c>
      <c r="AC77" s="5">
        <v>7438</v>
      </c>
      <c r="AD77" s="8">
        <v>11685</v>
      </c>
      <c r="AE77" s="8"/>
      <c r="AF77" s="8">
        <v>1201</v>
      </c>
      <c r="AG77" s="5">
        <f>AC77+AD77+AE77+AF77</f>
        <v>20324</v>
      </c>
      <c r="AH77" s="5">
        <f t="shared" si="38"/>
        <v>0</v>
      </c>
      <c r="AI77" s="6">
        <f>(AC77-AD77)/AB77</f>
        <v>-0.20896477071442629</v>
      </c>
    </row>
    <row r="78" spans="1:35" x14ac:dyDescent="0.2">
      <c r="A78">
        <v>211230</v>
      </c>
      <c r="B78" t="s">
        <v>101</v>
      </c>
      <c r="C78" t="s">
        <v>104</v>
      </c>
      <c r="D78" t="s">
        <v>10</v>
      </c>
      <c r="E78" s="4">
        <v>4</v>
      </c>
      <c r="F78" s="5" t="s">
        <v>104</v>
      </c>
      <c r="G78" s="5"/>
      <c r="H78" s="5">
        <v>94189</v>
      </c>
      <c r="I78" s="5">
        <v>32226</v>
      </c>
      <c r="J78" s="8">
        <v>57729</v>
      </c>
      <c r="K78" s="5">
        <f>4024+210</f>
        <v>4234</v>
      </c>
      <c r="L78" s="5">
        <f>I78+J78+K78</f>
        <v>94189</v>
      </c>
      <c r="M78" s="5">
        <f t="shared" si="36"/>
        <v>0</v>
      </c>
      <c r="N78" s="6">
        <f>(I78-J78)/H78</f>
        <v>-0.27076410196519762</v>
      </c>
      <c r="O78" s="4">
        <v>17</v>
      </c>
      <c r="P78" s="5"/>
      <c r="Q78" s="5">
        <v>111169</v>
      </c>
      <c r="R78" s="5">
        <v>51971</v>
      </c>
      <c r="S78" s="8">
        <v>56854</v>
      </c>
      <c r="T78" s="8">
        <v>90</v>
      </c>
      <c r="U78" s="8">
        <v>2254</v>
      </c>
      <c r="V78" s="5">
        <f>R78+S78+T78+U78</f>
        <v>111169</v>
      </c>
      <c r="W78" s="5">
        <f t="shared" si="37"/>
        <v>0</v>
      </c>
      <c r="X78" s="6">
        <f>(R78-S78)/Q78</f>
        <v>-4.3924115535805844E-2</v>
      </c>
      <c r="Y78" s="4">
        <v>12</v>
      </c>
      <c r="Z78" s="5"/>
      <c r="AA78" s="5"/>
      <c r="AB78" s="5">
        <v>128280</v>
      </c>
      <c r="AC78" s="5">
        <v>64608</v>
      </c>
      <c r="AD78" s="8">
        <v>56581</v>
      </c>
      <c r="AE78" s="8"/>
      <c r="AF78" s="8">
        <v>7091</v>
      </c>
      <c r="AG78" s="5">
        <f>AC78+AD78+AE78+AF78</f>
        <v>128280</v>
      </c>
      <c r="AH78" s="5">
        <f t="shared" si="38"/>
        <v>0</v>
      </c>
      <c r="AI78" s="6">
        <f>(AC78-AD78)/AB78</f>
        <v>6.2574056750857504E-2</v>
      </c>
    </row>
    <row r="79" spans="1:35" x14ac:dyDescent="0.2">
      <c r="E79" s="4"/>
      <c r="F79" s="5"/>
      <c r="G79" s="5"/>
      <c r="H79" s="5"/>
      <c r="I79" s="5"/>
      <c r="J79" s="5"/>
      <c r="K79" s="5"/>
      <c r="L79" s="5"/>
      <c r="M79" s="5"/>
      <c r="N79" s="6"/>
      <c r="O79" s="4"/>
      <c r="P79" s="5"/>
      <c r="Q79" s="5"/>
      <c r="R79" s="5"/>
      <c r="S79" s="5"/>
      <c r="T79" s="5"/>
      <c r="U79" s="5"/>
      <c r="V79" s="5"/>
      <c r="W79" s="5"/>
      <c r="X79" s="6"/>
      <c r="Y79" s="4"/>
      <c r="Z79" s="5"/>
      <c r="AA79" s="5"/>
      <c r="AB79" s="5"/>
      <c r="AC79" s="5"/>
      <c r="AD79" s="5"/>
      <c r="AE79" s="5"/>
      <c r="AF79" s="5"/>
      <c r="AG79" s="5"/>
      <c r="AH79" s="5"/>
      <c r="AI79" s="6"/>
    </row>
    <row r="80" spans="1:35" x14ac:dyDescent="0.2">
      <c r="A80">
        <v>221240</v>
      </c>
      <c r="B80" t="s">
        <v>105</v>
      </c>
      <c r="C80" t="s">
        <v>106</v>
      </c>
      <c r="D80" t="s">
        <v>107</v>
      </c>
      <c r="E80" s="4">
        <v>4</v>
      </c>
      <c r="F80" s="5" t="s">
        <v>557</v>
      </c>
      <c r="G80" s="5"/>
      <c r="H80" s="5">
        <v>28035</v>
      </c>
      <c r="I80" s="5">
        <v>9749</v>
      </c>
      <c r="J80" s="8">
        <v>17160</v>
      </c>
      <c r="K80" s="5">
        <f>1080+46</f>
        <v>1126</v>
      </c>
      <c r="L80" s="5">
        <f>I80+J80+K80</f>
        <v>28035</v>
      </c>
      <c r="M80" s="5">
        <f>L80-H80</f>
        <v>0</v>
      </c>
      <c r="N80" s="6">
        <f>(I80-J80)/H80</f>
        <v>-0.2643481362582486</v>
      </c>
      <c r="O80" s="4">
        <v>17</v>
      </c>
      <c r="P80" s="5"/>
      <c r="Q80" s="5">
        <v>38205</v>
      </c>
      <c r="R80" s="5">
        <v>18292</v>
      </c>
      <c r="S80" s="8">
        <v>18967</v>
      </c>
      <c r="T80" s="8">
        <v>38</v>
      </c>
      <c r="U80" s="8">
        <v>908</v>
      </c>
      <c r="V80" s="5">
        <f>R80+S80+T80+U80</f>
        <v>38205</v>
      </c>
      <c r="W80" s="5">
        <f>V80-Q80</f>
        <v>0</v>
      </c>
      <c r="X80" s="6">
        <f>(R80-S80)/Q80</f>
        <v>-1.7667844522968199E-2</v>
      </c>
      <c r="Y80" s="4">
        <v>12</v>
      </c>
      <c r="Z80" s="5"/>
      <c r="AA80" s="5"/>
      <c r="AB80" s="5">
        <v>54191</v>
      </c>
      <c r="AC80" s="5">
        <v>29692</v>
      </c>
      <c r="AD80" s="8">
        <v>20453</v>
      </c>
      <c r="AE80" s="8"/>
      <c r="AF80" s="8">
        <v>4046</v>
      </c>
      <c r="AG80" s="5">
        <f>AC80+AD80+AE80+AF80</f>
        <v>54191</v>
      </c>
      <c r="AH80" s="5">
        <f>AG80-AB80</f>
        <v>0</v>
      </c>
      <c r="AI80" s="6">
        <f>(AC80-AD80)/AB80</f>
        <v>0.1704895646878633</v>
      </c>
    </row>
    <row r="81" spans="1:35" x14ac:dyDescent="0.2">
      <c r="A81">
        <v>220956</v>
      </c>
      <c r="B81" t="s">
        <v>105</v>
      </c>
      <c r="C81" t="s">
        <v>108</v>
      </c>
      <c r="D81" t="s">
        <v>109</v>
      </c>
      <c r="E81" s="4">
        <v>4</v>
      </c>
      <c r="F81" s="5" t="s">
        <v>558</v>
      </c>
      <c r="G81" s="5"/>
      <c r="H81" s="5">
        <v>137165</v>
      </c>
      <c r="I81" s="5">
        <v>31552</v>
      </c>
      <c r="J81" s="8">
        <v>101488</v>
      </c>
      <c r="K81" s="5">
        <f>3752+373</f>
        <v>4125</v>
      </c>
      <c r="L81" s="5">
        <f>I81+J81+K81</f>
        <v>137165</v>
      </c>
      <c r="M81" s="5">
        <f>L81-H81</f>
        <v>0</v>
      </c>
      <c r="N81" s="6">
        <f>(I81-J81)/H81</f>
        <v>-0.50986767761455176</v>
      </c>
      <c r="O81" s="4">
        <v>17</v>
      </c>
      <c r="P81" s="5"/>
      <c r="Q81" s="5">
        <v>173608</v>
      </c>
      <c r="R81" s="5">
        <v>56091</v>
      </c>
      <c r="S81" s="8">
        <v>109962</v>
      </c>
      <c r="T81" s="8">
        <v>390</v>
      </c>
      <c r="U81" s="8">
        <v>7165</v>
      </c>
      <c r="V81" s="5">
        <f>R81+S81+T81+U81</f>
        <v>173608</v>
      </c>
      <c r="W81" s="5">
        <f>V81-Q81</f>
        <v>0</v>
      </c>
      <c r="X81" s="6">
        <f>(R81-S81)/Q81</f>
        <v>-0.31030252062116953</v>
      </c>
      <c r="Y81" s="4">
        <v>12</v>
      </c>
      <c r="Z81" s="5"/>
      <c r="AA81" s="5"/>
      <c r="AB81" s="5">
        <v>202643</v>
      </c>
      <c r="AC81" s="5">
        <v>71283</v>
      </c>
      <c r="AD81" s="8">
        <v>118518</v>
      </c>
      <c r="AE81" s="8"/>
      <c r="AF81" s="8">
        <v>12842</v>
      </c>
      <c r="AG81" s="5">
        <f>AC81+AD81+AE81+AF81</f>
        <v>202643</v>
      </c>
      <c r="AH81" s="5">
        <f>AG81-AB81</f>
        <v>0</v>
      </c>
      <c r="AI81" s="6">
        <f>(AC81-AD81)/AB81</f>
        <v>-0.23309465414546765</v>
      </c>
    </row>
    <row r="82" spans="1:35" x14ac:dyDescent="0.2">
      <c r="E82" s="4"/>
      <c r="F82" s="5"/>
      <c r="G82" s="5"/>
      <c r="H82" s="5"/>
      <c r="I82" s="5"/>
      <c r="J82" s="5"/>
      <c r="K82" s="5"/>
      <c r="L82" s="5"/>
      <c r="M82" s="5"/>
      <c r="N82" s="6"/>
      <c r="O82" s="4"/>
      <c r="P82" s="5"/>
      <c r="Q82" s="5"/>
      <c r="R82" s="5"/>
      <c r="S82" s="5"/>
      <c r="T82" s="5"/>
      <c r="U82" s="5"/>
      <c r="V82" s="5"/>
      <c r="W82" s="5"/>
      <c r="X82" s="6"/>
      <c r="Y82" s="4"/>
      <c r="Z82" s="5"/>
      <c r="AA82" s="5"/>
      <c r="AB82" s="5"/>
      <c r="AC82" s="5"/>
      <c r="AD82" s="5"/>
      <c r="AE82" s="5"/>
      <c r="AF82" s="5"/>
      <c r="AG82" s="5"/>
      <c r="AH82" s="5"/>
      <c r="AI82" s="6"/>
    </row>
    <row r="83" spans="1:35" x14ac:dyDescent="0.2">
      <c r="A83">
        <v>233750</v>
      </c>
      <c r="B83" t="s">
        <v>110</v>
      </c>
      <c r="C83" t="s">
        <v>111</v>
      </c>
      <c r="D83" t="s">
        <v>112</v>
      </c>
      <c r="E83" s="4">
        <v>4</v>
      </c>
      <c r="F83" s="5" t="s">
        <v>556</v>
      </c>
      <c r="G83" s="5"/>
      <c r="H83" s="8">
        <v>22338</v>
      </c>
      <c r="I83" s="8">
        <v>5993</v>
      </c>
      <c r="J83" s="8">
        <v>13650</v>
      </c>
      <c r="K83" s="5">
        <f>1819+876</f>
        <v>2695</v>
      </c>
      <c r="L83" s="5">
        <f>I83+J83+K83</f>
        <v>22338</v>
      </c>
      <c r="M83" s="5">
        <f>L83-H83</f>
        <v>0</v>
      </c>
      <c r="N83" s="6">
        <f>(I83-J83)/H83</f>
        <v>-0.34277912078073236</v>
      </c>
      <c r="O83" s="4">
        <v>17</v>
      </c>
      <c r="P83" s="5"/>
      <c r="Q83" s="8">
        <v>25071</v>
      </c>
      <c r="R83" s="8">
        <v>8600</v>
      </c>
      <c r="S83" s="8">
        <v>14508</v>
      </c>
      <c r="T83" s="8">
        <v>23</v>
      </c>
      <c r="U83" s="8">
        <v>1940</v>
      </c>
      <c r="V83" s="5">
        <f>R83+S83+T83+U83</f>
        <v>25071</v>
      </c>
      <c r="W83" s="5">
        <f>V83-Q83</f>
        <v>0</v>
      </c>
      <c r="X83" s="6">
        <f>(R83-S83)/Q83</f>
        <v>-0.23565075186470424</v>
      </c>
      <c r="Y83" s="4">
        <v>12</v>
      </c>
      <c r="Z83" s="5"/>
      <c r="AA83" s="5"/>
      <c r="AB83" s="8">
        <v>26295</v>
      </c>
      <c r="AC83" s="8">
        <v>10061</v>
      </c>
      <c r="AD83" s="8">
        <v>13848</v>
      </c>
      <c r="AE83" s="8"/>
      <c r="AF83" s="8">
        <v>2386</v>
      </c>
      <c r="AG83" s="5">
        <f>AC83+AD83+AE83+AF83</f>
        <v>26295</v>
      </c>
      <c r="AH83" s="5">
        <f>AG83-AB83</f>
        <v>0</v>
      </c>
      <c r="AI83" s="6">
        <f>(AC83-AD83)/AB83</f>
        <v>-0.14401977562274196</v>
      </c>
    </row>
    <row r="84" spans="1:35" x14ac:dyDescent="0.2">
      <c r="A84">
        <v>231580</v>
      </c>
      <c r="B84" t="s">
        <v>110</v>
      </c>
      <c r="C84" t="s">
        <v>113</v>
      </c>
      <c r="D84" t="s">
        <v>114</v>
      </c>
      <c r="E84" s="4">
        <v>5</v>
      </c>
      <c r="F84" s="5" t="s">
        <v>555</v>
      </c>
      <c r="G84" s="5"/>
      <c r="H84" s="8">
        <v>1124</v>
      </c>
      <c r="I84" s="8">
        <v>629</v>
      </c>
      <c r="J84" s="8">
        <v>427</v>
      </c>
      <c r="K84" s="5">
        <f>47+21</f>
        <v>68</v>
      </c>
      <c r="L84" s="5">
        <f>I84+J84+K84</f>
        <v>1124</v>
      </c>
      <c r="M84" s="5">
        <f>L84-H84</f>
        <v>0</v>
      </c>
      <c r="N84" s="6">
        <f>(I84-J84)/H84</f>
        <v>0.17971530249110321</v>
      </c>
      <c r="O84" s="4">
        <v>22</v>
      </c>
      <c r="P84" s="5"/>
      <c r="Q84" s="8">
        <v>897</v>
      </c>
      <c r="R84" s="8">
        <v>505</v>
      </c>
      <c r="S84" s="8">
        <v>359</v>
      </c>
      <c r="T84" s="8">
        <v>2</v>
      </c>
      <c r="U84" s="8">
        <v>31</v>
      </c>
      <c r="V84" s="5">
        <f>R84+S84+T84+U84</f>
        <v>897</v>
      </c>
      <c r="W84" s="5">
        <f>V84-Q84</f>
        <v>0</v>
      </c>
      <c r="X84" s="6">
        <f>(R84-S84)/Q84</f>
        <v>0.16276477146042365</v>
      </c>
      <c r="Y84" s="4">
        <v>25</v>
      </c>
      <c r="Z84" s="5"/>
      <c r="AA84" s="5"/>
      <c r="AB84" s="8">
        <v>830</v>
      </c>
      <c r="AC84" s="8">
        <v>440</v>
      </c>
      <c r="AD84" s="8">
        <v>328</v>
      </c>
      <c r="AE84" s="8"/>
      <c r="AF84" s="8">
        <f>8+54</f>
        <v>62</v>
      </c>
      <c r="AG84" s="5">
        <f>AC84+AD84+AE84+AF84</f>
        <v>830</v>
      </c>
      <c r="AH84" s="5">
        <f>AG84-AB84</f>
        <v>0</v>
      </c>
      <c r="AI84" s="6">
        <f>(AC84-AD84)/AB84</f>
        <v>0.13493975903614458</v>
      </c>
    </row>
    <row r="85" spans="1:35" x14ac:dyDescent="0.2">
      <c r="A85">
        <v>23017105</v>
      </c>
      <c r="B85" t="s">
        <v>110</v>
      </c>
      <c r="C85" t="s">
        <v>115</v>
      </c>
      <c r="D85" t="s">
        <v>116</v>
      </c>
      <c r="E85" s="4">
        <v>5</v>
      </c>
      <c r="F85" s="5" t="s">
        <v>554</v>
      </c>
      <c r="G85" s="5"/>
      <c r="H85" s="8">
        <v>1181</v>
      </c>
      <c r="I85" s="8">
        <v>590</v>
      </c>
      <c r="J85" s="8">
        <v>432</v>
      </c>
      <c r="K85" s="5">
        <f>143+16</f>
        <v>159</v>
      </c>
      <c r="L85" s="5">
        <f>I85+J85+K85</f>
        <v>1181</v>
      </c>
      <c r="M85" s="5">
        <f>L85-H85</f>
        <v>0</v>
      </c>
      <c r="N85" s="6">
        <f>(I85-J85)/H85</f>
        <v>0.13378492802709568</v>
      </c>
      <c r="O85" s="4">
        <v>22</v>
      </c>
      <c r="P85" s="5"/>
      <c r="Q85" s="8">
        <v>867</v>
      </c>
      <c r="R85" s="8">
        <v>469</v>
      </c>
      <c r="S85" s="8">
        <v>369</v>
      </c>
      <c r="T85" s="8">
        <v>0</v>
      </c>
      <c r="U85" s="8">
        <v>29</v>
      </c>
      <c r="V85" s="5">
        <f>R85+S85+T85+U85</f>
        <v>867</v>
      </c>
      <c r="W85" s="5">
        <f>V85-Q85</f>
        <v>0</v>
      </c>
      <c r="X85" s="6">
        <f>(R85-S85)/Q85</f>
        <v>0.11534025374855825</v>
      </c>
      <c r="Y85" s="4">
        <v>25</v>
      </c>
      <c r="Z85" s="5"/>
      <c r="AA85" s="5"/>
      <c r="AB85" s="8">
        <v>1031</v>
      </c>
      <c r="AC85" s="8">
        <v>544</v>
      </c>
      <c r="AD85" s="8">
        <v>415</v>
      </c>
      <c r="AE85" s="8"/>
      <c r="AF85" s="8">
        <f>28+44</f>
        <v>72</v>
      </c>
      <c r="AG85" s="5">
        <f>AC85+AD85+AE85+AF85</f>
        <v>1031</v>
      </c>
      <c r="AH85" s="5">
        <f>AG85-AB85</f>
        <v>0</v>
      </c>
      <c r="AI85" s="6">
        <f>(AC85-AD85)/AB85</f>
        <v>0.12512124151309409</v>
      </c>
    </row>
    <row r="86" spans="1:35" x14ac:dyDescent="0.2">
      <c r="A86">
        <v>230300</v>
      </c>
      <c r="B86" t="s">
        <v>110</v>
      </c>
      <c r="C86" t="s">
        <v>117</v>
      </c>
      <c r="D86" t="s">
        <v>118</v>
      </c>
      <c r="E86" s="4">
        <v>4</v>
      </c>
      <c r="F86" s="5" t="s">
        <v>117</v>
      </c>
      <c r="G86" s="5"/>
      <c r="H86" s="5">
        <v>2905</v>
      </c>
      <c r="I86" s="5">
        <v>1657</v>
      </c>
      <c r="J86" s="8">
        <v>1159</v>
      </c>
      <c r="K86" s="5">
        <f>73+16</f>
        <v>89</v>
      </c>
      <c r="L86" s="5">
        <f>I86+J86+K86</f>
        <v>2905</v>
      </c>
      <c r="M86" s="5">
        <f>L86-H86</f>
        <v>0</v>
      </c>
      <c r="N86" s="6">
        <f>(I86-J86)/H86</f>
        <v>0.17142857142857143</v>
      </c>
      <c r="O86" s="4">
        <v>17</v>
      </c>
      <c r="P86" s="5"/>
      <c r="Q86" s="5">
        <v>3583</v>
      </c>
      <c r="R86" s="5">
        <v>1919</v>
      </c>
      <c r="S86" s="8">
        <v>1269</v>
      </c>
      <c r="T86" s="8">
        <v>1</v>
      </c>
      <c r="U86" s="8">
        <v>394</v>
      </c>
      <c r="V86" s="5">
        <f>R86+S86+T86+U86</f>
        <v>3583</v>
      </c>
      <c r="W86" s="5">
        <f>V86-Q86</f>
        <v>0</v>
      </c>
      <c r="X86" s="6">
        <f>(R86-S86)/Q86</f>
        <v>0.18141222439296678</v>
      </c>
      <c r="Y86" s="4">
        <v>22</v>
      </c>
      <c r="Z86" s="5"/>
      <c r="AA86" s="5"/>
      <c r="AB86" s="5">
        <v>3627</v>
      </c>
      <c r="AC86" s="5">
        <v>2139</v>
      </c>
      <c r="AD86" s="8">
        <v>1236</v>
      </c>
      <c r="AE86" s="8"/>
      <c r="AF86" s="8">
        <v>252</v>
      </c>
      <c r="AG86" s="5">
        <f>AC86+AD86+AE86+AF86</f>
        <v>3627</v>
      </c>
      <c r="AH86" s="5">
        <f>AG86-AB86</f>
        <v>0</v>
      </c>
      <c r="AI86" s="6">
        <f>(AC86-AD86)/AB86</f>
        <v>0.24896608767576509</v>
      </c>
    </row>
    <row r="87" spans="1:35" x14ac:dyDescent="0.2">
      <c r="E87" s="4"/>
      <c r="F87" s="5"/>
      <c r="G87" s="5"/>
      <c r="H87" s="5"/>
      <c r="I87" s="5"/>
      <c r="J87" s="5"/>
      <c r="K87" s="5"/>
      <c r="L87" s="5"/>
      <c r="M87" s="5"/>
      <c r="N87" s="6"/>
      <c r="O87" s="4"/>
      <c r="P87" s="5"/>
      <c r="Q87" s="5"/>
      <c r="R87" s="5"/>
      <c r="S87" s="5"/>
      <c r="T87" s="5"/>
      <c r="U87" s="5"/>
      <c r="V87" s="5"/>
      <c r="W87" s="5"/>
      <c r="X87" s="6"/>
      <c r="Y87" s="4"/>
      <c r="Z87" s="5"/>
      <c r="AA87" s="5"/>
      <c r="AB87" s="5"/>
      <c r="AC87" s="5"/>
      <c r="AD87" s="5"/>
      <c r="AE87" s="5"/>
      <c r="AF87" s="5"/>
      <c r="AG87" s="5"/>
      <c r="AH87" s="5"/>
      <c r="AI87" s="6"/>
    </row>
    <row r="88" spans="1:35" x14ac:dyDescent="0.2">
      <c r="A88">
        <v>240025</v>
      </c>
      <c r="B88" t="s">
        <v>119</v>
      </c>
      <c r="C88" t="s">
        <v>120</v>
      </c>
      <c r="D88" t="s">
        <v>120</v>
      </c>
      <c r="E88" s="4">
        <v>4</v>
      </c>
      <c r="F88" s="5" t="s">
        <v>552</v>
      </c>
      <c r="G88" s="5"/>
      <c r="H88" s="8">
        <v>236442</v>
      </c>
      <c r="I88" s="8">
        <v>92960</v>
      </c>
      <c r="J88" s="8">
        <v>134622</v>
      </c>
      <c r="K88" s="5">
        <f>8474+386</f>
        <v>8860</v>
      </c>
      <c r="L88" s="5">
        <f>I88+J88+K88</f>
        <v>236442</v>
      </c>
      <c r="M88" s="5">
        <f>L88-H88</f>
        <v>0</v>
      </c>
      <c r="N88" s="6">
        <f>(I88-J88)/H88</f>
        <v>-0.17620388932592349</v>
      </c>
      <c r="O88" s="4">
        <v>17</v>
      </c>
      <c r="P88" s="5"/>
      <c r="Q88" s="8">
        <v>277880</v>
      </c>
      <c r="R88" s="8">
        <v>138817</v>
      </c>
      <c r="S88" s="8">
        <v>129905</v>
      </c>
      <c r="T88" s="8">
        <v>133</v>
      </c>
      <c r="U88" s="8">
        <v>9025</v>
      </c>
      <c r="V88" s="5">
        <f>R88+S88+T88+U88</f>
        <v>277880</v>
      </c>
      <c r="W88" s="5">
        <f>V88-Q88</f>
        <v>0</v>
      </c>
      <c r="X88" s="6">
        <f>(R88-S88)/Q88</f>
        <v>3.2071397725636969E-2</v>
      </c>
      <c r="Y88" s="4">
        <v>12</v>
      </c>
      <c r="Z88" s="5"/>
      <c r="AA88" s="5"/>
      <c r="AB88" s="8">
        <v>290155</v>
      </c>
      <c r="AC88" s="8">
        <v>149668</v>
      </c>
      <c r="AD88" s="8">
        <v>125929</v>
      </c>
      <c r="AE88" s="8"/>
      <c r="AF88" s="8">
        <v>14558</v>
      </c>
      <c r="AG88" s="5">
        <f>AC88+AD88+AE88+AF88</f>
        <v>290155</v>
      </c>
      <c r="AH88" s="5">
        <f>AG88-AB88</f>
        <v>0</v>
      </c>
      <c r="AI88" s="6">
        <f>(AC88-AD88)/AB88</f>
        <v>8.1814892040461135E-2</v>
      </c>
    </row>
    <row r="89" spans="1:35" x14ac:dyDescent="0.2">
      <c r="A89">
        <v>240005</v>
      </c>
      <c r="B89" t="s">
        <v>119</v>
      </c>
      <c r="C89" t="s">
        <v>121</v>
      </c>
      <c r="D89" t="s">
        <v>122</v>
      </c>
      <c r="E89" s="4">
        <v>5</v>
      </c>
      <c r="F89" s="5" t="s">
        <v>553</v>
      </c>
      <c r="G89" s="5"/>
      <c r="H89" s="8">
        <v>429</v>
      </c>
      <c r="I89" s="8">
        <v>231</v>
      </c>
      <c r="J89" s="8">
        <v>184</v>
      </c>
      <c r="K89" s="5">
        <f>11+3</f>
        <v>14</v>
      </c>
      <c r="L89" s="5">
        <f>I89+J89+K89</f>
        <v>429</v>
      </c>
      <c r="M89" s="5">
        <f>L89-H89</f>
        <v>0</v>
      </c>
      <c r="N89" s="6">
        <f>(I89-J89)/H89</f>
        <v>0.10955710955710955</v>
      </c>
      <c r="O89" s="4">
        <v>22</v>
      </c>
      <c r="P89" s="5"/>
      <c r="Q89" s="8">
        <v>932</v>
      </c>
      <c r="R89" s="8">
        <v>316</v>
      </c>
      <c r="S89" s="8">
        <v>594</v>
      </c>
      <c r="T89" s="8">
        <v>0</v>
      </c>
      <c r="U89" s="8">
        <v>22</v>
      </c>
      <c r="V89" s="5">
        <f>R89+S89+T89+U89</f>
        <v>932</v>
      </c>
      <c r="W89" s="5">
        <f>V89-Q89</f>
        <v>0</v>
      </c>
      <c r="X89" s="6">
        <f>(R89-S89)/Q89</f>
        <v>-0.29828326180257508</v>
      </c>
      <c r="Y89" s="4">
        <v>25</v>
      </c>
      <c r="Z89" s="5"/>
      <c r="AA89" s="5"/>
      <c r="AB89" s="8">
        <v>3084</v>
      </c>
      <c r="AC89" s="8">
        <v>1399</v>
      </c>
      <c r="AD89" s="8">
        <v>1475</v>
      </c>
      <c r="AE89" s="8"/>
      <c r="AF89" s="8">
        <f>168+42</f>
        <v>210</v>
      </c>
      <c r="AG89" s="5">
        <f>AC89+AD89+AE89+AF89</f>
        <v>3084</v>
      </c>
      <c r="AH89" s="5">
        <f>AG89-AB89</f>
        <v>0</v>
      </c>
      <c r="AI89" s="6">
        <f>(AC89-AD89)/AB89</f>
        <v>-2.464332036316472E-2</v>
      </c>
    </row>
    <row r="90" spans="1:35" x14ac:dyDescent="0.2">
      <c r="E90" s="4"/>
      <c r="F90" s="5"/>
      <c r="G90" s="5"/>
      <c r="H90" s="5"/>
      <c r="I90" s="5"/>
      <c r="J90" s="5"/>
      <c r="K90" s="5"/>
      <c r="L90" s="5"/>
      <c r="M90" s="5"/>
      <c r="N90" s="6"/>
      <c r="O90" s="4"/>
      <c r="P90" s="5"/>
      <c r="Q90" s="5"/>
      <c r="R90" s="5"/>
      <c r="S90" s="5"/>
      <c r="T90" s="5"/>
      <c r="U90" s="5"/>
      <c r="V90" s="5"/>
      <c r="W90" s="5"/>
      <c r="X90" s="6"/>
      <c r="Y90" s="4"/>
      <c r="Z90" s="5"/>
      <c r="AA90" s="5"/>
      <c r="AB90" s="5"/>
      <c r="AC90" s="5"/>
      <c r="AD90" s="5"/>
      <c r="AE90" s="5"/>
      <c r="AF90" s="5"/>
      <c r="AG90" s="5"/>
      <c r="AH90" s="5"/>
      <c r="AI90" s="6"/>
    </row>
    <row r="91" spans="1:35" x14ac:dyDescent="0.2">
      <c r="A91">
        <v>251230</v>
      </c>
      <c r="B91" t="s">
        <v>123</v>
      </c>
      <c r="C91" t="s">
        <v>124</v>
      </c>
      <c r="D91" t="s">
        <v>125</v>
      </c>
      <c r="E91" s="4">
        <v>5</v>
      </c>
      <c r="F91" s="5" t="s">
        <v>508</v>
      </c>
      <c r="G91" s="5"/>
      <c r="H91" s="8">
        <v>3416</v>
      </c>
      <c r="I91" s="8">
        <v>1029</v>
      </c>
      <c r="J91" s="8">
        <v>775</v>
      </c>
      <c r="K91" s="5">
        <f>751+861</f>
        <v>1612</v>
      </c>
      <c r="L91" s="5">
        <f t="shared" ref="L91:L122" si="39">I91+J91+K91</f>
        <v>3416</v>
      </c>
      <c r="M91" s="5">
        <f t="shared" ref="M91:M122" si="40">L91-H91</f>
        <v>0</v>
      </c>
      <c r="N91" s="6">
        <f t="shared" ref="N91:N111" si="41">(I91-J91)/H91</f>
        <v>7.4355971896955503E-2</v>
      </c>
      <c r="O91" s="4">
        <v>22</v>
      </c>
      <c r="P91" s="5"/>
      <c r="Q91" s="8">
        <v>1094</v>
      </c>
      <c r="R91" s="8">
        <v>490</v>
      </c>
      <c r="S91" s="8">
        <v>359</v>
      </c>
      <c r="T91" s="8">
        <v>1</v>
      </c>
      <c r="U91" s="8">
        <v>244</v>
      </c>
      <c r="V91" s="5">
        <f t="shared" ref="V91:V122" si="42">R91+S91+T91+U91</f>
        <v>1094</v>
      </c>
      <c r="W91" s="5">
        <f t="shared" ref="W91:W122" si="43">V91-Q91</f>
        <v>0</v>
      </c>
      <c r="X91" s="6">
        <f t="shared" ref="X91:X111" si="44">(R91-S91)/Q91</f>
        <v>0.11974405850091407</v>
      </c>
      <c r="Y91" s="4">
        <v>25</v>
      </c>
      <c r="Z91" s="5"/>
      <c r="AA91" s="5"/>
      <c r="AB91" s="8">
        <v>1310</v>
      </c>
      <c r="AC91" s="8">
        <v>655</v>
      </c>
      <c r="AD91" s="8">
        <v>414</v>
      </c>
      <c r="AE91" s="8"/>
      <c r="AF91" s="8">
        <f>62+179</f>
        <v>241</v>
      </c>
      <c r="AG91" s="5">
        <f t="shared" ref="AG91:AG122" si="45">AC91+AD91+AE91+AF91</f>
        <v>1310</v>
      </c>
      <c r="AH91" s="5">
        <f t="shared" ref="AH91:AH122" si="46">AG91-AB91</f>
        <v>0</v>
      </c>
      <c r="AI91" s="6">
        <f t="shared" ref="AI91:AI111" si="47">(AC91-AD91)/AB91</f>
        <v>0.18396946564885497</v>
      </c>
    </row>
    <row r="92" spans="1:35" x14ac:dyDescent="0.2">
      <c r="A92">
        <v>251950</v>
      </c>
      <c r="B92" t="s">
        <v>123</v>
      </c>
      <c r="C92" t="s">
        <v>126</v>
      </c>
      <c r="D92" t="s">
        <v>125</v>
      </c>
      <c r="E92" s="4">
        <v>5</v>
      </c>
      <c r="F92" s="5" t="s">
        <v>521</v>
      </c>
      <c r="G92" s="5">
        <v>1</v>
      </c>
      <c r="H92" s="8">
        <v>21861</v>
      </c>
      <c r="I92" s="8">
        <v>7313</v>
      </c>
      <c r="J92" s="8">
        <v>3734</v>
      </c>
      <c r="K92" s="5">
        <f>4820+5994</f>
        <v>10814</v>
      </c>
      <c r="L92" s="5">
        <f t="shared" si="39"/>
        <v>21861</v>
      </c>
      <c r="M92" s="5">
        <f t="shared" si="40"/>
        <v>0</v>
      </c>
      <c r="N92" s="6">
        <f t="shared" si="41"/>
        <v>0.16371620694387265</v>
      </c>
      <c r="O92" s="4">
        <v>22</v>
      </c>
      <c r="P92" s="5"/>
      <c r="Q92" s="8">
        <v>1799</v>
      </c>
      <c r="R92" s="8">
        <v>825</v>
      </c>
      <c r="S92" s="8">
        <v>448</v>
      </c>
      <c r="T92" s="8">
        <v>1</v>
      </c>
      <c r="U92" s="8">
        <v>525</v>
      </c>
      <c r="V92" s="5">
        <f t="shared" si="42"/>
        <v>1799</v>
      </c>
      <c r="W92" s="5">
        <f t="shared" si="43"/>
        <v>0</v>
      </c>
      <c r="X92" s="6">
        <f t="shared" si="44"/>
        <v>0.20956086714841579</v>
      </c>
      <c r="Y92" s="4">
        <v>25</v>
      </c>
      <c r="Z92" s="5"/>
      <c r="AA92" s="5"/>
      <c r="AB92" s="8">
        <v>2738</v>
      </c>
      <c r="AC92" s="8">
        <v>1101</v>
      </c>
      <c r="AD92" s="8">
        <v>564</v>
      </c>
      <c r="AE92" s="8"/>
      <c r="AF92" s="8">
        <f>330+743</f>
        <v>1073</v>
      </c>
      <c r="AG92" s="5">
        <f t="shared" si="45"/>
        <v>2738</v>
      </c>
      <c r="AH92" s="5">
        <f t="shared" si="46"/>
        <v>0</v>
      </c>
      <c r="AI92" s="6">
        <f t="shared" si="47"/>
        <v>0.19612856099342585</v>
      </c>
    </row>
    <row r="93" spans="1:35" x14ac:dyDescent="0.2">
      <c r="A93">
        <v>252850</v>
      </c>
      <c r="B93" t="s">
        <v>123</v>
      </c>
      <c r="C93" t="s">
        <v>127</v>
      </c>
      <c r="D93" t="s">
        <v>128</v>
      </c>
      <c r="E93" s="4">
        <v>5</v>
      </c>
      <c r="F93" s="5" t="s">
        <v>522</v>
      </c>
      <c r="G93" s="5"/>
      <c r="H93" s="8">
        <v>6180</v>
      </c>
      <c r="I93" s="8">
        <v>2189</v>
      </c>
      <c r="J93" s="8">
        <v>3878</v>
      </c>
      <c r="K93" s="5">
        <f>84+29</f>
        <v>113</v>
      </c>
      <c r="L93" s="5">
        <f t="shared" si="39"/>
        <v>6180</v>
      </c>
      <c r="M93" s="5">
        <f t="shared" si="40"/>
        <v>0</v>
      </c>
      <c r="N93" s="6">
        <f t="shared" si="41"/>
        <v>-0.27330097087378641</v>
      </c>
      <c r="O93" s="4">
        <v>17</v>
      </c>
      <c r="P93" s="5"/>
      <c r="Q93" s="8">
        <v>6519</v>
      </c>
      <c r="R93" s="8">
        <v>2684</v>
      </c>
      <c r="S93" s="8">
        <v>3722</v>
      </c>
      <c r="T93" s="8">
        <v>0</v>
      </c>
      <c r="U93" s="8">
        <v>113</v>
      </c>
      <c r="V93" s="5">
        <f t="shared" si="42"/>
        <v>6519</v>
      </c>
      <c r="W93" s="5">
        <f t="shared" si="43"/>
        <v>0</v>
      </c>
      <c r="X93" s="6">
        <f t="shared" si="44"/>
        <v>-0.15922687528762081</v>
      </c>
      <c r="Y93" s="4">
        <v>22</v>
      </c>
      <c r="Z93" s="5"/>
      <c r="AA93" s="5"/>
      <c r="AB93" s="8">
        <v>6743</v>
      </c>
      <c r="AC93" s="8">
        <v>3008</v>
      </c>
      <c r="AD93" s="8">
        <v>3425</v>
      </c>
      <c r="AE93" s="8"/>
      <c r="AF93" s="8">
        <v>310</v>
      </c>
      <c r="AG93" s="5">
        <f t="shared" si="45"/>
        <v>6743</v>
      </c>
      <c r="AH93" s="5">
        <f t="shared" si="46"/>
        <v>0</v>
      </c>
      <c r="AI93" s="6">
        <f t="shared" si="47"/>
        <v>-6.1841910129022688E-2</v>
      </c>
    </row>
    <row r="94" spans="1:35" x14ac:dyDescent="0.2">
      <c r="A94">
        <v>253370</v>
      </c>
      <c r="B94" t="s">
        <v>123</v>
      </c>
      <c r="C94" t="s">
        <v>129</v>
      </c>
      <c r="D94" t="s">
        <v>128</v>
      </c>
      <c r="E94" s="4">
        <v>5</v>
      </c>
      <c r="F94" s="5" t="s">
        <v>523</v>
      </c>
      <c r="G94" s="5"/>
      <c r="H94" s="8">
        <v>13486</v>
      </c>
      <c r="I94" s="8">
        <v>5254</v>
      </c>
      <c r="J94" s="8">
        <v>7764</v>
      </c>
      <c r="K94" s="5">
        <f>407+61</f>
        <v>468</v>
      </c>
      <c r="L94" s="5">
        <f t="shared" si="39"/>
        <v>13486</v>
      </c>
      <c r="M94" s="5">
        <f t="shared" si="40"/>
        <v>0</v>
      </c>
      <c r="N94" s="6">
        <f t="shared" si="41"/>
        <v>-0.18611893815808986</v>
      </c>
      <c r="O94" s="4">
        <v>17</v>
      </c>
      <c r="P94" s="5"/>
      <c r="Q94" s="8">
        <v>15771</v>
      </c>
      <c r="R94" s="8">
        <v>7825</v>
      </c>
      <c r="S94" s="8">
        <v>7528</v>
      </c>
      <c r="T94" s="8">
        <v>10</v>
      </c>
      <c r="U94" s="8">
        <v>408</v>
      </c>
      <c r="V94" s="5">
        <f t="shared" si="42"/>
        <v>15771</v>
      </c>
      <c r="W94" s="5">
        <f t="shared" si="43"/>
        <v>0</v>
      </c>
      <c r="X94" s="6">
        <f t="shared" si="44"/>
        <v>1.8832033479170628E-2</v>
      </c>
      <c r="Y94" s="4">
        <v>28</v>
      </c>
      <c r="Z94" s="5"/>
      <c r="AA94" s="5">
        <v>1</v>
      </c>
      <c r="AB94" s="8">
        <v>48690</v>
      </c>
      <c r="AC94" s="8">
        <v>26456</v>
      </c>
      <c r="AD94" s="8">
        <v>16648</v>
      </c>
      <c r="AE94" s="8"/>
      <c r="AF94" s="8">
        <v>5586</v>
      </c>
      <c r="AG94" s="5">
        <f t="shared" si="45"/>
        <v>48690</v>
      </c>
      <c r="AH94" s="5">
        <f t="shared" si="46"/>
        <v>0</v>
      </c>
      <c r="AI94" s="6">
        <f t="shared" si="47"/>
        <v>0.20143766687204764</v>
      </c>
    </row>
    <row r="95" spans="1:35" x14ac:dyDescent="0.2">
      <c r="A95">
        <v>252770</v>
      </c>
      <c r="B95" t="s">
        <v>123</v>
      </c>
      <c r="C95" t="s">
        <v>130</v>
      </c>
      <c r="D95" t="s">
        <v>131</v>
      </c>
      <c r="E95" s="4">
        <v>5</v>
      </c>
      <c r="F95" s="5" t="s">
        <v>524</v>
      </c>
      <c r="G95" s="5"/>
      <c r="H95" s="8">
        <v>31611</v>
      </c>
      <c r="I95" s="8">
        <v>7899</v>
      </c>
      <c r="J95" s="8">
        <v>22741</v>
      </c>
      <c r="K95" s="5">
        <f>873+98</f>
        <v>971</v>
      </c>
      <c r="L95" s="5">
        <f t="shared" si="39"/>
        <v>31611</v>
      </c>
      <c r="M95" s="5">
        <f t="shared" si="40"/>
        <v>0</v>
      </c>
      <c r="N95" s="6">
        <f t="shared" si="41"/>
        <v>-0.46952010376134889</v>
      </c>
      <c r="O95" s="4">
        <v>17</v>
      </c>
      <c r="P95" s="5"/>
      <c r="Q95" s="8">
        <v>33939</v>
      </c>
      <c r="R95" s="8">
        <v>11168</v>
      </c>
      <c r="S95" s="8">
        <v>21998</v>
      </c>
      <c r="T95" s="8">
        <v>8</v>
      </c>
      <c r="U95" s="8">
        <v>765</v>
      </c>
      <c r="V95" s="5">
        <f t="shared" si="42"/>
        <v>33939</v>
      </c>
      <c r="W95" s="5">
        <f t="shared" si="43"/>
        <v>0</v>
      </c>
      <c r="X95" s="6">
        <f t="shared" si="44"/>
        <v>-0.31910191814726419</v>
      </c>
      <c r="Y95" s="4">
        <v>12</v>
      </c>
      <c r="Z95" s="5"/>
      <c r="AA95" s="5"/>
      <c r="AB95" s="8">
        <v>36731</v>
      </c>
      <c r="AC95" s="8">
        <v>13513</v>
      </c>
      <c r="AD95" s="8">
        <v>21056</v>
      </c>
      <c r="AE95" s="8"/>
      <c r="AF95" s="8">
        <v>2162</v>
      </c>
      <c r="AG95" s="5">
        <f t="shared" si="45"/>
        <v>36731</v>
      </c>
      <c r="AH95" s="5">
        <f t="shared" si="46"/>
        <v>0</v>
      </c>
      <c r="AI95" s="6">
        <f t="shared" si="47"/>
        <v>-0.20535787209713866</v>
      </c>
    </row>
    <row r="96" spans="1:35" x14ac:dyDescent="0.2">
      <c r="A96">
        <v>254220</v>
      </c>
      <c r="B96" t="s">
        <v>123</v>
      </c>
      <c r="C96" t="s">
        <v>132</v>
      </c>
      <c r="D96" t="s">
        <v>131</v>
      </c>
      <c r="E96" s="4">
        <v>5</v>
      </c>
      <c r="F96" s="5" t="s">
        <v>525</v>
      </c>
      <c r="G96" s="5"/>
      <c r="H96" s="8">
        <v>9626</v>
      </c>
      <c r="I96" s="8">
        <v>4172</v>
      </c>
      <c r="J96" s="8">
        <v>5163</v>
      </c>
      <c r="K96" s="5">
        <f>259+32</f>
        <v>291</v>
      </c>
      <c r="L96" s="5">
        <f t="shared" si="39"/>
        <v>9626</v>
      </c>
      <c r="M96" s="5">
        <f t="shared" si="40"/>
        <v>0</v>
      </c>
      <c r="N96" s="6">
        <f t="shared" si="41"/>
        <v>-0.10295034282152504</v>
      </c>
      <c r="O96" s="4">
        <v>17</v>
      </c>
      <c r="P96" s="5"/>
      <c r="Q96" s="8">
        <v>11078</v>
      </c>
      <c r="R96" s="8">
        <v>5541</v>
      </c>
      <c r="S96" s="8">
        <v>5133</v>
      </c>
      <c r="T96" s="8">
        <v>10</v>
      </c>
      <c r="U96" s="8">
        <v>394</v>
      </c>
      <c r="V96" s="5">
        <f t="shared" si="42"/>
        <v>11078</v>
      </c>
      <c r="W96" s="5">
        <f t="shared" si="43"/>
        <v>0</v>
      </c>
      <c r="X96" s="6">
        <f t="shared" si="44"/>
        <v>3.6829752662935547E-2</v>
      </c>
      <c r="Y96" s="4">
        <v>18</v>
      </c>
      <c r="Z96" s="5"/>
      <c r="AA96" s="5"/>
      <c r="AB96" s="8">
        <v>12226</v>
      </c>
      <c r="AC96" s="8">
        <v>6595</v>
      </c>
      <c r="AD96" s="8">
        <v>5004</v>
      </c>
      <c r="AE96" s="8"/>
      <c r="AF96" s="8">
        <v>627</v>
      </c>
      <c r="AG96" s="5">
        <f t="shared" si="45"/>
        <v>12226</v>
      </c>
      <c r="AH96" s="5">
        <f t="shared" si="46"/>
        <v>0</v>
      </c>
      <c r="AI96" s="6">
        <f t="shared" si="47"/>
        <v>0.13013250449860952</v>
      </c>
    </row>
    <row r="97" spans="1:35" x14ac:dyDescent="0.2">
      <c r="A97">
        <v>251430</v>
      </c>
      <c r="B97" t="s">
        <v>123</v>
      </c>
      <c r="C97" t="s">
        <v>133</v>
      </c>
      <c r="D97" t="s">
        <v>134</v>
      </c>
      <c r="E97" s="4">
        <v>5</v>
      </c>
      <c r="F97" s="5" t="s">
        <v>526</v>
      </c>
      <c r="G97" s="5"/>
      <c r="H97" s="8">
        <v>8223</v>
      </c>
      <c r="I97" s="8">
        <v>2886</v>
      </c>
      <c r="J97" s="8">
        <v>3667</v>
      </c>
      <c r="K97" s="5">
        <f>1200+470</f>
        <v>1670</v>
      </c>
      <c r="L97" s="5">
        <f t="shared" si="39"/>
        <v>8223</v>
      </c>
      <c r="M97" s="5">
        <f t="shared" si="40"/>
        <v>0</v>
      </c>
      <c r="N97" s="6">
        <f t="shared" si="41"/>
        <v>-9.4977502128177058E-2</v>
      </c>
      <c r="O97" s="4">
        <v>17</v>
      </c>
      <c r="P97" s="5"/>
      <c r="Q97" s="8">
        <v>9352</v>
      </c>
      <c r="R97" s="8">
        <v>4016</v>
      </c>
      <c r="S97" s="8">
        <v>3460</v>
      </c>
      <c r="T97" s="8">
        <v>103</v>
      </c>
      <c r="U97" s="8">
        <v>1773</v>
      </c>
      <c r="V97" s="5">
        <f t="shared" si="42"/>
        <v>9352</v>
      </c>
      <c r="W97" s="5">
        <f t="shared" si="43"/>
        <v>0</v>
      </c>
      <c r="X97" s="6">
        <f t="shared" si="44"/>
        <v>5.9452523524379811E-2</v>
      </c>
      <c r="Y97" s="4">
        <v>18</v>
      </c>
      <c r="Z97" s="5"/>
      <c r="AA97" s="5"/>
      <c r="AB97" s="8">
        <v>10148</v>
      </c>
      <c r="AC97" s="8">
        <v>4714</v>
      </c>
      <c r="AD97" s="8">
        <v>3330</v>
      </c>
      <c r="AE97" s="8"/>
      <c r="AF97" s="8">
        <v>2104</v>
      </c>
      <c r="AG97" s="5">
        <f t="shared" si="45"/>
        <v>10148</v>
      </c>
      <c r="AH97" s="5">
        <f t="shared" si="46"/>
        <v>0</v>
      </c>
      <c r="AI97" s="6">
        <f t="shared" si="47"/>
        <v>0.1363815530153725</v>
      </c>
    </row>
    <row r="98" spans="1:35" x14ac:dyDescent="0.2">
      <c r="A98">
        <v>252210</v>
      </c>
      <c r="B98" t="s">
        <v>123</v>
      </c>
      <c r="C98" t="s">
        <v>135</v>
      </c>
      <c r="D98" t="s">
        <v>134</v>
      </c>
      <c r="E98" s="4">
        <v>5</v>
      </c>
      <c r="F98" s="5" t="s">
        <v>605</v>
      </c>
      <c r="G98" s="5"/>
      <c r="H98" s="8">
        <v>29362</v>
      </c>
      <c r="I98" s="8">
        <v>7883</v>
      </c>
      <c r="J98" s="8">
        <v>19719</v>
      </c>
      <c r="K98" s="5">
        <f>1724+36</f>
        <v>1760</v>
      </c>
      <c r="L98" s="5">
        <f t="shared" si="39"/>
        <v>29362</v>
      </c>
      <c r="M98" s="5">
        <f t="shared" si="40"/>
        <v>0</v>
      </c>
      <c r="N98" s="6">
        <f t="shared" si="41"/>
        <v>-0.40310605544581429</v>
      </c>
      <c r="O98" s="4">
        <v>17</v>
      </c>
      <c r="P98" s="5"/>
      <c r="Q98" s="8">
        <v>29864</v>
      </c>
      <c r="R98" s="8">
        <v>11605</v>
      </c>
      <c r="S98" s="8">
        <v>17699</v>
      </c>
      <c r="T98" s="8">
        <v>5</v>
      </c>
      <c r="U98" s="8">
        <v>555</v>
      </c>
      <c r="V98" s="5">
        <f t="shared" si="42"/>
        <v>29864</v>
      </c>
      <c r="W98" s="5">
        <f t="shared" si="43"/>
        <v>0</v>
      </c>
      <c r="X98" s="6">
        <f t="shared" si="44"/>
        <v>-0.20405839807125636</v>
      </c>
      <c r="Y98" s="4">
        <v>12</v>
      </c>
      <c r="Z98" s="5"/>
      <c r="AA98" s="5"/>
      <c r="AB98" s="8">
        <v>32571</v>
      </c>
      <c r="AC98" s="8">
        <v>13644</v>
      </c>
      <c r="AD98" s="8">
        <v>17068</v>
      </c>
      <c r="AE98" s="8"/>
      <c r="AF98" s="8">
        <v>1859</v>
      </c>
      <c r="AG98" s="5">
        <f t="shared" si="45"/>
        <v>32571</v>
      </c>
      <c r="AH98" s="5">
        <f t="shared" si="46"/>
        <v>0</v>
      </c>
      <c r="AI98" s="6">
        <f t="shared" si="47"/>
        <v>-0.10512419023057321</v>
      </c>
    </row>
    <row r="99" spans="1:35" s="2" customFormat="1" x14ac:dyDescent="0.2">
      <c r="A99" s="2">
        <v>25009075</v>
      </c>
      <c r="B99" s="2" t="s">
        <v>123</v>
      </c>
      <c r="C99" s="2" t="s">
        <v>136</v>
      </c>
      <c r="D99" s="2" t="s">
        <v>134</v>
      </c>
      <c r="E99" s="7">
        <v>5</v>
      </c>
      <c r="F99" s="8" t="s">
        <v>509</v>
      </c>
      <c r="G99" s="5"/>
      <c r="H99" s="8">
        <v>848</v>
      </c>
      <c r="I99" s="8">
        <v>512</v>
      </c>
      <c r="J99" s="8">
        <v>178</v>
      </c>
      <c r="K99" s="8">
        <f>62+96</f>
        <v>158</v>
      </c>
      <c r="L99" s="5">
        <f t="shared" si="39"/>
        <v>848</v>
      </c>
      <c r="M99" s="5">
        <f t="shared" si="40"/>
        <v>0</v>
      </c>
      <c r="N99" s="9">
        <f t="shared" si="41"/>
        <v>0.39386792452830188</v>
      </c>
      <c r="O99" s="7">
        <v>26</v>
      </c>
      <c r="P99" s="8">
        <v>1</v>
      </c>
      <c r="Q99" s="8">
        <v>164567</v>
      </c>
      <c r="R99" s="8">
        <v>76531</v>
      </c>
      <c r="S99" s="8">
        <v>75774</v>
      </c>
      <c r="T99" s="8">
        <v>240</v>
      </c>
      <c r="U99" s="8">
        <v>12022</v>
      </c>
      <c r="V99" s="5">
        <f t="shared" si="42"/>
        <v>164567</v>
      </c>
      <c r="W99" s="5">
        <f t="shared" si="43"/>
        <v>0</v>
      </c>
      <c r="X99" s="9">
        <f t="shared" si="44"/>
        <v>4.5999501722702608E-3</v>
      </c>
      <c r="Y99" s="7">
        <v>28</v>
      </c>
      <c r="Z99" s="8"/>
      <c r="AA99" s="8">
        <v>1</v>
      </c>
      <c r="AB99" s="8">
        <v>190231</v>
      </c>
      <c r="AC99" s="8">
        <v>102656</v>
      </c>
      <c r="AD99" s="8">
        <v>71729</v>
      </c>
      <c r="AE99" s="8"/>
      <c r="AF99" s="8">
        <v>15846</v>
      </c>
      <c r="AG99" s="5">
        <f t="shared" si="45"/>
        <v>190231</v>
      </c>
      <c r="AH99" s="5">
        <f t="shared" si="46"/>
        <v>0</v>
      </c>
      <c r="AI99" s="9">
        <f t="shared" si="47"/>
        <v>0.16257602598945492</v>
      </c>
    </row>
    <row r="100" spans="1:35" s="2" customFormat="1" x14ac:dyDescent="0.2">
      <c r="A100" s="2">
        <v>25009095</v>
      </c>
      <c r="B100" s="2" t="s">
        <v>123</v>
      </c>
      <c r="C100" s="2" t="s">
        <v>137</v>
      </c>
      <c r="D100" s="2" t="s">
        <v>134</v>
      </c>
      <c r="E100" s="7">
        <v>5</v>
      </c>
      <c r="F100" s="8" t="s">
        <v>540</v>
      </c>
      <c r="G100" s="5"/>
      <c r="H100" s="8">
        <v>6051</v>
      </c>
      <c r="I100" s="8">
        <v>2919</v>
      </c>
      <c r="J100" s="8">
        <v>2878</v>
      </c>
      <c r="K100" s="8">
        <f>207+47</f>
        <v>254</v>
      </c>
      <c r="L100" s="5">
        <f t="shared" si="39"/>
        <v>6051</v>
      </c>
      <c r="M100" s="5">
        <f t="shared" si="40"/>
        <v>0</v>
      </c>
      <c r="N100" s="9">
        <f t="shared" si="41"/>
        <v>6.7757395471822841E-3</v>
      </c>
      <c r="O100" s="7">
        <v>26</v>
      </c>
      <c r="P100" s="8">
        <v>1</v>
      </c>
      <c r="Q100" s="8">
        <v>164567</v>
      </c>
      <c r="R100" s="8">
        <v>76531</v>
      </c>
      <c r="S100" s="8">
        <v>75774</v>
      </c>
      <c r="T100" s="8">
        <v>240</v>
      </c>
      <c r="U100" s="8">
        <v>12022</v>
      </c>
      <c r="V100" s="5">
        <f t="shared" si="42"/>
        <v>164567</v>
      </c>
      <c r="W100" s="5">
        <f t="shared" si="43"/>
        <v>0</v>
      </c>
      <c r="X100" s="9">
        <f t="shared" si="44"/>
        <v>4.5999501722702608E-3</v>
      </c>
      <c r="Y100" s="7">
        <v>18</v>
      </c>
      <c r="Z100" s="8"/>
      <c r="AA100" s="8"/>
      <c r="AB100" s="8">
        <v>8714</v>
      </c>
      <c r="AC100" s="8">
        <v>5830</v>
      </c>
      <c r="AD100" s="8">
        <v>2533</v>
      </c>
      <c r="AE100" s="8"/>
      <c r="AF100" s="8">
        <v>351</v>
      </c>
      <c r="AG100" s="5">
        <f t="shared" si="45"/>
        <v>8714</v>
      </c>
      <c r="AH100" s="5">
        <f t="shared" si="46"/>
        <v>0</v>
      </c>
      <c r="AI100" s="9">
        <f t="shared" si="47"/>
        <v>0.37835666743171908</v>
      </c>
    </row>
    <row r="101" spans="1:35" x14ac:dyDescent="0.2">
      <c r="A101" s="2">
        <v>253670</v>
      </c>
      <c r="B101" t="s">
        <v>123</v>
      </c>
      <c r="C101" t="s">
        <v>138</v>
      </c>
      <c r="D101" t="s">
        <v>134</v>
      </c>
      <c r="E101" s="4">
        <v>5</v>
      </c>
      <c r="F101" s="5" t="s">
        <v>527</v>
      </c>
      <c r="G101" s="5"/>
      <c r="H101" s="8">
        <v>11048</v>
      </c>
      <c r="I101" s="8">
        <v>3703</v>
      </c>
      <c r="J101" s="8">
        <v>6846</v>
      </c>
      <c r="K101" s="5">
        <f>464+35</f>
        <v>499</v>
      </c>
      <c r="L101" s="5">
        <f t="shared" si="39"/>
        <v>11048</v>
      </c>
      <c r="M101" s="5">
        <f t="shared" si="40"/>
        <v>0</v>
      </c>
      <c r="N101" s="6">
        <f t="shared" si="41"/>
        <v>-0.28448587979724838</v>
      </c>
      <c r="O101" s="4">
        <v>17</v>
      </c>
      <c r="P101" s="5"/>
      <c r="Q101" s="8">
        <v>12104</v>
      </c>
      <c r="R101" s="8">
        <v>4925</v>
      </c>
      <c r="S101" s="8">
        <v>6885</v>
      </c>
      <c r="T101" s="8">
        <v>5</v>
      </c>
      <c r="U101" s="8">
        <v>289</v>
      </c>
      <c r="V101" s="5">
        <f t="shared" si="42"/>
        <v>12104</v>
      </c>
      <c r="W101" s="5">
        <f t="shared" si="43"/>
        <v>0</v>
      </c>
      <c r="X101" s="6">
        <f t="shared" si="44"/>
        <v>-0.16192994051553206</v>
      </c>
      <c r="Y101" s="4">
        <v>18</v>
      </c>
      <c r="Z101" s="5"/>
      <c r="AA101" s="5"/>
      <c r="AB101" s="8">
        <v>13118</v>
      </c>
      <c r="AC101" s="8">
        <v>5739</v>
      </c>
      <c r="AD101" s="8">
        <v>6725</v>
      </c>
      <c r="AE101" s="8"/>
      <c r="AF101" s="8">
        <v>654</v>
      </c>
      <c r="AG101" s="5">
        <f t="shared" si="45"/>
        <v>13118</v>
      </c>
      <c r="AH101" s="5">
        <f t="shared" si="46"/>
        <v>0</v>
      </c>
      <c r="AI101" s="6">
        <f t="shared" si="47"/>
        <v>-7.5163896935508456E-2</v>
      </c>
    </row>
    <row r="102" spans="1:35" x14ac:dyDescent="0.2">
      <c r="A102" s="2">
        <v>251520</v>
      </c>
      <c r="B102" t="s">
        <v>123</v>
      </c>
      <c r="C102" t="s">
        <v>139</v>
      </c>
      <c r="D102" t="s">
        <v>114</v>
      </c>
      <c r="E102" s="4">
        <v>5</v>
      </c>
      <c r="F102" s="5" t="s">
        <v>510</v>
      </c>
      <c r="G102" s="5"/>
      <c r="H102" s="8">
        <v>4599</v>
      </c>
      <c r="I102" s="8">
        <v>1916</v>
      </c>
      <c r="J102" s="8">
        <v>2501</v>
      </c>
      <c r="K102" s="5">
        <f>162+20</f>
        <v>182</v>
      </c>
      <c r="L102" s="5">
        <f t="shared" si="39"/>
        <v>4599</v>
      </c>
      <c r="M102" s="5">
        <f t="shared" si="40"/>
        <v>0</v>
      </c>
      <c r="N102" s="6">
        <f t="shared" si="41"/>
        <v>-0.12720156555772993</v>
      </c>
      <c r="O102" s="4">
        <v>17</v>
      </c>
      <c r="P102" s="5"/>
      <c r="Q102" s="8">
        <v>4839</v>
      </c>
      <c r="R102" s="8">
        <v>2462</v>
      </c>
      <c r="S102" s="8">
        <v>2266</v>
      </c>
      <c r="T102" s="8">
        <v>0</v>
      </c>
      <c r="U102" s="8">
        <v>111</v>
      </c>
      <c r="V102" s="5">
        <f t="shared" si="42"/>
        <v>4839</v>
      </c>
      <c r="W102" s="5">
        <f t="shared" si="43"/>
        <v>0</v>
      </c>
      <c r="X102" s="6">
        <f t="shared" si="44"/>
        <v>4.0504236412481916E-2</v>
      </c>
      <c r="Y102" s="4">
        <v>22</v>
      </c>
      <c r="Z102" s="5"/>
      <c r="AA102" s="5"/>
      <c r="AB102" s="8">
        <v>5179</v>
      </c>
      <c r="AC102" s="8">
        <v>2750</v>
      </c>
      <c r="AD102" s="8">
        <v>2113</v>
      </c>
      <c r="AE102" s="8"/>
      <c r="AF102" s="8">
        <v>316</v>
      </c>
      <c r="AG102" s="5">
        <f t="shared" si="45"/>
        <v>5179</v>
      </c>
      <c r="AH102" s="5">
        <f t="shared" si="46"/>
        <v>0</v>
      </c>
      <c r="AI102" s="6">
        <f t="shared" si="47"/>
        <v>0.1229967175130334</v>
      </c>
    </row>
    <row r="103" spans="1:35" x14ac:dyDescent="0.2">
      <c r="A103" s="2">
        <v>251830</v>
      </c>
      <c r="B103" t="s">
        <v>123</v>
      </c>
      <c r="C103" t="s">
        <v>140</v>
      </c>
      <c r="D103" t="s">
        <v>141</v>
      </c>
      <c r="E103" s="4">
        <v>5</v>
      </c>
      <c r="F103" s="5" t="s">
        <v>528</v>
      </c>
      <c r="G103" s="5"/>
      <c r="H103" s="8">
        <v>15213</v>
      </c>
      <c r="I103" s="8">
        <v>2979</v>
      </c>
      <c r="J103" s="8">
        <v>11737</v>
      </c>
      <c r="K103" s="5">
        <f>483+14</f>
        <v>497</v>
      </c>
      <c r="L103" s="5">
        <f t="shared" si="39"/>
        <v>15213</v>
      </c>
      <c r="M103" s="5">
        <f t="shared" si="40"/>
        <v>0</v>
      </c>
      <c r="N103" s="6">
        <f t="shared" si="41"/>
        <v>-0.57569184250312233</v>
      </c>
      <c r="O103" s="4">
        <v>17</v>
      </c>
      <c r="P103" s="5"/>
      <c r="Q103" s="8">
        <v>16466</v>
      </c>
      <c r="R103" s="8">
        <v>4072</v>
      </c>
      <c r="S103" s="8">
        <v>12211</v>
      </c>
      <c r="T103" s="8">
        <v>1</v>
      </c>
      <c r="U103" s="8">
        <v>182</v>
      </c>
      <c r="V103" s="5">
        <f t="shared" si="42"/>
        <v>16466</v>
      </c>
      <c r="W103" s="5">
        <f t="shared" si="43"/>
        <v>0</v>
      </c>
      <c r="X103" s="6">
        <f t="shared" si="44"/>
        <v>-0.49429126685290903</v>
      </c>
      <c r="Y103" s="4">
        <v>12</v>
      </c>
      <c r="Z103" s="5"/>
      <c r="AA103" s="5"/>
      <c r="AB103" s="8">
        <v>18640</v>
      </c>
      <c r="AC103" s="8">
        <v>5396</v>
      </c>
      <c r="AD103" s="8">
        <v>12036</v>
      </c>
      <c r="AE103" s="8"/>
      <c r="AF103" s="8">
        <v>1208</v>
      </c>
      <c r="AG103" s="5">
        <f t="shared" si="45"/>
        <v>18640</v>
      </c>
      <c r="AH103" s="5">
        <f t="shared" si="46"/>
        <v>0</v>
      </c>
      <c r="AI103" s="6">
        <f t="shared" si="47"/>
        <v>-0.35622317596566522</v>
      </c>
    </row>
    <row r="104" spans="1:35" x14ac:dyDescent="0.2">
      <c r="A104" s="2">
        <v>254090</v>
      </c>
      <c r="B104" t="s">
        <v>123</v>
      </c>
      <c r="C104" t="s">
        <v>142</v>
      </c>
      <c r="D104" t="s">
        <v>141</v>
      </c>
      <c r="E104" s="4">
        <v>5</v>
      </c>
      <c r="F104" s="5" t="s">
        <v>529</v>
      </c>
      <c r="G104" s="5"/>
      <c r="H104" s="8">
        <v>42285</v>
      </c>
      <c r="I104" s="8">
        <v>11719</v>
      </c>
      <c r="J104" s="8">
        <v>28584</v>
      </c>
      <c r="K104" s="5">
        <f>1921+61</f>
        <v>1982</v>
      </c>
      <c r="L104" s="5">
        <f t="shared" si="39"/>
        <v>42285</v>
      </c>
      <c r="M104" s="5">
        <f t="shared" si="40"/>
        <v>0</v>
      </c>
      <c r="N104" s="6">
        <f t="shared" si="41"/>
        <v>-0.39884119664183515</v>
      </c>
      <c r="O104" s="4">
        <v>17</v>
      </c>
      <c r="P104" s="5"/>
      <c r="Q104" s="8">
        <v>47414</v>
      </c>
      <c r="R104" s="8">
        <v>19776</v>
      </c>
      <c r="S104" s="8">
        <v>26932</v>
      </c>
      <c r="T104" s="8">
        <v>14</v>
      </c>
      <c r="U104" s="8">
        <v>692</v>
      </c>
      <c r="V104" s="5">
        <f t="shared" si="42"/>
        <v>47414</v>
      </c>
      <c r="W104" s="5">
        <f t="shared" si="43"/>
        <v>0</v>
      </c>
      <c r="X104" s="6">
        <f t="shared" si="44"/>
        <v>-0.1509258868688573</v>
      </c>
      <c r="Y104" s="4">
        <v>12</v>
      </c>
      <c r="Z104" s="5"/>
      <c r="AA104" s="5"/>
      <c r="AB104" s="8">
        <v>58713</v>
      </c>
      <c r="AC104" s="8">
        <v>27649</v>
      </c>
      <c r="AD104" s="8">
        <v>27371</v>
      </c>
      <c r="AE104" s="8"/>
      <c r="AF104" s="8">
        <v>3693</v>
      </c>
      <c r="AG104" s="5">
        <f t="shared" si="45"/>
        <v>58713</v>
      </c>
      <c r="AH104" s="5">
        <f t="shared" si="46"/>
        <v>0</v>
      </c>
      <c r="AI104" s="6">
        <f t="shared" si="47"/>
        <v>4.7348968712210247E-3</v>
      </c>
    </row>
    <row r="105" spans="1:35" x14ac:dyDescent="0.2">
      <c r="A105" s="2">
        <v>252865</v>
      </c>
      <c r="B105" t="s">
        <v>123</v>
      </c>
      <c r="C105" t="s">
        <v>143</v>
      </c>
      <c r="D105" t="s">
        <v>144</v>
      </c>
      <c r="E105" s="4">
        <v>5</v>
      </c>
      <c r="F105" s="5" t="s">
        <v>530</v>
      </c>
      <c r="G105" s="5"/>
      <c r="H105" s="8">
        <v>6076</v>
      </c>
      <c r="I105" s="8">
        <v>2748</v>
      </c>
      <c r="J105" s="8">
        <v>3012</v>
      </c>
      <c r="K105" s="5">
        <f>155+161</f>
        <v>316</v>
      </c>
      <c r="L105" s="5">
        <f t="shared" si="39"/>
        <v>6076</v>
      </c>
      <c r="M105" s="5">
        <f t="shared" si="40"/>
        <v>0</v>
      </c>
      <c r="N105" s="6">
        <f t="shared" si="41"/>
        <v>-4.3449637919684002E-2</v>
      </c>
      <c r="O105" s="4">
        <v>17</v>
      </c>
      <c r="P105" s="5"/>
      <c r="Q105" s="8">
        <v>6885</v>
      </c>
      <c r="R105" s="8">
        <v>3607</v>
      </c>
      <c r="S105" s="8">
        <v>3048</v>
      </c>
      <c r="T105" s="8">
        <v>9</v>
      </c>
      <c r="U105" s="8">
        <v>221</v>
      </c>
      <c r="V105" s="5">
        <f t="shared" si="42"/>
        <v>6885</v>
      </c>
      <c r="W105" s="5">
        <f t="shared" si="43"/>
        <v>0</v>
      </c>
      <c r="X105" s="6">
        <f t="shared" si="44"/>
        <v>8.1190994916485112E-2</v>
      </c>
      <c r="Y105" s="4">
        <v>18</v>
      </c>
      <c r="Z105" s="5"/>
      <c r="AA105" s="5"/>
      <c r="AB105" s="8">
        <v>8581</v>
      </c>
      <c r="AC105" s="8">
        <v>4500</v>
      </c>
      <c r="AD105" s="8">
        <v>3402</v>
      </c>
      <c r="AE105" s="8"/>
      <c r="AF105" s="8">
        <v>679</v>
      </c>
      <c r="AG105" s="5">
        <f t="shared" si="45"/>
        <v>8581</v>
      </c>
      <c r="AH105" s="5">
        <f t="shared" si="46"/>
        <v>0</v>
      </c>
      <c r="AI105" s="6">
        <f t="shared" si="47"/>
        <v>0.12795711455541312</v>
      </c>
    </row>
    <row r="106" spans="1:35" s="2" customFormat="1" x14ac:dyDescent="0.2">
      <c r="A106" s="2">
        <v>25017010</v>
      </c>
      <c r="B106" s="2" t="s">
        <v>123</v>
      </c>
      <c r="C106" s="2" t="s">
        <v>145</v>
      </c>
      <c r="D106" s="2" t="s">
        <v>146</v>
      </c>
      <c r="E106" s="7">
        <v>5</v>
      </c>
      <c r="F106" s="8" t="s">
        <v>511</v>
      </c>
      <c r="G106" s="5"/>
      <c r="H106" s="8">
        <v>10789</v>
      </c>
      <c r="I106" s="8">
        <v>5115</v>
      </c>
      <c r="J106" s="8">
        <v>5340</v>
      </c>
      <c r="K106" s="8">
        <f>319+15</f>
        <v>334</v>
      </c>
      <c r="L106" s="5">
        <f t="shared" si="39"/>
        <v>10789</v>
      </c>
      <c r="M106" s="5">
        <f t="shared" si="40"/>
        <v>0</v>
      </c>
      <c r="N106" s="9">
        <f t="shared" si="41"/>
        <v>-2.0854574103253313E-2</v>
      </c>
      <c r="O106" s="7">
        <v>26</v>
      </c>
      <c r="P106" s="8">
        <v>1</v>
      </c>
      <c r="Q106" s="8">
        <v>296983</v>
      </c>
      <c r="R106" s="8">
        <v>151720</v>
      </c>
      <c r="S106" s="8">
        <v>135021</v>
      </c>
      <c r="T106" s="8">
        <v>191</v>
      </c>
      <c r="U106" s="8">
        <v>10051</v>
      </c>
      <c r="V106" s="5">
        <f t="shared" si="42"/>
        <v>296983</v>
      </c>
      <c r="W106" s="5">
        <f t="shared" si="43"/>
        <v>0</v>
      </c>
      <c r="X106" s="9">
        <f t="shared" si="44"/>
        <v>5.6228807709532196E-2</v>
      </c>
      <c r="Y106" s="7">
        <v>18</v>
      </c>
      <c r="Z106" s="8"/>
      <c r="AA106" s="8"/>
      <c r="AB106" s="8">
        <v>15080</v>
      </c>
      <c r="AC106" s="8">
        <v>9745</v>
      </c>
      <c r="AD106" s="8">
        <v>5009</v>
      </c>
      <c r="AE106" s="8"/>
      <c r="AF106" s="8">
        <v>326</v>
      </c>
      <c r="AG106" s="5">
        <f t="shared" si="45"/>
        <v>15080</v>
      </c>
      <c r="AH106" s="5">
        <f t="shared" si="46"/>
        <v>0</v>
      </c>
      <c r="AI106" s="9">
        <f t="shared" si="47"/>
        <v>0.3140583554376658</v>
      </c>
    </row>
    <row r="107" spans="1:35" s="2" customFormat="1" x14ac:dyDescent="0.2">
      <c r="A107" s="2">
        <v>25017050</v>
      </c>
      <c r="B107" s="2" t="s">
        <v>123</v>
      </c>
      <c r="C107" s="2" t="s">
        <v>147</v>
      </c>
      <c r="D107" s="2" t="s">
        <v>146</v>
      </c>
      <c r="E107" s="7">
        <v>5</v>
      </c>
      <c r="F107" s="8" t="s">
        <v>512</v>
      </c>
      <c r="G107" s="5"/>
      <c r="H107" s="8">
        <v>674</v>
      </c>
      <c r="I107" s="8">
        <v>396</v>
      </c>
      <c r="J107" s="8">
        <v>184</v>
      </c>
      <c r="K107" s="8">
        <f>25+69</f>
        <v>94</v>
      </c>
      <c r="L107" s="5">
        <f t="shared" si="39"/>
        <v>674</v>
      </c>
      <c r="M107" s="5">
        <f t="shared" si="40"/>
        <v>0</v>
      </c>
      <c r="N107" s="9">
        <f t="shared" si="41"/>
        <v>0.31454005934718099</v>
      </c>
      <c r="O107" s="7">
        <v>26</v>
      </c>
      <c r="P107" s="8">
        <v>1</v>
      </c>
      <c r="Q107" s="8">
        <v>296983</v>
      </c>
      <c r="R107" s="8">
        <v>151720</v>
      </c>
      <c r="S107" s="8">
        <v>135021</v>
      </c>
      <c r="T107" s="8">
        <v>191</v>
      </c>
      <c r="U107" s="8">
        <v>10051</v>
      </c>
      <c r="V107" s="5">
        <f t="shared" si="42"/>
        <v>296983</v>
      </c>
      <c r="W107" s="5">
        <f t="shared" si="43"/>
        <v>0</v>
      </c>
      <c r="X107" s="9">
        <f t="shared" si="44"/>
        <v>5.6228807709532196E-2</v>
      </c>
      <c r="Y107" s="7">
        <v>28</v>
      </c>
      <c r="Z107" s="8"/>
      <c r="AA107" s="8">
        <v>1</v>
      </c>
      <c r="AB107" s="8">
        <v>366946</v>
      </c>
      <c r="AC107" s="8">
        <v>211890</v>
      </c>
      <c r="AD107" s="8">
        <v>140145</v>
      </c>
      <c r="AE107" s="8"/>
      <c r="AF107" s="8">
        <v>14911</v>
      </c>
      <c r="AG107" s="5">
        <f t="shared" si="45"/>
        <v>366946</v>
      </c>
      <c r="AH107" s="5">
        <f t="shared" si="46"/>
        <v>0</v>
      </c>
      <c r="AI107" s="9">
        <f t="shared" si="47"/>
        <v>0.19551923171256808</v>
      </c>
    </row>
    <row r="108" spans="1:35" x14ac:dyDescent="0.2">
      <c r="A108" s="2">
        <v>250610</v>
      </c>
      <c r="B108" t="s">
        <v>123</v>
      </c>
      <c r="C108" t="s">
        <v>148</v>
      </c>
      <c r="D108" t="s">
        <v>146</v>
      </c>
      <c r="E108" s="4">
        <v>5</v>
      </c>
      <c r="F108" s="5" t="s">
        <v>531</v>
      </c>
      <c r="G108" s="5"/>
      <c r="H108" s="8">
        <v>30174</v>
      </c>
      <c r="I108" s="8">
        <v>5485</v>
      </c>
      <c r="J108" s="8">
        <v>23232</v>
      </c>
      <c r="K108" s="5">
        <f>1322+135</f>
        <v>1457</v>
      </c>
      <c r="L108" s="5">
        <f t="shared" si="39"/>
        <v>30174</v>
      </c>
      <c r="M108" s="5">
        <f t="shared" si="40"/>
        <v>0</v>
      </c>
      <c r="N108" s="6">
        <f t="shared" si="41"/>
        <v>-0.58815536554649694</v>
      </c>
      <c r="O108" s="4">
        <v>17</v>
      </c>
      <c r="P108" s="5"/>
      <c r="Q108" s="8">
        <v>33437</v>
      </c>
      <c r="R108" s="8">
        <v>7190</v>
      </c>
      <c r="S108" s="8">
        <v>25605</v>
      </c>
      <c r="T108" s="8">
        <v>26</v>
      </c>
      <c r="U108" s="8">
        <v>616</v>
      </c>
      <c r="V108" s="5">
        <f t="shared" si="42"/>
        <v>33437</v>
      </c>
      <c r="W108" s="5">
        <f t="shared" si="43"/>
        <v>0</v>
      </c>
      <c r="X108" s="6">
        <f t="shared" si="44"/>
        <v>-0.55073720728534259</v>
      </c>
      <c r="Y108" s="4">
        <v>12</v>
      </c>
      <c r="Z108" s="5"/>
      <c r="AA108" s="5"/>
      <c r="AB108" s="8">
        <v>35330</v>
      </c>
      <c r="AC108" s="8">
        <v>7708</v>
      </c>
      <c r="AD108" s="8">
        <v>26545</v>
      </c>
      <c r="AE108" s="8"/>
      <c r="AF108" s="8">
        <v>1077</v>
      </c>
      <c r="AG108" s="5">
        <f t="shared" si="45"/>
        <v>35330</v>
      </c>
      <c r="AH108" s="5">
        <f t="shared" si="46"/>
        <v>0</v>
      </c>
      <c r="AI108" s="6">
        <f t="shared" si="47"/>
        <v>-0.53317294084347577</v>
      </c>
    </row>
    <row r="109" spans="1:35" x14ac:dyDescent="0.2">
      <c r="A109" s="2">
        <v>25017070</v>
      </c>
      <c r="B109" t="s">
        <v>123</v>
      </c>
      <c r="C109" t="s">
        <v>149</v>
      </c>
      <c r="D109" t="s">
        <v>146</v>
      </c>
      <c r="E109" s="4">
        <v>5</v>
      </c>
      <c r="F109" s="5" t="s">
        <v>513</v>
      </c>
      <c r="G109" s="5"/>
      <c r="H109" s="8">
        <v>1858</v>
      </c>
      <c r="I109" s="8">
        <v>1000</v>
      </c>
      <c r="J109" s="8">
        <v>722</v>
      </c>
      <c r="K109" s="5">
        <f>70+66</f>
        <v>136</v>
      </c>
      <c r="L109" s="5">
        <f t="shared" si="39"/>
        <v>1858</v>
      </c>
      <c r="M109" s="5">
        <f t="shared" si="40"/>
        <v>0</v>
      </c>
      <c r="N109" s="6">
        <f t="shared" si="41"/>
        <v>0.1496232508073197</v>
      </c>
      <c r="O109" s="4">
        <v>25</v>
      </c>
      <c r="P109" s="5"/>
      <c r="Q109" s="8">
        <v>673</v>
      </c>
      <c r="R109" s="8">
        <v>407</v>
      </c>
      <c r="S109" s="8">
        <v>252</v>
      </c>
      <c r="T109" s="8">
        <v>3</v>
      </c>
      <c r="U109" s="8">
        <v>11</v>
      </c>
      <c r="V109" s="5">
        <f t="shared" si="42"/>
        <v>673</v>
      </c>
      <c r="W109" s="5">
        <f t="shared" si="43"/>
        <v>0</v>
      </c>
      <c r="X109" s="6">
        <f t="shared" si="44"/>
        <v>0.23031203566121841</v>
      </c>
      <c r="Y109" s="4">
        <v>25</v>
      </c>
      <c r="Z109" s="5"/>
      <c r="AA109" s="5"/>
      <c r="AB109" s="8">
        <v>960</v>
      </c>
      <c r="AC109" s="8">
        <v>620</v>
      </c>
      <c r="AD109" s="8">
        <v>308</v>
      </c>
      <c r="AE109" s="8"/>
      <c r="AF109" s="8">
        <f>12+20</f>
        <v>32</v>
      </c>
      <c r="AG109" s="5">
        <f t="shared" si="45"/>
        <v>960</v>
      </c>
      <c r="AH109" s="5">
        <f t="shared" si="46"/>
        <v>0</v>
      </c>
      <c r="AI109" s="6">
        <f t="shared" si="47"/>
        <v>0.32500000000000001</v>
      </c>
    </row>
    <row r="110" spans="1:35" x14ac:dyDescent="0.2">
      <c r="A110">
        <v>251200</v>
      </c>
      <c r="B110" t="s">
        <v>123</v>
      </c>
      <c r="C110" t="s">
        <v>150</v>
      </c>
      <c r="D110" t="s">
        <v>146</v>
      </c>
      <c r="E110" s="4">
        <v>5</v>
      </c>
      <c r="F110" s="5" t="s">
        <v>532</v>
      </c>
      <c r="G110" s="5"/>
      <c r="H110" s="8">
        <v>12038</v>
      </c>
      <c r="I110" s="8">
        <v>4131</v>
      </c>
      <c r="J110" s="8">
        <v>7632</v>
      </c>
      <c r="K110" s="5">
        <f>265+10</f>
        <v>275</v>
      </c>
      <c r="L110" s="5">
        <f t="shared" si="39"/>
        <v>12038</v>
      </c>
      <c r="M110" s="5">
        <f t="shared" si="40"/>
        <v>0</v>
      </c>
      <c r="N110" s="6">
        <f t="shared" si="41"/>
        <v>-0.29082904136899818</v>
      </c>
      <c r="O110" s="4">
        <v>17</v>
      </c>
      <c r="P110" s="5"/>
      <c r="Q110" s="8">
        <v>12778</v>
      </c>
      <c r="R110" s="8">
        <v>5274</v>
      </c>
      <c r="S110" s="8">
        <v>7130</v>
      </c>
      <c r="T110" s="8">
        <v>5</v>
      </c>
      <c r="U110" s="8">
        <v>369</v>
      </c>
      <c r="V110" s="5">
        <f t="shared" si="42"/>
        <v>12778</v>
      </c>
      <c r="W110" s="5">
        <f t="shared" si="43"/>
        <v>0</v>
      </c>
      <c r="X110" s="6">
        <f t="shared" si="44"/>
        <v>-0.14524964783221161</v>
      </c>
      <c r="Y110" s="4">
        <v>18</v>
      </c>
      <c r="Z110" s="5"/>
      <c r="AA110" s="5"/>
      <c r="AB110" s="8">
        <v>13346</v>
      </c>
      <c r="AC110" s="8">
        <v>5628</v>
      </c>
      <c r="AD110" s="8">
        <v>7438</v>
      </c>
      <c r="AE110" s="8"/>
      <c r="AF110" s="8">
        <v>280</v>
      </c>
      <c r="AG110" s="5">
        <f t="shared" si="45"/>
        <v>13346</v>
      </c>
      <c r="AH110" s="5">
        <f t="shared" si="46"/>
        <v>0</v>
      </c>
      <c r="AI110" s="6">
        <f t="shared" si="47"/>
        <v>-0.13562115989809681</v>
      </c>
    </row>
    <row r="111" spans="1:35" s="2" customFormat="1" x14ac:dyDescent="0.2">
      <c r="A111" s="2">
        <v>25017090</v>
      </c>
      <c r="B111" s="2" t="s">
        <v>123</v>
      </c>
      <c r="C111" s="2" t="s">
        <v>151</v>
      </c>
      <c r="D111" s="2" t="s">
        <v>146</v>
      </c>
      <c r="E111" s="7">
        <v>5</v>
      </c>
      <c r="F111" s="8" t="s">
        <v>514</v>
      </c>
      <c r="G111" s="5"/>
      <c r="H111" s="8">
        <v>5854</v>
      </c>
      <c r="I111" s="8">
        <v>2564</v>
      </c>
      <c r="J111" s="8">
        <v>3142</v>
      </c>
      <c r="K111" s="8">
        <f>129+19</f>
        <v>148</v>
      </c>
      <c r="L111" s="5">
        <f t="shared" si="39"/>
        <v>5854</v>
      </c>
      <c r="M111" s="5">
        <f t="shared" si="40"/>
        <v>0</v>
      </c>
      <c r="N111" s="9">
        <f t="shared" si="41"/>
        <v>-9.8735907072087459E-2</v>
      </c>
      <c r="O111" s="7">
        <v>26</v>
      </c>
      <c r="P111" s="8">
        <v>1</v>
      </c>
      <c r="Q111" s="8">
        <v>296983</v>
      </c>
      <c r="R111" s="8">
        <v>151720</v>
      </c>
      <c r="S111" s="8">
        <v>135021</v>
      </c>
      <c r="T111" s="8">
        <v>191</v>
      </c>
      <c r="U111" s="8">
        <v>10051</v>
      </c>
      <c r="V111" s="5">
        <f t="shared" si="42"/>
        <v>296983</v>
      </c>
      <c r="W111" s="5">
        <f t="shared" si="43"/>
        <v>0</v>
      </c>
      <c r="X111" s="9">
        <f t="shared" si="44"/>
        <v>5.6228807709532196E-2</v>
      </c>
      <c r="Y111" s="7">
        <v>18</v>
      </c>
      <c r="Z111" s="8"/>
      <c r="AA111" s="8"/>
      <c r="AB111" s="8">
        <v>12813</v>
      </c>
      <c r="AC111" s="8">
        <v>8523</v>
      </c>
      <c r="AD111" s="8">
        <v>3763</v>
      </c>
      <c r="AE111" s="8"/>
      <c r="AF111" s="8">
        <v>527</v>
      </c>
      <c r="AG111" s="5">
        <f t="shared" si="45"/>
        <v>12813</v>
      </c>
      <c r="AH111" s="5">
        <f t="shared" si="46"/>
        <v>0</v>
      </c>
      <c r="AI111" s="9">
        <f t="shared" si="47"/>
        <v>0.37149769765082336</v>
      </c>
    </row>
    <row r="112" spans="1:35" x14ac:dyDescent="0.2">
      <c r="B112" t="s">
        <v>123</v>
      </c>
      <c r="C112" s="1" t="s">
        <v>152</v>
      </c>
      <c r="D112" t="s">
        <v>146</v>
      </c>
      <c r="E112" s="4"/>
      <c r="F112" s="5"/>
      <c r="G112" s="5"/>
      <c r="H112" s="5"/>
      <c r="I112" s="5"/>
      <c r="J112" s="5"/>
      <c r="K112" s="5"/>
      <c r="L112" s="5">
        <f t="shared" si="39"/>
        <v>0</v>
      </c>
      <c r="M112" s="5">
        <f t="shared" si="40"/>
        <v>0</v>
      </c>
      <c r="N112" s="6"/>
      <c r="O112" s="4"/>
      <c r="P112" s="5"/>
      <c r="Q112" s="5"/>
      <c r="R112" s="5"/>
      <c r="S112" s="5"/>
      <c r="T112" s="5"/>
      <c r="U112" s="5"/>
      <c r="V112" s="5">
        <f t="shared" si="42"/>
        <v>0</v>
      </c>
      <c r="W112" s="5">
        <f t="shared" si="43"/>
        <v>0</v>
      </c>
      <c r="X112" s="6"/>
      <c r="Y112" s="4"/>
      <c r="Z112" s="5"/>
      <c r="AA112" s="5"/>
      <c r="AB112" s="5"/>
      <c r="AC112" s="5"/>
      <c r="AD112" s="5"/>
      <c r="AE112" s="5"/>
      <c r="AF112" s="5"/>
      <c r="AG112" s="5">
        <f t="shared" si="45"/>
        <v>0</v>
      </c>
      <c r="AH112" s="5">
        <f t="shared" si="46"/>
        <v>0</v>
      </c>
      <c r="AI112" s="6"/>
    </row>
    <row r="113" spans="1:35" x14ac:dyDescent="0.2">
      <c r="A113">
        <v>252180</v>
      </c>
      <c r="B113" t="s">
        <v>123</v>
      </c>
      <c r="C113" t="s">
        <v>153</v>
      </c>
      <c r="D113" t="s">
        <v>146</v>
      </c>
      <c r="E113" s="4">
        <v>5</v>
      </c>
      <c r="F113" s="5" t="s">
        <v>533</v>
      </c>
      <c r="G113" s="5"/>
      <c r="H113" s="8">
        <v>25579</v>
      </c>
      <c r="I113" s="8">
        <v>7387</v>
      </c>
      <c r="J113" s="8">
        <v>17545</v>
      </c>
      <c r="K113" s="5">
        <f>632+15</f>
        <v>647</v>
      </c>
      <c r="L113" s="5">
        <f t="shared" si="39"/>
        <v>25579</v>
      </c>
      <c r="M113" s="5">
        <f t="shared" si="40"/>
        <v>0</v>
      </c>
      <c r="N113" s="6">
        <f t="shared" ref="N113:N139" si="48">(I113-J113)/H113</f>
        <v>-0.3971226396653505</v>
      </c>
      <c r="O113" s="4">
        <v>17</v>
      </c>
      <c r="P113" s="5"/>
      <c r="Q113" s="8">
        <v>27454</v>
      </c>
      <c r="R113" s="8">
        <v>10731</v>
      </c>
      <c r="S113" s="8">
        <v>16329</v>
      </c>
      <c r="T113" s="8">
        <v>15</v>
      </c>
      <c r="U113" s="8">
        <v>379</v>
      </c>
      <c r="V113" s="5">
        <f t="shared" si="42"/>
        <v>27454</v>
      </c>
      <c r="W113" s="5">
        <f t="shared" si="43"/>
        <v>0</v>
      </c>
      <c r="X113" s="6">
        <f t="shared" ref="X113:X139" si="49">(R113-S113)/Q113</f>
        <v>-0.2039047133386756</v>
      </c>
      <c r="Y113" s="4">
        <v>12</v>
      </c>
      <c r="Z113" s="5"/>
      <c r="AA113" s="5"/>
      <c r="AB113" s="8">
        <v>29952</v>
      </c>
      <c r="AC113" s="8">
        <v>12615</v>
      </c>
      <c r="AD113" s="8">
        <v>15839</v>
      </c>
      <c r="AE113" s="8"/>
      <c r="AF113" s="8">
        <v>1498</v>
      </c>
      <c r="AG113" s="5">
        <f t="shared" si="45"/>
        <v>29952</v>
      </c>
      <c r="AH113" s="5">
        <f t="shared" si="46"/>
        <v>0</v>
      </c>
      <c r="AI113" s="6">
        <f t="shared" ref="AI113:AI139" si="50">(AC113-AD113)/AB113</f>
        <v>-0.1076388888888889</v>
      </c>
    </row>
    <row r="114" spans="1:35" x14ac:dyDescent="0.2">
      <c r="A114">
        <v>252230</v>
      </c>
      <c r="B114" t="s">
        <v>123</v>
      </c>
      <c r="C114" t="s">
        <v>154</v>
      </c>
      <c r="D114" t="s">
        <v>146</v>
      </c>
      <c r="E114" s="4">
        <v>5</v>
      </c>
      <c r="F114" s="5" t="s">
        <v>534</v>
      </c>
      <c r="G114" s="5"/>
      <c r="H114" s="8">
        <v>15950</v>
      </c>
      <c r="I114" s="8">
        <v>5561</v>
      </c>
      <c r="J114" s="8">
        <v>9804</v>
      </c>
      <c r="K114" s="5">
        <f>550+35</f>
        <v>585</v>
      </c>
      <c r="L114" s="5">
        <f t="shared" si="39"/>
        <v>15950</v>
      </c>
      <c r="M114" s="5">
        <f t="shared" si="40"/>
        <v>0</v>
      </c>
      <c r="N114" s="6">
        <f t="shared" si="48"/>
        <v>-0.26601880877742945</v>
      </c>
      <c r="O114" s="4">
        <v>17</v>
      </c>
      <c r="P114" s="5"/>
      <c r="Q114" s="8">
        <v>17028</v>
      </c>
      <c r="R114" s="8">
        <v>7723</v>
      </c>
      <c r="S114" s="8">
        <v>9124</v>
      </c>
      <c r="T114" s="8">
        <v>5</v>
      </c>
      <c r="U114" s="8">
        <v>176</v>
      </c>
      <c r="V114" s="5">
        <f t="shared" si="42"/>
        <v>17028</v>
      </c>
      <c r="W114" s="5">
        <f t="shared" si="43"/>
        <v>0</v>
      </c>
      <c r="X114" s="6">
        <f t="shared" si="49"/>
        <v>-8.2276250880902041E-2</v>
      </c>
      <c r="Y114" s="4">
        <v>12</v>
      </c>
      <c r="Z114" s="5"/>
      <c r="AA114" s="5"/>
      <c r="AB114" s="8">
        <v>18138</v>
      </c>
      <c r="AC114" s="8">
        <v>8510</v>
      </c>
      <c r="AD114" s="8">
        <v>9157</v>
      </c>
      <c r="AE114" s="8"/>
      <c r="AF114" s="8">
        <v>471</v>
      </c>
      <c r="AG114" s="5">
        <f t="shared" si="45"/>
        <v>18138</v>
      </c>
      <c r="AH114" s="5">
        <f t="shared" si="46"/>
        <v>0</v>
      </c>
      <c r="AI114" s="6">
        <f t="shared" si="50"/>
        <v>-3.5670967030543607E-2</v>
      </c>
    </row>
    <row r="115" spans="1:35" x14ac:dyDescent="0.2">
      <c r="A115">
        <v>252400</v>
      </c>
      <c r="B115" t="s">
        <v>123</v>
      </c>
      <c r="C115" t="s">
        <v>155</v>
      </c>
      <c r="D115" t="s">
        <v>146</v>
      </c>
      <c r="E115" s="4">
        <v>5</v>
      </c>
      <c r="F115" s="5" t="s">
        <v>535</v>
      </c>
      <c r="G115" s="5"/>
      <c r="H115" s="8">
        <v>16540</v>
      </c>
      <c r="I115" s="8">
        <v>6887</v>
      </c>
      <c r="J115" s="8">
        <v>9135</v>
      </c>
      <c r="K115" s="5">
        <f>499+19</f>
        <v>518</v>
      </c>
      <c r="L115" s="5">
        <f t="shared" si="39"/>
        <v>16540</v>
      </c>
      <c r="M115" s="5">
        <f t="shared" si="40"/>
        <v>0</v>
      </c>
      <c r="N115" s="6">
        <f t="shared" si="48"/>
        <v>-0.13591293833131801</v>
      </c>
      <c r="O115" s="4">
        <v>17</v>
      </c>
      <c r="P115" s="5"/>
      <c r="Q115" s="8">
        <v>17687</v>
      </c>
      <c r="R115" s="8">
        <v>10052</v>
      </c>
      <c r="S115" s="8">
        <v>7455</v>
      </c>
      <c r="T115" s="8">
        <v>6</v>
      </c>
      <c r="U115" s="8">
        <v>174</v>
      </c>
      <c r="V115" s="5">
        <f t="shared" si="42"/>
        <v>17687</v>
      </c>
      <c r="W115" s="5">
        <f t="shared" si="43"/>
        <v>0</v>
      </c>
      <c r="X115" s="6">
        <f t="shared" si="49"/>
        <v>0.14683100582348618</v>
      </c>
      <c r="Y115" s="4">
        <v>12</v>
      </c>
      <c r="Z115" s="5"/>
      <c r="AA115" s="5"/>
      <c r="AB115" s="8">
        <v>18756</v>
      </c>
      <c r="AC115" s="8">
        <v>11143</v>
      </c>
      <c r="AD115" s="8">
        <v>7284</v>
      </c>
      <c r="AE115" s="8"/>
      <c r="AF115" s="8">
        <v>329</v>
      </c>
      <c r="AG115" s="5">
        <f t="shared" si="45"/>
        <v>18756</v>
      </c>
      <c r="AH115" s="5">
        <f t="shared" si="46"/>
        <v>0</v>
      </c>
      <c r="AI115" s="6">
        <f t="shared" si="50"/>
        <v>0.20574749413521007</v>
      </c>
    </row>
    <row r="116" spans="1:35" x14ac:dyDescent="0.2">
      <c r="A116">
        <v>252830</v>
      </c>
      <c r="B116" t="s">
        <v>123</v>
      </c>
      <c r="C116" t="s">
        <v>156</v>
      </c>
      <c r="D116" t="s">
        <v>146</v>
      </c>
      <c r="E116" s="4">
        <v>5</v>
      </c>
      <c r="F116" s="5" t="s">
        <v>536</v>
      </c>
      <c r="G116" s="5"/>
      <c r="H116" s="8">
        <v>18338</v>
      </c>
      <c r="I116" s="8">
        <v>9973</v>
      </c>
      <c r="J116" s="8">
        <v>7459</v>
      </c>
      <c r="K116" s="5">
        <f>834+72</f>
        <v>906</v>
      </c>
      <c r="L116" s="5">
        <f t="shared" si="39"/>
        <v>18338</v>
      </c>
      <c r="M116" s="5">
        <f t="shared" si="40"/>
        <v>0</v>
      </c>
      <c r="N116" s="6">
        <f t="shared" si="48"/>
        <v>0.13709237648598538</v>
      </c>
      <c r="O116" s="4">
        <v>17</v>
      </c>
      <c r="P116" s="5"/>
      <c r="Q116" s="8">
        <v>22149</v>
      </c>
      <c r="R116" s="8">
        <v>15338</v>
      </c>
      <c r="S116" s="8">
        <v>6354</v>
      </c>
      <c r="T116" s="8">
        <v>7</v>
      </c>
      <c r="U116" s="8">
        <v>450</v>
      </c>
      <c r="V116" s="5">
        <f t="shared" si="42"/>
        <v>22149</v>
      </c>
      <c r="W116" s="5">
        <f t="shared" si="43"/>
        <v>0</v>
      </c>
      <c r="X116" s="6">
        <f t="shared" si="49"/>
        <v>0.40561650638855029</v>
      </c>
      <c r="Y116" s="4">
        <v>12</v>
      </c>
      <c r="Z116" s="5"/>
      <c r="AA116" s="5"/>
      <c r="AB116" s="8">
        <v>26117</v>
      </c>
      <c r="AC116" s="8">
        <v>19127</v>
      </c>
      <c r="AD116" s="8">
        <v>6561</v>
      </c>
      <c r="AE116" s="8"/>
      <c r="AF116" s="8">
        <v>429</v>
      </c>
      <c r="AG116" s="5">
        <f t="shared" si="45"/>
        <v>26117</v>
      </c>
      <c r="AH116" s="5">
        <f t="shared" si="46"/>
        <v>0</v>
      </c>
      <c r="AI116" s="6">
        <f t="shared" si="50"/>
        <v>0.48114255082896196</v>
      </c>
    </row>
    <row r="117" spans="1:35" x14ac:dyDescent="0.2">
      <c r="A117">
        <v>253920</v>
      </c>
      <c r="B117" t="s">
        <v>123</v>
      </c>
      <c r="C117" t="s">
        <v>157</v>
      </c>
      <c r="D117" t="s">
        <v>146</v>
      </c>
      <c r="E117" s="4">
        <v>5</v>
      </c>
      <c r="F117" s="5" t="s">
        <v>537</v>
      </c>
      <c r="G117" s="5"/>
      <c r="H117" s="8">
        <v>27331</v>
      </c>
      <c r="I117" s="8">
        <v>6894</v>
      </c>
      <c r="J117" s="8">
        <v>19370</v>
      </c>
      <c r="K117" s="5">
        <f>984+83</f>
        <v>1067</v>
      </c>
      <c r="L117" s="5">
        <f t="shared" si="39"/>
        <v>27331</v>
      </c>
      <c r="M117" s="5">
        <f t="shared" si="40"/>
        <v>0</v>
      </c>
      <c r="N117" s="6">
        <f t="shared" si="48"/>
        <v>-0.45647799202370937</v>
      </c>
      <c r="O117" s="4">
        <v>17</v>
      </c>
      <c r="P117" s="5"/>
      <c r="Q117" s="8">
        <v>28537</v>
      </c>
      <c r="R117" s="8">
        <v>9644</v>
      </c>
      <c r="S117" s="8">
        <v>18321</v>
      </c>
      <c r="T117" s="8">
        <v>10</v>
      </c>
      <c r="U117" s="8">
        <v>562</v>
      </c>
      <c r="V117" s="5">
        <f t="shared" si="42"/>
        <v>28537</v>
      </c>
      <c r="W117" s="5">
        <f t="shared" si="43"/>
        <v>0</v>
      </c>
      <c r="X117" s="6">
        <f t="shared" si="49"/>
        <v>-0.30406139397974558</v>
      </c>
      <c r="Y117" s="4">
        <v>12</v>
      </c>
      <c r="Z117" s="5"/>
      <c r="AA117" s="5"/>
      <c r="AB117" s="8">
        <v>29219</v>
      </c>
      <c r="AC117" s="8">
        <v>10130</v>
      </c>
      <c r="AD117" s="8">
        <v>18193</v>
      </c>
      <c r="AE117" s="8"/>
      <c r="AF117" s="8">
        <v>896</v>
      </c>
      <c r="AG117" s="5">
        <f t="shared" si="45"/>
        <v>29219</v>
      </c>
      <c r="AH117" s="5">
        <f t="shared" si="46"/>
        <v>0</v>
      </c>
      <c r="AI117" s="6">
        <f t="shared" si="50"/>
        <v>-0.27595058010198842</v>
      </c>
    </row>
    <row r="118" spans="1:35" s="2" customFormat="1" x14ac:dyDescent="0.2">
      <c r="A118" s="2">
        <v>25017200</v>
      </c>
      <c r="B118" s="2" t="s">
        <v>123</v>
      </c>
      <c r="C118" s="2" t="s">
        <v>158</v>
      </c>
      <c r="D118" s="2" t="s">
        <v>146</v>
      </c>
      <c r="E118" s="7">
        <v>5</v>
      </c>
      <c r="F118" s="8" t="s">
        <v>515</v>
      </c>
      <c r="G118" s="5"/>
      <c r="H118" s="8">
        <v>2913</v>
      </c>
      <c r="I118" s="8">
        <v>1529</v>
      </c>
      <c r="J118" s="8">
        <v>1290</v>
      </c>
      <c r="K118" s="8">
        <f>91+3</f>
        <v>94</v>
      </c>
      <c r="L118" s="5">
        <f t="shared" si="39"/>
        <v>2913</v>
      </c>
      <c r="M118" s="5">
        <f t="shared" si="40"/>
        <v>0</v>
      </c>
      <c r="N118" s="9">
        <f t="shared" si="48"/>
        <v>8.2046000686577414E-2</v>
      </c>
      <c r="O118" s="7">
        <v>26</v>
      </c>
      <c r="P118" s="8">
        <v>1</v>
      </c>
      <c r="Q118" s="8">
        <v>296983</v>
      </c>
      <c r="R118" s="8">
        <v>151720</v>
      </c>
      <c r="S118" s="8">
        <v>135021</v>
      </c>
      <c r="T118" s="8">
        <v>191</v>
      </c>
      <c r="U118" s="8">
        <v>10051</v>
      </c>
      <c r="V118" s="5">
        <f t="shared" si="42"/>
        <v>296983</v>
      </c>
      <c r="W118" s="5">
        <f t="shared" si="43"/>
        <v>0</v>
      </c>
      <c r="X118" s="9">
        <f t="shared" si="49"/>
        <v>5.6228807709532196E-2</v>
      </c>
      <c r="Y118" s="7">
        <v>22</v>
      </c>
      <c r="Z118" s="8"/>
      <c r="AA118" s="8">
        <v>1</v>
      </c>
      <c r="AB118" s="8">
        <v>5012</v>
      </c>
      <c r="AC118" s="8">
        <v>3797</v>
      </c>
      <c r="AD118" s="8">
        <v>1107</v>
      </c>
      <c r="AE118" s="8"/>
      <c r="AF118" s="8">
        <v>108</v>
      </c>
      <c r="AG118" s="5">
        <f t="shared" si="45"/>
        <v>5012</v>
      </c>
      <c r="AH118" s="5">
        <f t="shared" si="46"/>
        <v>0</v>
      </c>
      <c r="AI118" s="9">
        <f t="shared" si="50"/>
        <v>0.53671189146049481</v>
      </c>
    </row>
    <row r="119" spans="1:35" s="2" customFormat="1" x14ac:dyDescent="0.2">
      <c r="A119" s="2">
        <v>25017215</v>
      </c>
      <c r="B119" s="2" t="s">
        <v>123</v>
      </c>
      <c r="C119" s="2" t="s">
        <v>159</v>
      </c>
      <c r="D119" s="2" t="s">
        <v>146</v>
      </c>
      <c r="E119" s="7">
        <v>5</v>
      </c>
      <c r="F119" s="8" t="s">
        <v>516</v>
      </c>
      <c r="G119" s="5"/>
      <c r="H119" s="8">
        <v>871</v>
      </c>
      <c r="I119" s="8">
        <v>474</v>
      </c>
      <c r="J119" s="8">
        <v>248</v>
      </c>
      <c r="K119" s="8">
        <f>50+99</f>
        <v>149</v>
      </c>
      <c r="L119" s="5">
        <f t="shared" si="39"/>
        <v>871</v>
      </c>
      <c r="M119" s="5">
        <f t="shared" si="40"/>
        <v>0</v>
      </c>
      <c r="N119" s="9">
        <f t="shared" si="48"/>
        <v>0.25947187141216993</v>
      </c>
      <c r="O119" s="7">
        <v>26</v>
      </c>
      <c r="P119" s="8">
        <v>1</v>
      </c>
      <c r="Q119" s="8">
        <v>296983</v>
      </c>
      <c r="R119" s="8">
        <v>151720</v>
      </c>
      <c r="S119" s="8">
        <v>135021</v>
      </c>
      <c r="T119" s="8">
        <v>191</v>
      </c>
      <c r="U119" s="8">
        <v>10051</v>
      </c>
      <c r="V119" s="5">
        <f t="shared" si="42"/>
        <v>296983</v>
      </c>
      <c r="W119" s="5">
        <f t="shared" si="43"/>
        <v>0</v>
      </c>
      <c r="X119" s="9">
        <f t="shared" si="49"/>
        <v>5.6228807709532196E-2</v>
      </c>
      <c r="Y119" s="7">
        <v>28</v>
      </c>
      <c r="Z119" s="8"/>
      <c r="AA119" s="8"/>
      <c r="AB119" s="8">
        <v>366946</v>
      </c>
      <c r="AC119" s="8">
        <v>211890</v>
      </c>
      <c r="AD119" s="8">
        <v>140145</v>
      </c>
      <c r="AE119" s="8"/>
      <c r="AF119" s="8">
        <v>14911</v>
      </c>
      <c r="AG119" s="5">
        <f t="shared" si="45"/>
        <v>366946</v>
      </c>
      <c r="AH119" s="5">
        <f t="shared" si="46"/>
        <v>0</v>
      </c>
      <c r="AI119" s="9">
        <f t="shared" si="50"/>
        <v>0.19551923171256808</v>
      </c>
    </row>
    <row r="120" spans="1:35" x14ac:dyDescent="0.2">
      <c r="A120" s="2">
        <v>254440</v>
      </c>
      <c r="B120" t="s">
        <v>123</v>
      </c>
      <c r="C120" t="s">
        <v>160</v>
      </c>
      <c r="D120" t="s">
        <v>146</v>
      </c>
      <c r="E120" s="4">
        <v>5</v>
      </c>
      <c r="F120" s="5" t="s">
        <v>538</v>
      </c>
      <c r="G120" s="5"/>
      <c r="H120" s="8">
        <v>9404</v>
      </c>
      <c r="I120" s="8">
        <v>3201</v>
      </c>
      <c r="J120" s="8">
        <v>5966</v>
      </c>
      <c r="K120" s="5">
        <f>219+18</f>
        <v>237</v>
      </c>
      <c r="L120" s="5">
        <f t="shared" si="39"/>
        <v>9404</v>
      </c>
      <c r="M120" s="5">
        <f t="shared" si="40"/>
        <v>0</v>
      </c>
      <c r="N120" s="6">
        <f t="shared" si="48"/>
        <v>-0.29402381965121227</v>
      </c>
      <c r="O120" s="4">
        <v>17</v>
      </c>
      <c r="P120" s="5"/>
      <c r="Q120" s="8">
        <v>296983</v>
      </c>
      <c r="R120" s="8">
        <v>151720</v>
      </c>
      <c r="S120" s="8">
        <v>135021</v>
      </c>
      <c r="T120" s="8">
        <v>191</v>
      </c>
      <c r="U120" s="8">
        <v>10051</v>
      </c>
      <c r="V120" s="5">
        <f t="shared" si="42"/>
        <v>296983</v>
      </c>
      <c r="W120" s="5">
        <f t="shared" si="43"/>
        <v>0</v>
      </c>
      <c r="X120" s="6">
        <f t="shared" si="49"/>
        <v>5.6228807709532196E-2</v>
      </c>
      <c r="Y120" s="4">
        <v>12</v>
      </c>
      <c r="Z120" s="5"/>
      <c r="AA120" s="5"/>
      <c r="AB120" s="8">
        <v>15041</v>
      </c>
      <c r="AC120" s="8">
        <v>8117</v>
      </c>
      <c r="AD120" s="8">
        <v>6616</v>
      </c>
      <c r="AE120" s="8"/>
      <c r="AF120" s="8">
        <v>308</v>
      </c>
      <c r="AG120" s="5">
        <f t="shared" si="45"/>
        <v>15041</v>
      </c>
      <c r="AH120" s="5">
        <f t="shared" si="46"/>
        <v>0</v>
      </c>
      <c r="AI120" s="6">
        <f t="shared" si="50"/>
        <v>9.9793896682401434E-2</v>
      </c>
    </row>
    <row r="121" spans="1:35" s="2" customFormat="1" x14ac:dyDescent="0.2">
      <c r="A121" s="2">
        <v>25021020</v>
      </c>
      <c r="B121" s="2" t="s">
        <v>123</v>
      </c>
      <c r="C121" s="2" t="s">
        <v>161</v>
      </c>
      <c r="D121" s="2" t="s">
        <v>162</v>
      </c>
      <c r="E121" s="7">
        <v>5</v>
      </c>
      <c r="F121" s="8" t="s">
        <v>517</v>
      </c>
      <c r="G121" s="5"/>
      <c r="H121" s="8">
        <v>13724</v>
      </c>
      <c r="I121" s="8">
        <v>3814</v>
      </c>
      <c r="J121" s="8">
        <v>8928</v>
      </c>
      <c r="K121" s="8">
        <f>950+32</f>
        <v>982</v>
      </c>
      <c r="L121" s="5">
        <f t="shared" si="39"/>
        <v>13724</v>
      </c>
      <c r="M121" s="5">
        <f t="shared" si="40"/>
        <v>0</v>
      </c>
      <c r="N121" s="9">
        <f t="shared" si="48"/>
        <v>-0.37263188574759543</v>
      </c>
      <c r="O121" s="7">
        <v>26</v>
      </c>
      <c r="P121" s="8">
        <v>1</v>
      </c>
      <c r="Q121" s="8">
        <v>112258</v>
      </c>
      <c r="R121" s="8">
        <v>69424</v>
      </c>
      <c r="S121" s="8">
        <v>37565</v>
      </c>
      <c r="T121" s="8">
        <v>71</v>
      </c>
      <c r="U121" s="8">
        <v>5198</v>
      </c>
      <c r="V121" s="5">
        <f t="shared" si="42"/>
        <v>112258</v>
      </c>
      <c r="W121" s="5">
        <f t="shared" si="43"/>
        <v>0</v>
      </c>
      <c r="X121" s="9">
        <f t="shared" si="49"/>
        <v>0.28380159988597692</v>
      </c>
      <c r="Y121" s="7">
        <v>12</v>
      </c>
      <c r="Z121" s="8"/>
      <c r="AA121" s="8"/>
      <c r="AB121" s="8">
        <v>19646</v>
      </c>
      <c r="AC121" s="8">
        <v>6187</v>
      </c>
      <c r="AD121" s="8">
        <v>12757</v>
      </c>
      <c r="AE121" s="8"/>
      <c r="AF121" s="8">
        <v>702</v>
      </c>
      <c r="AG121" s="5">
        <f t="shared" si="45"/>
        <v>19646</v>
      </c>
      <c r="AH121" s="5">
        <f t="shared" si="46"/>
        <v>0</v>
      </c>
      <c r="AI121" s="9">
        <f t="shared" si="50"/>
        <v>-0.33441922019749565</v>
      </c>
    </row>
    <row r="122" spans="1:35" s="2" customFormat="1" x14ac:dyDescent="0.2">
      <c r="A122" s="2">
        <v>25021075</v>
      </c>
      <c r="B122" s="2" t="s">
        <v>123</v>
      </c>
      <c r="C122" s="2" t="s">
        <v>163</v>
      </c>
      <c r="D122" s="2" t="s">
        <v>162</v>
      </c>
      <c r="E122" s="7">
        <v>5</v>
      </c>
      <c r="F122" s="8" t="s">
        <v>518</v>
      </c>
      <c r="G122" s="5"/>
      <c r="H122" s="8">
        <v>5048</v>
      </c>
      <c r="I122" s="8">
        <v>3413</v>
      </c>
      <c r="J122" s="8">
        <v>1475</v>
      </c>
      <c r="K122" s="8">
        <f>144+16</f>
        <v>160</v>
      </c>
      <c r="L122" s="5">
        <f t="shared" si="39"/>
        <v>5048</v>
      </c>
      <c r="M122" s="5">
        <f t="shared" si="40"/>
        <v>0</v>
      </c>
      <c r="N122" s="9">
        <f t="shared" si="48"/>
        <v>0.38391442155309036</v>
      </c>
      <c r="O122" s="7">
        <v>26</v>
      </c>
      <c r="P122" s="8">
        <v>1</v>
      </c>
      <c r="Q122" s="8">
        <v>112258</v>
      </c>
      <c r="R122" s="8">
        <v>69424</v>
      </c>
      <c r="S122" s="8">
        <v>37565</v>
      </c>
      <c r="T122" s="8">
        <v>71</v>
      </c>
      <c r="U122" s="8">
        <v>5198</v>
      </c>
      <c r="V122" s="5">
        <f t="shared" si="42"/>
        <v>112258</v>
      </c>
      <c r="W122" s="5">
        <f t="shared" si="43"/>
        <v>0</v>
      </c>
      <c r="X122" s="9">
        <f t="shared" si="49"/>
        <v>0.28380159988597692</v>
      </c>
      <c r="Y122" s="7">
        <v>18</v>
      </c>
      <c r="Z122" s="8"/>
      <c r="AA122" s="8"/>
      <c r="AB122" s="8">
        <v>7531</v>
      </c>
      <c r="AC122" s="8">
        <v>6389</v>
      </c>
      <c r="AD122" s="8">
        <v>1007</v>
      </c>
      <c r="AE122" s="8"/>
      <c r="AF122" s="8">
        <v>135</v>
      </c>
      <c r="AG122" s="5">
        <f t="shared" si="45"/>
        <v>7531</v>
      </c>
      <c r="AH122" s="5">
        <f t="shared" si="46"/>
        <v>0</v>
      </c>
      <c r="AI122" s="9">
        <f t="shared" si="50"/>
        <v>0.71464612933209404</v>
      </c>
    </row>
    <row r="123" spans="1:35" s="2" customFormat="1" x14ac:dyDescent="0.2">
      <c r="A123" s="2">
        <v>25021090</v>
      </c>
      <c r="B123" s="2" t="s">
        <v>123</v>
      </c>
      <c r="C123" s="2" t="s">
        <v>164</v>
      </c>
      <c r="D123" s="2" t="s">
        <v>162</v>
      </c>
      <c r="E123" s="7">
        <v>5</v>
      </c>
      <c r="F123" s="8" t="s">
        <v>519</v>
      </c>
      <c r="G123" s="5"/>
      <c r="H123" s="8">
        <v>3948</v>
      </c>
      <c r="I123" s="8">
        <v>1974</v>
      </c>
      <c r="J123" s="8">
        <v>1872</v>
      </c>
      <c r="K123" s="8">
        <f>96+6</f>
        <v>102</v>
      </c>
      <c r="L123" s="5">
        <f t="shared" ref="L123:L139" si="51">I123+J123+K123</f>
        <v>3948</v>
      </c>
      <c r="M123" s="5">
        <f t="shared" ref="M123:M139" si="52">L123-H123</f>
        <v>0</v>
      </c>
      <c r="N123" s="9">
        <f t="shared" si="48"/>
        <v>2.5835866261398176E-2</v>
      </c>
      <c r="O123" s="7">
        <v>26</v>
      </c>
      <c r="P123" s="8">
        <v>1</v>
      </c>
      <c r="Q123" s="8">
        <v>112258</v>
      </c>
      <c r="R123" s="8">
        <v>69424</v>
      </c>
      <c r="S123" s="8">
        <v>37565</v>
      </c>
      <c r="T123" s="8">
        <v>71</v>
      </c>
      <c r="U123" s="8">
        <v>5198</v>
      </c>
      <c r="V123" s="5">
        <f t="shared" ref="V123:V139" si="53">R123+S123+T123+U123</f>
        <v>112258</v>
      </c>
      <c r="W123" s="5">
        <f t="shared" ref="W123:W139" si="54">V123-Q123</f>
        <v>0</v>
      </c>
      <c r="X123" s="9">
        <f t="shared" si="49"/>
        <v>0.28380159988597692</v>
      </c>
      <c r="Y123" s="7">
        <v>22</v>
      </c>
      <c r="Z123" s="8"/>
      <c r="AA123" s="8"/>
      <c r="AB123" s="8">
        <v>6991</v>
      </c>
      <c r="AC123" s="8">
        <v>4929</v>
      </c>
      <c r="AD123" s="8">
        <v>1886</v>
      </c>
      <c r="AE123" s="8"/>
      <c r="AF123" s="8">
        <v>176</v>
      </c>
      <c r="AG123" s="5">
        <f t="shared" ref="AG123:AG139" si="55">AC123+AD123+AE123+AF123</f>
        <v>6991</v>
      </c>
      <c r="AH123" s="5">
        <f t="shared" ref="AH123:AH139" si="56">AG123-AB123</f>
        <v>0</v>
      </c>
      <c r="AI123" s="9">
        <f t="shared" si="50"/>
        <v>0.43527392361607781</v>
      </c>
    </row>
    <row r="124" spans="1:35" x14ac:dyDescent="0.2">
      <c r="A124">
        <v>253460</v>
      </c>
      <c r="B124" t="s">
        <v>123</v>
      </c>
      <c r="C124" t="s">
        <v>64</v>
      </c>
      <c r="D124" t="s">
        <v>162</v>
      </c>
      <c r="E124" s="4">
        <v>5</v>
      </c>
      <c r="F124" s="5" t="s">
        <v>539</v>
      </c>
      <c r="G124" s="5"/>
      <c r="H124" s="8">
        <v>21804</v>
      </c>
      <c r="I124" s="8">
        <v>9100</v>
      </c>
      <c r="J124" s="8">
        <v>11267</v>
      </c>
      <c r="K124" s="5">
        <f>1094+343</f>
        <v>1437</v>
      </c>
      <c r="L124" s="5">
        <f t="shared" si="51"/>
        <v>21804</v>
      </c>
      <c r="M124" s="5">
        <f t="shared" si="52"/>
        <v>0</v>
      </c>
      <c r="N124" s="6">
        <f t="shared" si="48"/>
        <v>-9.9385433865345804E-2</v>
      </c>
      <c r="O124" s="4">
        <v>17</v>
      </c>
      <c r="P124" s="5"/>
      <c r="Q124" s="8">
        <v>24945</v>
      </c>
      <c r="R124" s="8">
        <v>13906</v>
      </c>
      <c r="S124" s="8">
        <v>9919</v>
      </c>
      <c r="T124" s="8">
        <v>15</v>
      </c>
      <c r="U124" s="8">
        <v>1105</v>
      </c>
      <c r="V124" s="5">
        <f t="shared" si="53"/>
        <v>24945</v>
      </c>
      <c r="W124" s="5">
        <f t="shared" si="54"/>
        <v>0</v>
      </c>
      <c r="X124" s="6">
        <f t="shared" si="49"/>
        <v>0.1598316295850872</v>
      </c>
      <c r="Y124" s="4">
        <v>12</v>
      </c>
      <c r="Z124" s="5"/>
      <c r="AA124" s="5"/>
      <c r="AB124" s="8">
        <v>27359</v>
      </c>
      <c r="AC124" s="8">
        <v>15944</v>
      </c>
      <c r="AD124" s="8">
        <v>10524</v>
      </c>
      <c r="AE124" s="8"/>
      <c r="AF124" s="8">
        <v>891</v>
      </c>
      <c r="AG124" s="5">
        <f t="shared" si="55"/>
        <v>27359</v>
      </c>
      <c r="AH124" s="5">
        <f t="shared" si="56"/>
        <v>0</v>
      </c>
      <c r="AI124" s="6">
        <f t="shared" si="50"/>
        <v>0.19810665594502724</v>
      </c>
    </row>
    <row r="125" spans="1:35" s="2" customFormat="1" x14ac:dyDescent="0.2">
      <c r="A125" s="2">
        <v>25021135</v>
      </c>
      <c r="B125" s="2" t="s">
        <v>123</v>
      </c>
      <c r="C125" s="2" t="s">
        <v>165</v>
      </c>
      <c r="D125" s="2" t="s">
        <v>162</v>
      </c>
      <c r="E125" s="7">
        <v>5</v>
      </c>
      <c r="F125" s="8" t="s">
        <v>520</v>
      </c>
      <c r="G125" s="5"/>
      <c r="H125" s="8">
        <v>7294</v>
      </c>
      <c r="I125" s="8">
        <v>4010</v>
      </c>
      <c r="J125" s="8">
        <v>2453</v>
      </c>
      <c r="K125" s="8">
        <f>508+323</f>
        <v>831</v>
      </c>
      <c r="L125" s="5">
        <f t="shared" si="51"/>
        <v>7294</v>
      </c>
      <c r="M125" s="5">
        <f t="shared" si="52"/>
        <v>0</v>
      </c>
      <c r="N125" s="9">
        <f t="shared" si="48"/>
        <v>0.21346312037290924</v>
      </c>
      <c r="O125" s="7">
        <v>26</v>
      </c>
      <c r="P125" s="8">
        <v>1</v>
      </c>
      <c r="Q125" s="8">
        <v>112258</v>
      </c>
      <c r="R125" s="8">
        <v>69424</v>
      </c>
      <c r="S125" s="8">
        <v>37565</v>
      </c>
      <c r="T125" s="8">
        <v>71</v>
      </c>
      <c r="U125" s="8">
        <v>5198</v>
      </c>
      <c r="V125" s="5">
        <f t="shared" si="53"/>
        <v>112258</v>
      </c>
      <c r="W125" s="5">
        <f t="shared" si="54"/>
        <v>0</v>
      </c>
      <c r="X125" s="9">
        <f t="shared" si="49"/>
        <v>0.28380159988597692</v>
      </c>
      <c r="Y125" s="7">
        <v>18</v>
      </c>
      <c r="Z125" s="8"/>
      <c r="AA125" s="8"/>
      <c r="AB125" s="8">
        <v>13398</v>
      </c>
      <c r="AC125" s="8">
        <v>10720</v>
      </c>
      <c r="AD125" s="8">
        <v>2190</v>
      </c>
      <c r="AE125" s="8"/>
      <c r="AF125" s="8">
        <v>488</v>
      </c>
      <c r="AG125" s="5">
        <f t="shared" si="55"/>
        <v>13398</v>
      </c>
      <c r="AH125" s="5">
        <f t="shared" si="56"/>
        <v>0</v>
      </c>
      <c r="AI125" s="9">
        <f t="shared" si="50"/>
        <v>0.63666218838632627</v>
      </c>
    </row>
    <row r="126" spans="1:35" x14ac:dyDescent="0.2">
      <c r="A126">
        <v>250540</v>
      </c>
      <c r="B126" t="s">
        <v>123</v>
      </c>
      <c r="C126" t="s">
        <v>166</v>
      </c>
      <c r="D126" t="s">
        <v>167</v>
      </c>
      <c r="E126" s="4">
        <v>5</v>
      </c>
      <c r="F126" s="5" t="s">
        <v>166</v>
      </c>
      <c r="G126" s="5"/>
      <c r="H126" s="8">
        <v>18957</v>
      </c>
      <c r="I126" s="8">
        <v>6829</v>
      </c>
      <c r="J126" s="8">
        <v>11308</v>
      </c>
      <c r="K126" s="5">
        <f>781+39</f>
        <v>820</v>
      </c>
      <c r="L126" s="5">
        <f t="shared" si="51"/>
        <v>18957</v>
      </c>
      <c r="M126" s="5">
        <f t="shared" si="52"/>
        <v>0</v>
      </c>
      <c r="N126" s="6">
        <f t="shared" si="48"/>
        <v>-0.23627156195600571</v>
      </c>
      <c r="O126" s="4">
        <v>17</v>
      </c>
      <c r="P126" s="5"/>
      <c r="Q126" s="8">
        <v>19604</v>
      </c>
      <c r="R126" s="8">
        <v>9067</v>
      </c>
      <c r="S126" s="8">
        <v>10057</v>
      </c>
      <c r="T126" s="8">
        <v>11</v>
      </c>
      <c r="U126" s="8">
        <v>469</v>
      </c>
      <c r="V126" s="5">
        <f t="shared" si="53"/>
        <v>19604</v>
      </c>
      <c r="W126" s="5">
        <f t="shared" si="54"/>
        <v>0</v>
      </c>
      <c r="X126" s="6">
        <f t="shared" si="49"/>
        <v>-5.049989798000408E-2</v>
      </c>
      <c r="Y126" s="4">
        <v>12</v>
      </c>
      <c r="Z126" s="5"/>
      <c r="AA126" s="5"/>
      <c r="AB126" s="8">
        <v>24090</v>
      </c>
      <c r="AC126" s="8">
        <v>12427</v>
      </c>
      <c r="AD126" s="8">
        <v>10450</v>
      </c>
      <c r="AE126" s="8"/>
      <c r="AF126" s="8">
        <v>1213</v>
      </c>
      <c r="AG126" s="5">
        <f t="shared" si="55"/>
        <v>24090</v>
      </c>
      <c r="AH126" s="5">
        <f t="shared" si="56"/>
        <v>0</v>
      </c>
      <c r="AI126" s="6">
        <f t="shared" si="50"/>
        <v>8.2067247820672484E-2</v>
      </c>
    </row>
    <row r="127" spans="1:35" x14ac:dyDescent="0.2">
      <c r="A127">
        <v>253400</v>
      </c>
      <c r="B127" t="s">
        <v>123</v>
      </c>
      <c r="C127" t="s">
        <v>167</v>
      </c>
      <c r="D127" t="s">
        <v>167</v>
      </c>
      <c r="E127" s="4">
        <v>5</v>
      </c>
      <c r="F127" s="5" t="s">
        <v>543</v>
      </c>
      <c r="G127" s="5"/>
      <c r="H127" s="8">
        <v>5247</v>
      </c>
      <c r="I127" s="8">
        <v>1621</v>
      </c>
      <c r="J127" s="8">
        <v>2220</v>
      </c>
      <c r="K127" s="5">
        <f>306+1100</f>
        <v>1406</v>
      </c>
      <c r="L127" s="5">
        <f t="shared" si="51"/>
        <v>5247</v>
      </c>
      <c r="M127" s="5">
        <f t="shared" si="52"/>
        <v>0</v>
      </c>
      <c r="N127" s="6">
        <f t="shared" si="48"/>
        <v>-0.11416047265103869</v>
      </c>
      <c r="O127" s="4">
        <v>17</v>
      </c>
      <c r="P127" s="5"/>
      <c r="Q127" s="8">
        <v>3565</v>
      </c>
      <c r="R127" s="8">
        <v>1518</v>
      </c>
      <c r="S127" s="8">
        <v>1908</v>
      </c>
      <c r="T127" s="8">
        <v>6</v>
      </c>
      <c r="U127" s="8">
        <v>133</v>
      </c>
      <c r="V127" s="5">
        <f t="shared" si="53"/>
        <v>3565</v>
      </c>
      <c r="W127" s="5">
        <f t="shared" si="54"/>
        <v>0</v>
      </c>
      <c r="X127" s="6">
        <f t="shared" si="49"/>
        <v>-0.1093969144460028</v>
      </c>
      <c r="Y127" s="4">
        <v>25</v>
      </c>
      <c r="Z127" s="5"/>
      <c r="AA127" s="5"/>
      <c r="AB127" s="8">
        <v>2397</v>
      </c>
      <c r="AC127" s="8">
        <v>1187</v>
      </c>
      <c r="AD127" s="8">
        <v>1057</v>
      </c>
      <c r="AE127" s="8"/>
      <c r="AF127" s="8">
        <f>87+66</f>
        <v>153</v>
      </c>
      <c r="AG127" s="5">
        <f t="shared" si="55"/>
        <v>2397</v>
      </c>
      <c r="AH127" s="5">
        <f t="shared" si="56"/>
        <v>0</v>
      </c>
      <c r="AI127" s="6">
        <f t="shared" si="50"/>
        <v>5.4234459741343347E-2</v>
      </c>
    </row>
    <row r="128" spans="1:35" s="2" customFormat="1" x14ac:dyDescent="0.2">
      <c r="A128" s="2">
        <v>25023105</v>
      </c>
      <c r="B128" s="2" t="s">
        <v>123</v>
      </c>
      <c r="C128" s="2" t="s">
        <v>168</v>
      </c>
      <c r="D128" s="2" t="s">
        <v>167</v>
      </c>
      <c r="E128" s="7">
        <v>5</v>
      </c>
      <c r="F128" s="8" t="s">
        <v>544</v>
      </c>
      <c r="G128" s="5"/>
      <c r="H128" s="8">
        <v>214</v>
      </c>
      <c r="I128" s="8">
        <v>124</v>
      </c>
      <c r="J128" s="8">
        <v>43</v>
      </c>
      <c r="K128" s="8">
        <f>16+31</f>
        <v>47</v>
      </c>
      <c r="L128" s="5">
        <f t="shared" si="51"/>
        <v>214</v>
      </c>
      <c r="M128" s="5">
        <f t="shared" si="52"/>
        <v>0</v>
      </c>
      <c r="N128" s="9">
        <f t="shared" si="48"/>
        <v>0.37850467289719625</v>
      </c>
      <c r="O128" s="7">
        <v>26</v>
      </c>
      <c r="P128" s="8">
        <v>1</v>
      </c>
      <c r="Q128" s="8">
        <v>73933</v>
      </c>
      <c r="R128" s="8">
        <v>35023</v>
      </c>
      <c r="S128" s="8">
        <v>20937</v>
      </c>
      <c r="T128" s="8">
        <v>129</v>
      </c>
      <c r="U128" s="8">
        <v>17844</v>
      </c>
      <c r="V128" s="5">
        <f t="shared" si="53"/>
        <v>73933</v>
      </c>
      <c r="W128" s="5">
        <f t="shared" si="54"/>
        <v>0</v>
      </c>
      <c r="X128" s="9">
        <f t="shared" si="49"/>
        <v>0.19052385267742417</v>
      </c>
      <c r="Y128" s="7">
        <v>28</v>
      </c>
      <c r="Z128" s="8"/>
      <c r="AA128" s="8">
        <v>1</v>
      </c>
      <c r="AB128" s="8">
        <v>95684</v>
      </c>
      <c r="AC128" s="8">
        <v>51543</v>
      </c>
      <c r="AD128" s="8">
        <v>21487</v>
      </c>
      <c r="AE128" s="8"/>
      <c r="AF128" s="8">
        <v>22654</v>
      </c>
      <c r="AG128" s="5">
        <f t="shared" si="55"/>
        <v>95684</v>
      </c>
      <c r="AH128" s="5">
        <f t="shared" si="56"/>
        <v>0</v>
      </c>
      <c r="AI128" s="9">
        <f t="shared" si="50"/>
        <v>0.31411730278834499</v>
      </c>
    </row>
    <row r="129" spans="1:35" s="2" customFormat="1" x14ac:dyDescent="0.2">
      <c r="A129" s="2">
        <v>25023110</v>
      </c>
      <c r="B129" s="2" t="s">
        <v>123</v>
      </c>
      <c r="C129" s="2" t="s">
        <v>169</v>
      </c>
      <c r="D129" s="2" t="s">
        <v>167</v>
      </c>
      <c r="E129" s="7">
        <v>5</v>
      </c>
      <c r="F129" s="8" t="s">
        <v>545</v>
      </c>
      <c r="G129" s="5"/>
      <c r="H129" s="8">
        <v>445</v>
      </c>
      <c r="I129" s="8">
        <v>240</v>
      </c>
      <c r="J129" s="8">
        <v>132</v>
      </c>
      <c r="K129" s="8">
        <f>67+6</f>
        <v>73</v>
      </c>
      <c r="L129" s="5">
        <f t="shared" si="51"/>
        <v>445</v>
      </c>
      <c r="M129" s="5">
        <f t="shared" si="52"/>
        <v>0</v>
      </c>
      <c r="N129" s="9">
        <f t="shared" si="48"/>
        <v>0.24269662921348314</v>
      </c>
      <c r="O129" s="7">
        <v>26</v>
      </c>
      <c r="P129" s="8">
        <v>1</v>
      </c>
      <c r="Q129" s="8">
        <v>73933</v>
      </c>
      <c r="R129" s="8">
        <v>35023</v>
      </c>
      <c r="S129" s="8">
        <v>20937</v>
      </c>
      <c r="T129" s="8">
        <v>129</v>
      </c>
      <c r="U129" s="8">
        <v>17844</v>
      </c>
      <c r="V129" s="5">
        <f t="shared" si="53"/>
        <v>73933</v>
      </c>
      <c r="W129" s="5">
        <f t="shared" si="54"/>
        <v>0</v>
      </c>
      <c r="X129" s="9">
        <f t="shared" si="49"/>
        <v>0.19052385267742417</v>
      </c>
      <c r="Y129" s="7">
        <v>28</v>
      </c>
      <c r="Z129" s="8"/>
      <c r="AA129" s="8">
        <v>1</v>
      </c>
      <c r="AB129" s="8">
        <v>95684</v>
      </c>
      <c r="AC129" s="8">
        <v>51543</v>
      </c>
      <c r="AD129" s="8">
        <v>21487</v>
      </c>
      <c r="AE129" s="8"/>
      <c r="AF129" s="8">
        <v>22654</v>
      </c>
      <c r="AG129" s="5">
        <f t="shared" si="55"/>
        <v>95684</v>
      </c>
      <c r="AH129" s="5">
        <f t="shared" si="56"/>
        <v>0</v>
      </c>
      <c r="AI129" s="9">
        <f t="shared" si="50"/>
        <v>0.31411730278834499</v>
      </c>
    </row>
    <row r="130" spans="1:35" x14ac:dyDescent="0.2">
      <c r="A130">
        <v>25023125</v>
      </c>
      <c r="B130" t="s">
        <v>123</v>
      </c>
      <c r="C130" t="s">
        <v>170</v>
      </c>
      <c r="D130" t="s">
        <v>167</v>
      </c>
      <c r="E130" s="4">
        <v>5</v>
      </c>
      <c r="F130" s="5" t="s">
        <v>546</v>
      </c>
      <c r="G130" s="5"/>
      <c r="H130" s="8">
        <v>4412</v>
      </c>
      <c r="I130" s="8">
        <v>993</v>
      </c>
      <c r="J130" s="8">
        <v>832</v>
      </c>
      <c r="K130" s="5">
        <f>551+2036</f>
        <v>2587</v>
      </c>
      <c r="L130" s="5">
        <f t="shared" si="51"/>
        <v>4412</v>
      </c>
      <c r="M130" s="5">
        <f t="shared" si="52"/>
        <v>0</v>
      </c>
      <c r="N130" s="6">
        <f t="shared" si="48"/>
        <v>3.6491387126019945E-2</v>
      </c>
      <c r="O130" s="4">
        <v>25</v>
      </c>
      <c r="P130" s="5"/>
      <c r="Q130" s="8">
        <v>676</v>
      </c>
      <c r="R130" s="8">
        <v>268</v>
      </c>
      <c r="S130" s="8">
        <v>192</v>
      </c>
      <c r="T130" s="8">
        <v>12</v>
      </c>
      <c r="U130" s="8">
        <v>204</v>
      </c>
      <c r="V130" s="5">
        <f t="shared" si="53"/>
        <v>676</v>
      </c>
      <c r="W130" s="5">
        <f t="shared" si="54"/>
        <v>0</v>
      </c>
      <c r="X130" s="6">
        <f t="shared" si="49"/>
        <v>0.11242603550295859</v>
      </c>
      <c r="Y130" s="4">
        <v>28</v>
      </c>
      <c r="Z130" s="5"/>
      <c r="AA130" s="5">
        <v>1</v>
      </c>
      <c r="AB130" s="8">
        <v>95684</v>
      </c>
      <c r="AC130" s="8">
        <v>51543</v>
      </c>
      <c r="AD130" s="8">
        <v>21487</v>
      </c>
      <c r="AE130" s="8"/>
      <c r="AF130" s="8">
        <v>22654</v>
      </c>
      <c r="AG130" s="5">
        <f t="shared" si="55"/>
        <v>95684</v>
      </c>
      <c r="AH130" s="5">
        <f t="shared" si="56"/>
        <v>0</v>
      </c>
      <c r="AI130" s="6">
        <f t="shared" si="50"/>
        <v>0.31411730278834499</v>
      </c>
    </row>
    <row r="131" spans="1:35" x14ac:dyDescent="0.2">
      <c r="A131">
        <v>250440</v>
      </c>
      <c r="B131" t="s">
        <v>123</v>
      </c>
      <c r="C131" t="s">
        <v>171</v>
      </c>
      <c r="D131" t="s">
        <v>172</v>
      </c>
      <c r="E131" s="4">
        <v>5</v>
      </c>
      <c r="F131" s="5" t="s">
        <v>541</v>
      </c>
      <c r="G131" s="5"/>
      <c r="H131" s="8">
        <v>211514</v>
      </c>
      <c r="I131" s="8">
        <v>41236</v>
      </c>
      <c r="J131" s="8">
        <v>156157</v>
      </c>
      <c r="K131" s="5">
        <f>13705+416</f>
        <v>14121</v>
      </c>
      <c r="L131" s="5">
        <f t="shared" si="51"/>
        <v>211514</v>
      </c>
      <c r="M131" s="5">
        <f t="shared" si="52"/>
        <v>0</v>
      </c>
      <c r="N131" s="6">
        <f t="shared" si="48"/>
        <v>-0.54332573730344091</v>
      </c>
      <c r="O131" s="4">
        <v>17</v>
      </c>
      <c r="P131" s="5"/>
      <c r="Q131" s="8">
        <v>222079</v>
      </c>
      <c r="R131" s="8">
        <v>54266</v>
      </c>
      <c r="S131" s="8">
        <v>163837</v>
      </c>
      <c r="T131" s="8">
        <v>117</v>
      </c>
      <c r="U131" s="8">
        <v>3859</v>
      </c>
      <c r="V131" s="5">
        <f t="shared" si="53"/>
        <v>222079</v>
      </c>
      <c r="W131" s="5">
        <f t="shared" si="54"/>
        <v>0</v>
      </c>
      <c r="X131" s="6">
        <f t="shared" si="49"/>
        <v>-0.49338748823616824</v>
      </c>
      <c r="Y131" s="4">
        <v>12</v>
      </c>
      <c r="Z131" s="5"/>
      <c r="AA131" s="5"/>
      <c r="AB131" s="8">
        <v>238802</v>
      </c>
      <c r="AC131" s="8">
        <v>61291</v>
      </c>
      <c r="AD131" s="8">
        <v>163396</v>
      </c>
      <c r="AE131" s="8"/>
      <c r="AF131" s="8">
        <v>14115</v>
      </c>
      <c r="AG131" s="5">
        <f t="shared" si="55"/>
        <v>238802</v>
      </c>
      <c r="AH131" s="5">
        <f t="shared" si="56"/>
        <v>0</v>
      </c>
      <c r="AI131" s="6">
        <f t="shared" si="50"/>
        <v>-0.4275717958811065</v>
      </c>
    </row>
    <row r="132" spans="1:35" x14ac:dyDescent="0.2">
      <c r="A132">
        <v>250700</v>
      </c>
      <c r="B132" t="s">
        <v>123</v>
      </c>
      <c r="C132" t="s">
        <v>173</v>
      </c>
      <c r="D132" t="s">
        <v>172</v>
      </c>
      <c r="E132" s="4">
        <v>5</v>
      </c>
      <c r="F132" s="5" t="s">
        <v>173</v>
      </c>
      <c r="G132" s="5"/>
      <c r="H132" s="8">
        <v>10552</v>
      </c>
      <c r="I132" s="8">
        <v>2272</v>
      </c>
      <c r="J132" s="8">
        <v>7684</v>
      </c>
      <c r="K132" s="5">
        <f>586+10</f>
        <v>596</v>
      </c>
      <c r="L132" s="5">
        <f t="shared" si="51"/>
        <v>10552</v>
      </c>
      <c r="M132" s="5">
        <f t="shared" si="52"/>
        <v>0</v>
      </c>
      <c r="N132" s="6">
        <f t="shared" si="48"/>
        <v>-0.51288855193328275</v>
      </c>
      <c r="O132" s="4">
        <v>17</v>
      </c>
      <c r="P132" s="5"/>
      <c r="Q132" s="8">
        <v>10729</v>
      </c>
      <c r="R132" s="8">
        <v>2709</v>
      </c>
      <c r="S132" s="8">
        <v>7879</v>
      </c>
      <c r="T132" s="8">
        <v>7</v>
      </c>
      <c r="U132" s="8">
        <v>134</v>
      </c>
      <c r="V132" s="5">
        <f t="shared" si="53"/>
        <v>10729</v>
      </c>
      <c r="W132" s="5">
        <f t="shared" si="54"/>
        <v>0</v>
      </c>
      <c r="X132" s="6">
        <f t="shared" si="49"/>
        <v>-0.48187156305340667</v>
      </c>
      <c r="Y132" s="4">
        <v>18</v>
      </c>
      <c r="Z132" s="5"/>
      <c r="AA132" s="5"/>
      <c r="AB132" s="8">
        <v>10648</v>
      </c>
      <c r="AC132" s="8">
        <v>2880</v>
      </c>
      <c r="AD132" s="8">
        <v>7234</v>
      </c>
      <c r="AE132" s="8"/>
      <c r="AF132" s="8">
        <v>534</v>
      </c>
      <c r="AG132" s="5">
        <f t="shared" si="55"/>
        <v>10648</v>
      </c>
      <c r="AH132" s="5">
        <f t="shared" si="56"/>
        <v>0</v>
      </c>
      <c r="AI132" s="6">
        <f t="shared" si="50"/>
        <v>-0.40890308039068368</v>
      </c>
    </row>
    <row r="133" spans="1:35" x14ac:dyDescent="0.2">
      <c r="A133">
        <v>25025</v>
      </c>
      <c r="B133" t="s">
        <v>123</v>
      </c>
      <c r="C133" t="s">
        <v>174</v>
      </c>
      <c r="D133" t="s">
        <v>172</v>
      </c>
      <c r="E133" s="4">
        <v>5</v>
      </c>
      <c r="F133" s="5" t="s">
        <v>551</v>
      </c>
      <c r="G133" s="5">
        <v>1</v>
      </c>
      <c r="H133" s="8">
        <v>236340</v>
      </c>
      <c r="I133" s="8">
        <v>48532</v>
      </c>
      <c r="J133" s="8">
        <v>171772</v>
      </c>
      <c r="K133" s="5">
        <f>15505+531</f>
        <v>16036</v>
      </c>
      <c r="L133" s="5">
        <f t="shared" si="51"/>
        <v>236340</v>
      </c>
      <c r="M133" s="5">
        <f t="shared" si="52"/>
        <v>0</v>
      </c>
      <c r="N133" s="6">
        <f t="shared" si="48"/>
        <v>-0.52145214521452143</v>
      </c>
      <c r="O133" s="4">
        <v>26</v>
      </c>
      <c r="P133" s="5">
        <v>1</v>
      </c>
      <c r="Q133" s="8">
        <v>249289</v>
      </c>
      <c r="R133" s="8">
        <v>64763</v>
      </c>
      <c r="S133" s="8">
        <v>179316</v>
      </c>
      <c r="T133" s="8">
        <v>145</v>
      </c>
      <c r="U133" s="8">
        <v>5065</v>
      </c>
      <c r="V133" s="5">
        <f t="shared" si="53"/>
        <v>249289</v>
      </c>
      <c r="W133" s="5">
        <f t="shared" si="54"/>
        <v>0</v>
      </c>
      <c r="X133" s="6">
        <f t="shared" si="49"/>
        <v>-0.45951887167103239</v>
      </c>
      <c r="Y133" s="4">
        <v>28</v>
      </c>
      <c r="Z133" s="5"/>
      <c r="AA133" s="8">
        <v>1</v>
      </c>
      <c r="AB133" s="8">
        <v>268600</v>
      </c>
      <c r="AC133" s="8">
        <v>73863</v>
      </c>
      <c r="AD133" s="8">
        <v>178716</v>
      </c>
      <c r="AE133" s="8"/>
      <c r="AF133" s="8">
        <v>16021</v>
      </c>
      <c r="AG133" s="5">
        <f t="shared" si="55"/>
        <v>268600</v>
      </c>
      <c r="AH133" s="5">
        <f t="shared" si="56"/>
        <v>0</v>
      </c>
      <c r="AI133" s="6">
        <f t="shared" si="50"/>
        <v>-0.3903685778108712</v>
      </c>
    </row>
    <row r="134" spans="1:35" x14ac:dyDescent="0.2">
      <c r="A134">
        <v>25025</v>
      </c>
      <c r="B134" t="s">
        <v>123</v>
      </c>
      <c r="C134" t="s">
        <v>175</v>
      </c>
      <c r="D134" t="s">
        <v>172</v>
      </c>
      <c r="E134" s="4">
        <v>5</v>
      </c>
      <c r="F134" s="5" t="s">
        <v>551</v>
      </c>
      <c r="G134" s="5">
        <v>1</v>
      </c>
      <c r="H134" s="8">
        <v>236340</v>
      </c>
      <c r="I134" s="8">
        <v>48532</v>
      </c>
      <c r="J134" s="8">
        <v>171772</v>
      </c>
      <c r="K134" s="5">
        <f>15505+531</f>
        <v>16036</v>
      </c>
      <c r="L134" s="5">
        <f t="shared" si="51"/>
        <v>236340</v>
      </c>
      <c r="M134" s="5">
        <f t="shared" si="52"/>
        <v>0</v>
      </c>
      <c r="N134" s="6">
        <f t="shared" si="48"/>
        <v>-0.52145214521452143</v>
      </c>
      <c r="O134" s="4">
        <v>26</v>
      </c>
      <c r="P134" s="5">
        <v>1</v>
      </c>
      <c r="Q134" s="8">
        <v>249289</v>
      </c>
      <c r="R134" s="8">
        <v>64763</v>
      </c>
      <c r="S134" s="8">
        <v>179316</v>
      </c>
      <c r="T134" s="8">
        <v>145</v>
      </c>
      <c r="U134" s="8">
        <v>5065</v>
      </c>
      <c r="V134" s="5">
        <f t="shared" si="53"/>
        <v>249289</v>
      </c>
      <c r="W134" s="5">
        <f t="shared" si="54"/>
        <v>0</v>
      </c>
      <c r="X134" s="6">
        <f t="shared" si="49"/>
        <v>-0.45951887167103239</v>
      </c>
      <c r="Y134" s="4">
        <v>28</v>
      </c>
      <c r="Z134" s="5"/>
      <c r="AA134" s="8">
        <v>1</v>
      </c>
      <c r="AB134" s="8">
        <v>268600</v>
      </c>
      <c r="AC134" s="8">
        <v>73863</v>
      </c>
      <c r="AD134" s="8">
        <v>178716</v>
      </c>
      <c r="AE134" s="8"/>
      <c r="AF134" s="8">
        <v>16021</v>
      </c>
      <c r="AG134" s="5">
        <f t="shared" si="55"/>
        <v>268600</v>
      </c>
      <c r="AH134" s="5">
        <f t="shared" si="56"/>
        <v>0</v>
      </c>
      <c r="AI134" s="6">
        <f t="shared" si="50"/>
        <v>-0.3903685778108712</v>
      </c>
    </row>
    <row r="135" spans="1:35" s="2" customFormat="1" x14ac:dyDescent="0.2">
      <c r="A135" s="2">
        <v>25025020</v>
      </c>
      <c r="B135" s="2" t="s">
        <v>123</v>
      </c>
      <c r="C135" s="2" t="s">
        <v>176</v>
      </c>
      <c r="D135" s="2" t="s">
        <v>172</v>
      </c>
      <c r="E135" s="7">
        <v>5</v>
      </c>
      <c r="F135" s="8" t="s">
        <v>547</v>
      </c>
      <c r="G135" s="5"/>
      <c r="H135" s="8">
        <v>5048</v>
      </c>
      <c r="I135" s="8">
        <v>1957</v>
      </c>
      <c r="J135" s="8">
        <v>2505</v>
      </c>
      <c r="K135" s="8">
        <f>550+36</f>
        <v>586</v>
      </c>
      <c r="L135" s="5">
        <f t="shared" si="51"/>
        <v>5048</v>
      </c>
      <c r="M135" s="5">
        <f t="shared" si="52"/>
        <v>0</v>
      </c>
      <c r="N135" s="9">
        <f t="shared" si="48"/>
        <v>-0.10855784469096671</v>
      </c>
      <c r="O135" s="7">
        <v>26</v>
      </c>
      <c r="P135" s="8">
        <v>1</v>
      </c>
      <c r="Q135" s="8">
        <v>249289</v>
      </c>
      <c r="R135" s="8">
        <v>64763</v>
      </c>
      <c r="S135" s="8">
        <v>179316</v>
      </c>
      <c r="T135" s="8">
        <v>145</v>
      </c>
      <c r="U135" s="8">
        <v>5065</v>
      </c>
      <c r="V135" s="5">
        <f t="shared" si="53"/>
        <v>249289</v>
      </c>
      <c r="W135" s="5">
        <f t="shared" si="54"/>
        <v>0</v>
      </c>
      <c r="X135" s="9">
        <f t="shared" si="49"/>
        <v>-0.45951887167103239</v>
      </c>
      <c r="Y135" s="7">
        <v>22</v>
      </c>
      <c r="Z135" s="8"/>
      <c r="AA135" s="8"/>
      <c r="AB135" s="8">
        <v>6296</v>
      </c>
      <c r="AC135" s="8">
        <v>3331</v>
      </c>
      <c r="AD135" s="8">
        <v>2601</v>
      </c>
      <c r="AE135" s="8"/>
      <c r="AF135" s="8">
        <v>364</v>
      </c>
      <c r="AG135" s="5">
        <f t="shared" si="55"/>
        <v>6296</v>
      </c>
      <c r="AH135" s="5">
        <f t="shared" si="56"/>
        <v>0</v>
      </c>
      <c r="AI135" s="9">
        <f t="shared" si="50"/>
        <v>0.11594663278271919</v>
      </c>
    </row>
    <row r="136" spans="1:35" s="2" customFormat="1" x14ac:dyDescent="0.2">
      <c r="A136" s="2">
        <v>25027055</v>
      </c>
      <c r="B136" s="2" t="s">
        <v>123</v>
      </c>
      <c r="C136" s="2" t="s">
        <v>177</v>
      </c>
      <c r="D136" s="2" t="s">
        <v>178</v>
      </c>
      <c r="E136" s="7">
        <v>5</v>
      </c>
      <c r="F136" s="8" t="s">
        <v>548</v>
      </c>
      <c r="G136" s="5"/>
      <c r="H136" s="8">
        <v>3348</v>
      </c>
      <c r="I136" s="8">
        <v>1401</v>
      </c>
      <c r="J136" s="8">
        <v>1847</v>
      </c>
      <c r="K136" s="8">
        <f>95+5</f>
        <v>100</v>
      </c>
      <c r="L136" s="5">
        <f t="shared" si="51"/>
        <v>3348</v>
      </c>
      <c r="M136" s="5">
        <f t="shared" si="52"/>
        <v>0</v>
      </c>
      <c r="N136" s="9">
        <f t="shared" si="48"/>
        <v>-0.13321385902031063</v>
      </c>
      <c r="O136" s="7">
        <v>17</v>
      </c>
      <c r="P136" s="8"/>
      <c r="Q136" s="8">
        <v>3664</v>
      </c>
      <c r="R136" s="8">
        <v>1772</v>
      </c>
      <c r="S136" s="8">
        <v>1771</v>
      </c>
      <c r="T136" s="8">
        <v>3</v>
      </c>
      <c r="U136" s="8">
        <v>118</v>
      </c>
      <c r="V136" s="5">
        <f t="shared" si="53"/>
        <v>3664</v>
      </c>
      <c r="W136" s="5">
        <f t="shared" si="54"/>
        <v>0</v>
      </c>
      <c r="X136" s="9">
        <f t="shared" si="49"/>
        <v>2.7292576419213972E-4</v>
      </c>
      <c r="Y136" s="7">
        <v>22</v>
      </c>
      <c r="Z136" s="8"/>
      <c r="AA136" s="8"/>
      <c r="AB136" s="8">
        <v>4068</v>
      </c>
      <c r="AC136" s="8">
        <v>2101</v>
      </c>
      <c r="AD136" s="8">
        <v>1765</v>
      </c>
      <c r="AE136" s="8"/>
      <c r="AF136" s="8">
        <v>202</v>
      </c>
      <c r="AG136" s="5">
        <f t="shared" si="55"/>
        <v>4068</v>
      </c>
      <c r="AH136" s="5">
        <f t="shared" si="56"/>
        <v>0</v>
      </c>
      <c r="AI136" s="9">
        <f t="shared" si="50"/>
        <v>8.2595870206489674E-2</v>
      </c>
    </row>
    <row r="137" spans="1:35" x14ac:dyDescent="0.2">
      <c r="A137">
        <v>251370</v>
      </c>
      <c r="B137" t="s">
        <v>123</v>
      </c>
      <c r="C137" t="s">
        <v>179</v>
      </c>
      <c r="D137" t="s">
        <v>178</v>
      </c>
      <c r="E137" s="4">
        <v>5</v>
      </c>
      <c r="F137" s="5" t="s">
        <v>549</v>
      </c>
      <c r="G137" s="5"/>
      <c r="H137" s="8">
        <v>5169</v>
      </c>
      <c r="I137" s="8">
        <v>2269</v>
      </c>
      <c r="J137" s="8">
        <v>2805</v>
      </c>
      <c r="K137" s="5">
        <f>80+15</f>
        <v>95</v>
      </c>
      <c r="L137" s="5">
        <f t="shared" si="51"/>
        <v>5169</v>
      </c>
      <c r="M137" s="5">
        <f t="shared" si="52"/>
        <v>0</v>
      </c>
      <c r="N137" s="6">
        <f t="shared" si="48"/>
        <v>-0.1036951054362546</v>
      </c>
      <c r="O137" s="4">
        <v>17</v>
      </c>
      <c r="P137" s="5"/>
      <c r="Q137" s="8">
        <v>5666</v>
      </c>
      <c r="R137" s="8">
        <v>2874</v>
      </c>
      <c r="S137" s="8">
        <v>2690</v>
      </c>
      <c r="T137" s="8">
        <v>7</v>
      </c>
      <c r="U137" s="8">
        <v>95</v>
      </c>
      <c r="V137" s="5">
        <f t="shared" si="53"/>
        <v>5666</v>
      </c>
      <c r="W137" s="5">
        <f t="shared" si="54"/>
        <v>0</v>
      </c>
      <c r="X137" s="6">
        <f t="shared" si="49"/>
        <v>3.2474408753971055E-2</v>
      </c>
      <c r="Y137" s="4">
        <v>22</v>
      </c>
      <c r="Z137" s="5"/>
      <c r="AA137" s="5"/>
      <c r="AB137" s="8">
        <v>6168</v>
      </c>
      <c r="AC137" s="8">
        <v>3272</v>
      </c>
      <c r="AD137" s="8">
        <v>2603</v>
      </c>
      <c r="AE137" s="8"/>
      <c r="AF137" s="8">
        <v>293</v>
      </c>
      <c r="AG137" s="5">
        <f t="shared" si="55"/>
        <v>6168</v>
      </c>
      <c r="AH137" s="5">
        <f t="shared" si="56"/>
        <v>0</v>
      </c>
      <c r="AI137" s="6">
        <f t="shared" si="50"/>
        <v>0.10846303501945526</v>
      </c>
    </row>
    <row r="138" spans="1:35" x14ac:dyDescent="0.2">
      <c r="A138">
        <v>25027100</v>
      </c>
      <c r="B138" t="s">
        <v>123</v>
      </c>
      <c r="C138" t="s">
        <v>180</v>
      </c>
      <c r="D138" t="s">
        <v>178</v>
      </c>
      <c r="E138" s="4">
        <v>5</v>
      </c>
      <c r="F138" s="5" t="s">
        <v>550</v>
      </c>
      <c r="G138" s="5"/>
      <c r="H138" s="8">
        <v>1122</v>
      </c>
      <c r="I138" s="8">
        <v>699</v>
      </c>
      <c r="J138" s="8">
        <v>360</v>
      </c>
      <c r="K138" s="5">
        <f>52+11</f>
        <v>63</v>
      </c>
      <c r="L138" s="5">
        <f t="shared" si="51"/>
        <v>1122</v>
      </c>
      <c r="M138" s="5">
        <f t="shared" si="52"/>
        <v>0</v>
      </c>
      <c r="N138" s="6">
        <f t="shared" si="48"/>
        <v>0.30213903743315507</v>
      </c>
      <c r="O138" s="4">
        <v>25</v>
      </c>
      <c r="P138" s="5"/>
      <c r="Q138" s="8">
        <v>555</v>
      </c>
      <c r="R138" s="8">
        <v>348</v>
      </c>
      <c r="S138" s="8">
        <v>190</v>
      </c>
      <c r="T138" s="8">
        <v>8</v>
      </c>
      <c r="U138" s="8">
        <v>9</v>
      </c>
      <c r="V138" s="5">
        <f t="shared" si="53"/>
        <v>555</v>
      </c>
      <c r="W138" s="5">
        <f t="shared" si="54"/>
        <v>0</v>
      </c>
      <c r="X138" s="6">
        <f t="shared" si="49"/>
        <v>0.28468468468468466</v>
      </c>
      <c r="Y138" s="4">
        <v>28</v>
      </c>
      <c r="Z138" s="5"/>
      <c r="AA138" s="5">
        <v>1</v>
      </c>
      <c r="AB138" s="8">
        <v>186125</v>
      </c>
      <c r="AC138" s="8">
        <v>100966</v>
      </c>
      <c r="AD138" s="8">
        <v>71738</v>
      </c>
      <c r="AE138" s="8"/>
      <c r="AF138" s="8">
        <v>13421</v>
      </c>
      <c r="AG138" s="5">
        <f t="shared" si="55"/>
        <v>186125</v>
      </c>
      <c r="AH138" s="5">
        <f t="shared" si="56"/>
        <v>0</v>
      </c>
      <c r="AI138" s="6">
        <f t="shared" si="50"/>
        <v>0.15703425117528544</v>
      </c>
    </row>
    <row r="139" spans="1:35" x14ac:dyDescent="0.2">
      <c r="A139">
        <v>255030</v>
      </c>
      <c r="B139" t="s">
        <v>123</v>
      </c>
      <c r="C139" t="s">
        <v>178</v>
      </c>
      <c r="D139" t="s">
        <v>178</v>
      </c>
      <c r="E139" s="4">
        <v>5</v>
      </c>
      <c r="F139" s="5" t="s">
        <v>542</v>
      </c>
      <c r="G139" s="5"/>
      <c r="H139" s="8">
        <v>49943</v>
      </c>
      <c r="I139" s="8">
        <v>14728</v>
      </c>
      <c r="J139" s="8">
        <v>34084</v>
      </c>
      <c r="K139" s="5">
        <f>1034+97</f>
        <v>1131</v>
      </c>
      <c r="L139" s="5">
        <f t="shared" si="51"/>
        <v>49943</v>
      </c>
      <c r="M139" s="5">
        <f t="shared" si="52"/>
        <v>0</v>
      </c>
      <c r="N139" s="6">
        <f t="shared" si="48"/>
        <v>-0.38756182047534188</v>
      </c>
      <c r="O139" s="4">
        <v>17</v>
      </c>
      <c r="P139" s="5"/>
      <c r="Q139" s="8">
        <v>55792</v>
      </c>
      <c r="R139" s="8">
        <v>21193</v>
      </c>
      <c r="S139" s="8">
        <v>33788</v>
      </c>
      <c r="T139" s="8">
        <v>24</v>
      </c>
      <c r="U139" s="8">
        <v>787</v>
      </c>
      <c r="V139" s="5">
        <f t="shared" si="53"/>
        <v>55792</v>
      </c>
      <c r="W139" s="5">
        <f t="shared" si="54"/>
        <v>0</v>
      </c>
      <c r="X139" s="6">
        <f t="shared" si="49"/>
        <v>-0.22574921135646689</v>
      </c>
      <c r="Y139" s="4">
        <v>12</v>
      </c>
      <c r="Z139" s="5"/>
      <c r="AA139" s="5"/>
      <c r="AB139" s="8">
        <v>58986</v>
      </c>
      <c r="AC139" s="8">
        <v>25154</v>
      </c>
      <c r="AD139" s="8">
        <v>31554</v>
      </c>
      <c r="AE139" s="8"/>
      <c r="AF139" s="8">
        <v>2278</v>
      </c>
      <c r="AG139" s="5">
        <f t="shared" si="55"/>
        <v>58986</v>
      </c>
      <c r="AH139" s="5">
        <f t="shared" si="56"/>
        <v>0</v>
      </c>
      <c r="AI139" s="6">
        <f t="shared" si="50"/>
        <v>-0.10850032211033127</v>
      </c>
    </row>
    <row r="140" spans="1:35" x14ac:dyDescent="0.2">
      <c r="E140" s="4"/>
      <c r="F140" s="5"/>
      <c r="G140" s="5"/>
      <c r="H140" s="5"/>
      <c r="I140" s="5"/>
      <c r="J140" s="5"/>
      <c r="K140" s="5"/>
      <c r="L140" s="5"/>
      <c r="M140" s="5"/>
      <c r="N140" s="6"/>
      <c r="O140" s="4"/>
      <c r="P140" s="5"/>
      <c r="Q140" s="5"/>
      <c r="R140" s="5"/>
      <c r="S140" s="5"/>
      <c r="T140" s="5"/>
      <c r="U140" s="5"/>
      <c r="V140" s="5"/>
      <c r="W140" s="5"/>
      <c r="X140" s="6"/>
      <c r="Y140" s="4"/>
      <c r="Z140" s="5"/>
      <c r="AA140" s="5"/>
      <c r="AB140" s="5"/>
      <c r="AC140" s="5"/>
      <c r="AD140" s="5"/>
      <c r="AE140" s="5"/>
      <c r="AF140" s="5"/>
      <c r="AG140" s="5"/>
      <c r="AH140" s="5"/>
      <c r="AI140" s="6"/>
    </row>
    <row r="141" spans="1:35" x14ac:dyDescent="0.2">
      <c r="A141">
        <v>262790</v>
      </c>
      <c r="B141" t="s">
        <v>181</v>
      </c>
      <c r="C141" t="s">
        <v>182</v>
      </c>
      <c r="D141" t="s">
        <v>183</v>
      </c>
      <c r="E141" s="4">
        <v>5</v>
      </c>
      <c r="F141" s="5" t="s">
        <v>505</v>
      </c>
      <c r="G141" s="5"/>
      <c r="H141" s="8">
        <v>5722</v>
      </c>
      <c r="I141" s="8">
        <v>4431</v>
      </c>
      <c r="J141" s="8">
        <v>1182</v>
      </c>
      <c r="K141" s="5">
        <f>93+16</f>
        <v>109</v>
      </c>
      <c r="L141" s="5">
        <f>I141+J141+K141</f>
        <v>5722</v>
      </c>
      <c r="M141" s="5">
        <f>L141-H141</f>
        <v>0</v>
      </c>
      <c r="N141" s="6">
        <f>(I141-J141)/H141</f>
        <v>0.56780845858091578</v>
      </c>
      <c r="O141" s="4">
        <v>17</v>
      </c>
      <c r="P141" s="5">
        <v>1</v>
      </c>
      <c r="Q141" s="8">
        <v>52306</v>
      </c>
      <c r="R141" s="8">
        <v>40044</v>
      </c>
      <c r="S141" s="8">
        <v>9421</v>
      </c>
      <c r="T141" s="8">
        <v>267</v>
      </c>
      <c r="U141" s="8">
        <v>2574</v>
      </c>
      <c r="V141" s="5">
        <f>R141+S141+T141+U141</f>
        <v>52306</v>
      </c>
      <c r="W141" s="5">
        <f>V141-Q141</f>
        <v>0</v>
      </c>
      <c r="X141" s="6">
        <f>(R141-S141)/Q141</f>
        <v>0.58545864719152674</v>
      </c>
      <c r="Y141" s="4">
        <v>12</v>
      </c>
      <c r="Z141" s="5"/>
      <c r="AA141" s="5"/>
      <c r="AB141" s="8">
        <v>25332</v>
      </c>
      <c r="AC141" s="8">
        <v>20911</v>
      </c>
      <c r="AD141" s="8">
        <v>3030</v>
      </c>
      <c r="AE141" s="8"/>
      <c r="AF141" s="8">
        <v>1391</v>
      </c>
      <c r="AG141" s="5">
        <f>AC141+AD141+AE141+AF141</f>
        <v>25332</v>
      </c>
      <c r="AH141" s="5">
        <f>AG141-AB141</f>
        <v>0</v>
      </c>
      <c r="AI141" s="6">
        <f>(AC141-AD141)/AB141</f>
        <v>0.70586609821569557</v>
      </c>
    </row>
    <row r="142" spans="1:35" x14ac:dyDescent="0.2">
      <c r="A142">
        <v>260680</v>
      </c>
      <c r="B142" t="s">
        <v>181</v>
      </c>
      <c r="C142" t="s">
        <v>184</v>
      </c>
      <c r="D142" t="s">
        <v>185</v>
      </c>
      <c r="E142" s="4">
        <v>4</v>
      </c>
      <c r="F142" s="5" t="s">
        <v>506</v>
      </c>
      <c r="G142" s="5"/>
      <c r="H142" s="8">
        <v>441454</v>
      </c>
      <c r="I142" s="8">
        <v>166933</v>
      </c>
      <c r="J142" s="8">
        <v>258614</v>
      </c>
      <c r="K142" s="5">
        <f>15238+669</f>
        <v>15907</v>
      </c>
      <c r="L142" s="5">
        <f>I142+J142+K142</f>
        <v>441454</v>
      </c>
      <c r="M142" s="5">
        <f>L142-H142</f>
        <v>0</v>
      </c>
      <c r="N142" s="6">
        <f>(I142-J142)/H142</f>
        <v>-0.20767962233890733</v>
      </c>
      <c r="O142" s="4">
        <v>17</v>
      </c>
      <c r="P142" s="5"/>
      <c r="Q142" s="8">
        <v>522430</v>
      </c>
      <c r="R142" s="8">
        <v>276313</v>
      </c>
      <c r="S142" s="8">
        <v>236101</v>
      </c>
      <c r="T142" s="8">
        <v>609</v>
      </c>
      <c r="U142" s="8">
        <v>9407</v>
      </c>
      <c r="V142" s="5">
        <f>R142+S142+T142+U142</f>
        <v>522430</v>
      </c>
      <c r="W142" s="5">
        <f>V142-Q142</f>
        <v>0</v>
      </c>
      <c r="X142" s="6">
        <f>(R142-S142)/Q142</f>
        <v>7.6971077464923529E-2</v>
      </c>
      <c r="Y142" s="4">
        <v>12</v>
      </c>
      <c r="Z142" s="5"/>
      <c r="AA142" s="5"/>
      <c r="AB142" s="8">
        <v>553199</v>
      </c>
      <c r="AC142" s="8">
        <v>299472</v>
      </c>
      <c r="AD142" s="8">
        <v>215365</v>
      </c>
      <c r="AE142" s="8"/>
      <c r="AF142" s="8">
        <v>38362</v>
      </c>
      <c r="AG142" s="5">
        <f>AC142+AD142+AE142+AF142</f>
        <v>553199</v>
      </c>
      <c r="AH142" s="5">
        <f>AG142-AB142</f>
        <v>0</v>
      </c>
      <c r="AI142" s="6">
        <f>(AC142-AD142)/AB142</f>
        <v>0.1520375127214619</v>
      </c>
    </row>
    <row r="143" spans="1:35" x14ac:dyDescent="0.2">
      <c r="A143">
        <v>262920</v>
      </c>
      <c r="B143" t="s">
        <v>181</v>
      </c>
      <c r="C143" t="s">
        <v>186</v>
      </c>
      <c r="D143" t="s">
        <v>185</v>
      </c>
      <c r="E143" s="4">
        <v>4</v>
      </c>
      <c r="F143" s="5" t="s">
        <v>507</v>
      </c>
      <c r="G143" s="5"/>
      <c r="H143" s="8">
        <v>7840</v>
      </c>
      <c r="I143" s="8">
        <v>4250</v>
      </c>
      <c r="J143" s="8">
        <v>3399</v>
      </c>
      <c r="K143" s="5">
        <f>173+18</f>
        <v>191</v>
      </c>
      <c r="L143" s="5">
        <f>I143+J143+K143</f>
        <v>7840</v>
      </c>
      <c r="M143" s="5">
        <f>L143-H143</f>
        <v>0</v>
      </c>
      <c r="N143" s="6">
        <f>(I143-J143)/H143</f>
        <v>0.10854591836734694</v>
      </c>
      <c r="O143" s="4">
        <v>17</v>
      </c>
      <c r="P143" s="5"/>
      <c r="Q143" s="8">
        <v>10558</v>
      </c>
      <c r="R143" s="8">
        <v>6914</v>
      </c>
      <c r="S143" s="8">
        <v>3357</v>
      </c>
      <c r="T143" s="8">
        <v>1</v>
      </c>
      <c r="U143" s="8">
        <v>286</v>
      </c>
      <c r="V143" s="5">
        <f>R143+S143+T143+U143</f>
        <v>10558</v>
      </c>
      <c r="W143" s="5">
        <f>V143-Q143</f>
        <v>0</v>
      </c>
      <c r="X143" s="6">
        <f>(R143-S143)/Q143</f>
        <v>0.33690092820609963</v>
      </c>
      <c r="Y143" s="4">
        <v>18</v>
      </c>
      <c r="Z143" s="5"/>
      <c r="AA143" s="5"/>
      <c r="AB143" s="8">
        <v>12907</v>
      </c>
      <c r="AC143" s="8">
        <v>9007</v>
      </c>
      <c r="AD143" s="8">
        <v>3389</v>
      </c>
      <c r="AE143" s="8"/>
      <c r="AF143" s="8">
        <v>511</v>
      </c>
      <c r="AG143" s="5">
        <f>AC143+AD143+AE143+AF143</f>
        <v>12907</v>
      </c>
      <c r="AH143" s="5">
        <f>AG143-AB143</f>
        <v>0</v>
      </c>
      <c r="AI143" s="6">
        <f>(AC143-AD143)/AB143</f>
        <v>0.43526768420237083</v>
      </c>
    </row>
    <row r="144" spans="1:35" x14ac:dyDescent="0.2">
      <c r="E144" s="4"/>
      <c r="F144" s="5"/>
      <c r="G144" s="5"/>
      <c r="H144" s="5"/>
      <c r="I144" s="5"/>
      <c r="J144" s="5"/>
      <c r="K144" s="5"/>
      <c r="L144" s="5"/>
      <c r="M144" s="5"/>
      <c r="N144" s="6"/>
      <c r="O144" s="4"/>
      <c r="P144" s="5"/>
      <c r="Q144" s="5"/>
      <c r="R144" s="5"/>
      <c r="S144" s="5"/>
      <c r="T144" s="5"/>
      <c r="U144" s="5"/>
      <c r="V144" s="5"/>
      <c r="W144" s="5"/>
      <c r="X144" s="6"/>
      <c r="Y144" s="4"/>
      <c r="Z144" s="5"/>
      <c r="AA144" s="5"/>
      <c r="AB144" s="5"/>
      <c r="AC144" s="5"/>
      <c r="AD144" s="5"/>
      <c r="AE144" s="5"/>
      <c r="AF144" s="5"/>
      <c r="AG144" s="5"/>
      <c r="AH144" s="5"/>
      <c r="AI144" s="6"/>
    </row>
    <row r="145" spans="1:35" x14ac:dyDescent="0.2">
      <c r="A145">
        <v>272585</v>
      </c>
      <c r="B145" t="s">
        <v>187</v>
      </c>
      <c r="C145" t="s">
        <v>188</v>
      </c>
      <c r="D145" t="s">
        <v>189</v>
      </c>
      <c r="E145" s="4">
        <v>5</v>
      </c>
      <c r="F145" s="5" t="s">
        <v>504</v>
      </c>
      <c r="G145" s="5"/>
      <c r="H145" s="8">
        <v>147647</v>
      </c>
      <c r="I145" s="8">
        <v>58764</v>
      </c>
      <c r="J145" s="8">
        <v>84070</v>
      </c>
      <c r="K145" s="5">
        <f>4441+372</f>
        <v>4813</v>
      </c>
      <c r="L145" s="5">
        <f>I145+J145+K145</f>
        <v>147647</v>
      </c>
      <c r="M145" s="5">
        <f>L145-H145</f>
        <v>0</v>
      </c>
      <c r="N145" s="6">
        <f>(I145-J145)/H145</f>
        <v>-0.17139528740848103</v>
      </c>
      <c r="O145" s="4">
        <v>17</v>
      </c>
      <c r="P145" s="5"/>
      <c r="Q145" s="8">
        <v>161974</v>
      </c>
      <c r="R145" s="8">
        <v>83737</v>
      </c>
      <c r="S145" s="8">
        <v>75608</v>
      </c>
      <c r="T145" s="8">
        <v>208</v>
      </c>
      <c r="U145" s="8">
        <v>2421</v>
      </c>
      <c r="V145" s="5">
        <f>R145+S145+T145+U145</f>
        <v>161974</v>
      </c>
      <c r="W145" s="5">
        <f>V145-Q145</f>
        <v>0</v>
      </c>
      <c r="X145" s="6">
        <f>(R145-S145)/Q145</f>
        <v>5.0187067060145453E-2</v>
      </c>
      <c r="Y145" s="4">
        <v>12</v>
      </c>
      <c r="Z145" s="5"/>
      <c r="AA145" s="5"/>
      <c r="AB145" s="8">
        <v>271784</v>
      </c>
      <c r="AC145" s="8">
        <v>170716</v>
      </c>
      <c r="AD145" s="8">
        <v>88833</v>
      </c>
      <c r="AE145" s="8"/>
      <c r="AF145" s="8">
        <v>12235</v>
      </c>
      <c r="AG145" s="5">
        <f>AC145+AD145+AE145+AF145</f>
        <v>271784</v>
      </c>
      <c r="AH145" s="5">
        <f>AG145-AB145</f>
        <v>0</v>
      </c>
      <c r="AI145" s="6">
        <f>(AC145-AD145)/AB145</f>
        <v>0.30127969269714183</v>
      </c>
    </row>
    <row r="146" spans="1:35" x14ac:dyDescent="0.2">
      <c r="E146" s="4"/>
      <c r="F146" s="5"/>
      <c r="G146" s="5"/>
      <c r="H146" s="5"/>
      <c r="I146" s="5"/>
      <c r="J146" s="5"/>
      <c r="K146" s="5"/>
      <c r="L146" s="5"/>
      <c r="M146" s="5"/>
      <c r="N146" s="6"/>
      <c r="O146" s="4"/>
      <c r="P146" s="5"/>
      <c r="Q146" s="5"/>
      <c r="R146" s="5"/>
      <c r="S146" s="5"/>
      <c r="T146" s="5"/>
      <c r="U146" s="5"/>
      <c r="V146" s="5"/>
      <c r="W146" s="5"/>
      <c r="X146" s="6"/>
      <c r="Y146" s="4"/>
      <c r="Z146" s="5"/>
      <c r="AA146" s="5"/>
      <c r="AB146" s="5"/>
      <c r="AC146" s="5"/>
      <c r="AD146" s="5"/>
      <c r="AE146" s="5"/>
      <c r="AF146" s="5"/>
      <c r="AG146" s="5"/>
      <c r="AH146" s="5"/>
      <c r="AI146" s="6"/>
    </row>
    <row r="147" spans="1:35" x14ac:dyDescent="0.2">
      <c r="A147">
        <v>28033</v>
      </c>
      <c r="B147" t="s">
        <v>190</v>
      </c>
      <c r="C147" t="s">
        <v>191</v>
      </c>
      <c r="D147" t="s">
        <v>191</v>
      </c>
      <c r="E147" s="4">
        <v>5</v>
      </c>
      <c r="F147" s="5" t="s">
        <v>499</v>
      </c>
      <c r="G147" s="5">
        <v>1</v>
      </c>
      <c r="H147" s="8">
        <v>6854</v>
      </c>
      <c r="I147" s="8">
        <v>1262</v>
      </c>
      <c r="J147" s="8">
        <v>5398</v>
      </c>
      <c r="K147" s="5">
        <f>139+55</f>
        <v>194</v>
      </c>
      <c r="L147" s="5">
        <f>I147+J147+K147</f>
        <v>6854</v>
      </c>
      <c r="M147" s="5">
        <f>L147-H147</f>
        <v>0</v>
      </c>
      <c r="N147" s="6">
        <f>(I147-J147)/H147</f>
        <v>-0.60344324482054279</v>
      </c>
      <c r="O147" s="4">
        <v>26</v>
      </c>
      <c r="P147" s="5">
        <v>1</v>
      </c>
      <c r="Q147" s="8">
        <v>6705</v>
      </c>
      <c r="R147" s="8">
        <v>1680</v>
      </c>
      <c r="S147" s="8">
        <v>4261</v>
      </c>
      <c r="T147" s="8">
        <v>4</v>
      </c>
      <c r="U147" s="8">
        <v>760</v>
      </c>
      <c r="V147" s="5">
        <f>R147+S147+T147+U147</f>
        <v>6705</v>
      </c>
      <c r="W147" s="5">
        <f>V147-Q147</f>
        <v>0</v>
      </c>
      <c r="X147" s="6">
        <f>(R147-S147)/Q147</f>
        <v>-0.38493661446681582</v>
      </c>
      <c r="Y147" s="4">
        <v>28</v>
      </c>
      <c r="Z147" s="5"/>
      <c r="AA147" s="5">
        <v>1</v>
      </c>
      <c r="AB147" s="8">
        <v>6253</v>
      </c>
      <c r="AC147" s="8">
        <v>2218</v>
      </c>
      <c r="AD147" s="8">
        <v>3350</v>
      </c>
      <c r="AE147" s="8"/>
      <c r="AF147" s="8">
        <v>685</v>
      </c>
      <c r="AG147" s="5">
        <f>AC147+AD147+AE147+AF147</f>
        <v>6253</v>
      </c>
      <c r="AH147" s="5">
        <f>AG147-AB147</f>
        <v>0</v>
      </c>
      <c r="AI147" s="6">
        <f>(AC147-AD147)/AB147</f>
        <v>-0.18103310411002718</v>
      </c>
    </row>
    <row r="148" spans="1:35" x14ac:dyDescent="0.2">
      <c r="A148">
        <v>280615</v>
      </c>
      <c r="B148" t="s">
        <v>190</v>
      </c>
      <c r="C148" t="s">
        <v>192</v>
      </c>
      <c r="D148" t="s">
        <v>193</v>
      </c>
      <c r="E148" s="4">
        <v>4</v>
      </c>
      <c r="F148" s="5" t="s">
        <v>500</v>
      </c>
      <c r="G148" s="5"/>
      <c r="H148" s="5">
        <v>16626</v>
      </c>
      <c r="I148" s="5">
        <v>5114</v>
      </c>
      <c r="J148" s="8">
        <v>11309</v>
      </c>
      <c r="K148" s="5">
        <f>183+20</f>
        <v>203</v>
      </c>
      <c r="L148" s="5">
        <f>I148+J148+K148</f>
        <v>16626</v>
      </c>
      <c r="M148" s="5">
        <f>L148-H148</f>
        <v>0</v>
      </c>
      <c r="N148" s="6">
        <f>(I148-J148)/H148</f>
        <v>-0.37260916636593289</v>
      </c>
      <c r="O148" s="4">
        <v>26</v>
      </c>
      <c r="P148" s="5">
        <v>1</v>
      </c>
      <c r="Q148" s="8">
        <v>40111</v>
      </c>
      <c r="R148" s="8">
        <v>17607</v>
      </c>
      <c r="S148" s="8">
        <v>19992</v>
      </c>
      <c r="T148" s="8">
        <v>13</v>
      </c>
      <c r="U148" s="8">
        <v>2499</v>
      </c>
      <c r="V148" s="5">
        <f>R148+S148+T148+U148</f>
        <v>40111</v>
      </c>
      <c r="W148" s="5">
        <f>V148-Q148</f>
        <v>0</v>
      </c>
      <c r="X148" s="6">
        <f>(R148-S148)/Q148</f>
        <v>-5.9459998504150978E-2</v>
      </c>
      <c r="Y148" s="4">
        <v>12</v>
      </c>
      <c r="Z148" s="5"/>
      <c r="AA148" s="5"/>
      <c r="AB148" s="8">
        <v>42780</v>
      </c>
      <c r="AC148" s="8">
        <v>24500</v>
      </c>
      <c r="AD148" s="8">
        <v>16168</v>
      </c>
      <c r="AE148" s="8"/>
      <c r="AF148" s="8">
        <v>2112</v>
      </c>
      <c r="AG148" s="5">
        <f>AC148+AD148+AE148+AF148</f>
        <v>42780</v>
      </c>
      <c r="AH148" s="5">
        <f>AG148-AB148</f>
        <v>0</v>
      </c>
      <c r="AI148" s="6">
        <f>(AC148-AD148)/AB148</f>
        <v>0.19476390836839644</v>
      </c>
    </row>
    <row r="149" spans="1:35" x14ac:dyDescent="0.2">
      <c r="A149">
        <v>280655</v>
      </c>
      <c r="B149" t="s">
        <v>190</v>
      </c>
      <c r="C149" t="s">
        <v>194</v>
      </c>
      <c r="D149" t="s">
        <v>195</v>
      </c>
      <c r="E149" s="4">
        <v>4</v>
      </c>
      <c r="F149" s="5" t="s">
        <v>643</v>
      </c>
      <c r="G149" s="5"/>
      <c r="H149" s="5">
        <v>5338</v>
      </c>
      <c r="I149" s="5">
        <v>1780</v>
      </c>
      <c r="J149" s="8">
        <v>3516</v>
      </c>
      <c r="K149" s="5">
        <f>38+4</f>
        <v>42</v>
      </c>
      <c r="L149" s="5">
        <f>I149+J149+K149</f>
        <v>5338</v>
      </c>
      <c r="M149" s="5">
        <f>L149-H149</f>
        <v>0</v>
      </c>
      <c r="N149" s="6">
        <f>(I149-J149)/H149</f>
        <v>-0.32521543649306855</v>
      </c>
      <c r="O149" s="4">
        <v>17</v>
      </c>
      <c r="P149" s="5"/>
      <c r="Q149" s="5">
        <v>7418</v>
      </c>
      <c r="R149" s="5">
        <v>3445</v>
      </c>
      <c r="S149" s="8">
        <v>3766</v>
      </c>
      <c r="T149" s="8">
        <v>5</v>
      </c>
      <c r="U149" s="8">
        <v>202</v>
      </c>
      <c r="V149" s="5">
        <f>R149+S149+T149+U149</f>
        <v>7418</v>
      </c>
      <c r="W149" s="5">
        <f>V149-Q149</f>
        <v>0</v>
      </c>
      <c r="X149" s="6">
        <f>(R149-S149)/Q149</f>
        <v>-4.3273119439201944E-2</v>
      </c>
      <c r="Y149" s="4">
        <v>18</v>
      </c>
      <c r="Z149" s="5"/>
      <c r="AA149" s="5"/>
      <c r="AB149" s="5">
        <v>8435</v>
      </c>
      <c r="AC149" s="5">
        <v>4553</v>
      </c>
      <c r="AD149" s="8">
        <v>3465</v>
      </c>
      <c r="AE149" s="8"/>
      <c r="AF149" s="8">
        <v>417</v>
      </c>
      <c r="AG149" s="5">
        <f>AC149+AD149+AE149+AF149</f>
        <v>8435</v>
      </c>
      <c r="AH149" s="5">
        <f>AG149-AB149</f>
        <v>0</v>
      </c>
      <c r="AI149" s="6">
        <f>(AC149-AD149)/AB149</f>
        <v>0.12898636633076468</v>
      </c>
    </row>
    <row r="150" spans="1:35" x14ac:dyDescent="0.2">
      <c r="A150">
        <v>28119</v>
      </c>
      <c r="B150" t="s">
        <v>190</v>
      </c>
      <c r="C150" t="s">
        <v>196</v>
      </c>
      <c r="D150" t="s">
        <v>197</v>
      </c>
      <c r="E150" s="4">
        <v>5</v>
      </c>
      <c r="F150" s="5" t="s">
        <v>501</v>
      </c>
      <c r="G150" s="5">
        <v>1</v>
      </c>
      <c r="H150" s="8">
        <v>7325</v>
      </c>
      <c r="I150" s="8">
        <v>972</v>
      </c>
      <c r="J150" s="8">
        <v>5915</v>
      </c>
      <c r="K150" s="5">
        <f>436+2</f>
        <v>438</v>
      </c>
      <c r="L150" s="5">
        <f>I150+J150+K150</f>
        <v>7325</v>
      </c>
      <c r="M150" s="5">
        <f>L150-H150</f>
        <v>0</v>
      </c>
      <c r="N150" s="6">
        <f>(I150-J150)/H150</f>
        <v>-0.67481228668941984</v>
      </c>
      <c r="O150" s="4">
        <v>26</v>
      </c>
      <c r="P150" s="5">
        <v>1</v>
      </c>
      <c r="Q150" s="8">
        <v>7377</v>
      </c>
      <c r="R150" s="8">
        <v>1552</v>
      </c>
      <c r="S150" s="8">
        <v>4790</v>
      </c>
      <c r="T150" s="8">
        <v>3</v>
      </c>
      <c r="U150" s="8">
        <v>1032</v>
      </c>
      <c r="V150" s="5">
        <f>R150+S150+T150+U150</f>
        <v>7377</v>
      </c>
      <c r="W150" s="5">
        <f>V150-Q150</f>
        <v>0</v>
      </c>
      <c r="X150" s="6">
        <f>(R150-S150)/Q150</f>
        <v>-0.43893181510098955</v>
      </c>
      <c r="Y150" s="4">
        <v>28</v>
      </c>
      <c r="Z150" s="5"/>
      <c r="AA150" s="5">
        <v>1</v>
      </c>
      <c r="AB150" s="8">
        <v>5567</v>
      </c>
      <c r="AC150" s="8">
        <v>1809</v>
      </c>
      <c r="AD150" s="8">
        <v>3114</v>
      </c>
      <c r="AE150" s="8"/>
      <c r="AF150" s="8">
        <v>644</v>
      </c>
      <c r="AG150" s="5">
        <f>AC150+AD150+AE150+AF150</f>
        <v>5567</v>
      </c>
      <c r="AH150" s="5">
        <f>AG150-AB150</f>
        <v>0</v>
      </c>
      <c r="AI150" s="6">
        <f>(AC150-AD150)/AB150</f>
        <v>-0.23441710077240885</v>
      </c>
    </row>
    <row r="151" spans="1:35" x14ac:dyDescent="0.2">
      <c r="B151" t="s">
        <v>190</v>
      </c>
      <c r="C151" t="s">
        <v>198</v>
      </c>
      <c r="D151" t="s">
        <v>199</v>
      </c>
      <c r="E151" s="4">
        <v>5</v>
      </c>
      <c r="F151" s="5" t="s">
        <v>503</v>
      </c>
      <c r="G151" s="5"/>
      <c r="H151" s="8">
        <v>367</v>
      </c>
      <c r="I151" s="8">
        <v>93</v>
      </c>
      <c r="J151" s="8">
        <v>269</v>
      </c>
      <c r="K151" s="8">
        <v>5</v>
      </c>
      <c r="L151" s="5">
        <f>I151+J151+K151</f>
        <v>367</v>
      </c>
      <c r="M151" s="5">
        <f>L151-H151</f>
        <v>0</v>
      </c>
      <c r="N151" s="6">
        <f>(I151-J151)/H151</f>
        <v>-0.47956403269754766</v>
      </c>
      <c r="O151" s="4">
        <v>25</v>
      </c>
      <c r="P151" s="5"/>
      <c r="Q151" s="8">
        <v>409</v>
      </c>
      <c r="R151" s="8">
        <v>124</v>
      </c>
      <c r="S151" s="8">
        <v>267</v>
      </c>
      <c r="T151" s="8">
        <v>10</v>
      </c>
      <c r="U151" s="8">
        <v>8</v>
      </c>
      <c r="V151" s="5">
        <f>R151+S151+T151+U151</f>
        <v>409</v>
      </c>
      <c r="W151" s="5">
        <f>V151-Q151</f>
        <v>0</v>
      </c>
      <c r="X151" s="6">
        <f>(R151-S151)/Q151</f>
        <v>-0.34963325183374083</v>
      </c>
      <c r="Y151" s="4">
        <v>28</v>
      </c>
      <c r="Z151" s="5"/>
      <c r="AA151" s="5">
        <v>1</v>
      </c>
      <c r="AB151" s="8">
        <v>3093</v>
      </c>
      <c r="AC151" s="8">
        <v>675</v>
      </c>
      <c r="AD151" s="8">
        <v>1891</v>
      </c>
      <c r="AE151" s="8"/>
      <c r="AF151" s="8">
        <v>527</v>
      </c>
      <c r="AG151" s="5">
        <f>AC151+AD151+AE151+AF151</f>
        <v>3093</v>
      </c>
      <c r="AH151" s="5">
        <f>AG151-AB151</f>
        <v>0</v>
      </c>
      <c r="AI151" s="6">
        <f>(AC151-AD151)/AB151</f>
        <v>-0.3931458131264145</v>
      </c>
    </row>
    <row r="152" spans="1:35" x14ac:dyDescent="0.2">
      <c r="E152" s="4"/>
      <c r="F152" s="5"/>
      <c r="G152" s="5"/>
      <c r="H152" s="5"/>
      <c r="I152" s="5"/>
      <c r="J152" s="5"/>
      <c r="K152" s="5"/>
      <c r="L152" s="5"/>
      <c r="M152" s="5"/>
      <c r="N152" s="6"/>
      <c r="O152" s="4"/>
      <c r="P152" s="5"/>
      <c r="Q152" s="5"/>
      <c r="R152" s="5"/>
      <c r="S152" s="5"/>
      <c r="T152" s="5"/>
      <c r="U152" s="5"/>
      <c r="V152" s="5"/>
      <c r="W152" s="5"/>
      <c r="X152" s="6"/>
      <c r="Y152" s="4"/>
      <c r="Z152" s="5"/>
      <c r="AA152" s="5"/>
      <c r="AB152" s="5"/>
      <c r="AC152" s="5"/>
      <c r="AD152" s="5"/>
      <c r="AE152" s="5"/>
      <c r="AF152" s="5"/>
      <c r="AG152" s="5"/>
      <c r="AH152" s="5"/>
      <c r="AI152" s="6"/>
    </row>
    <row r="153" spans="1:35" x14ac:dyDescent="0.2">
      <c r="A153">
        <v>293875</v>
      </c>
      <c r="B153" t="s">
        <v>200</v>
      </c>
      <c r="C153" t="s">
        <v>201</v>
      </c>
      <c r="D153" t="s">
        <v>201</v>
      </c>
      <c r="E153" s="4">
        <v>4</v>
      </c>
      <c r="F153" s="5" t="s">
        <v>498</v>
      </c>
      <c r="G153" s="5"/>
      <c r="H153" s="8">
        <v>251610</v>
      </c>
      <c r="I153" s="8">
        <v>62829</v>
      </c>
      <c r="J153" s="8">
        <v>172043</v>
      </c>
      <c r="K153" s="5">
        <f>16293+445</f>
        <v>16738</v>
      </c>
      <c r="L153" s="5">
        <f>I153+J153+K153</f>
        <v>251610</v>
      </c>
      <c r="M153" s="5">
        <f>L153-H153</f>
        <v>0</v>
      </c>
      <c r="N153" s="6">
        <f>(I153-J153)/H153</f>
        <v>-0.43406064941774969</v>
      </c>
      <c r="O153" s="4">
        <v>17</v>
      </c>
      <c r="P153" s="5"/>
      <c r="Q153" s="8">
        <v>263037</v>
      </c>
      <c r="R153" s="8">
        <v>89811</v>
      </c>
      <c r="S153" s="8">
        <v>168325</v>
      </c>
      <c r="T153" s="8">
        <v>311</v>
      </c>
      <c r="U153" s="8">
        <v>4590</v>
      </c>
      <c r="V153" s="5">
        <f>R153+S153+T153+U153</f>
        <v>263037</v>
      </c>
      <c r="W153" s="5">
        <f>V153-Q153</f>
        <v>0</v>
      </c>
      <c r="X153" s="6">
        <f>(R153-S153)/Q153</f>
        <v>-0.2984903264559739</v>
      </c>
      <c r="Y153" s="4">
        <v>12</v>
      </c>
      <c r="Z153" s="5"/>
      <c r="AA153" s="5"/>
      <c r="AB153" s="8">
        <v>262984</v>
      </c>
      <c r="AC153" s="8">
        <v>94880</v>
      </c>
      <c r="AD153" s="8">
        <v>153771</v>
      </c>
      <c r="AE153" s="8"/>
      <c r="AF153" s="8">
        <v>14333</v>
      </c>
      <c r="AG153" s="5">
        <f>AC153+AD153+AE153+AF153</f>
        <v>262984</v>
      </c>
      <c r="AH153" s="5">
        <f>AG153-AB153</f>
        <v>0</v>
      </c>
      <c r="AI153" s="6">
        <f>(AC153-AD153)/AB153</f>
        <v>-0.22393377543880996</v>
      </c>
    </row>
    <row r="154" spans="1:35" x14ac:dyDescent="0.2">
      <c r="E154" s="4"/>
      <c r="F154" s="5"/>
      <c r="G154" s="5"/>
      <c r="H154" s="5"/>
      <c r="I154" s="5"/>
      <c r="J154" s="5"/>
      <c r="K154" s="5"/>
      <c r="L154" s="5"/>
      <c r="M154" s="5"/>
      <c r="N154" s="6"/>
      <c r="O154" s="4"/>
      <c r="P154" s="5"/>
      <c r="Q154" s="5"/>
      <c r="R154" s="5"/>
      <c r="S154" s="5"/>
      <c r="T154" s="5"/>
      <c r="U154" s="5"/>
      <c r="V154" s="5"/>
      <c r="W154" s="5"/>
      <c r="X154" s="6"/>
      <c r="Y154" s="4"/>
      <c r="Z154" s="5"/>
      <c r="AA154" s="5"/>
      <c r="AB154" s="5"/>
      <c r="AC154" s="5"/>
      <c r="AD154" s="5"/>
      <c r="AE154" s="5"/>
      <c r="AF154" s="5"/>
      <c r="AG154" s="5"/>
      <c r="AH154" s="5"/>
      <c r="AI154" s="6"/>
    </row>
    <row r="155" spans="1:35" x14ac:dyDescent="0.2">
      <c r="A155">
        <v>311825</v>
      </c>
      <c r="B155" t="s">
        <v>202</v>
      </c>
      <c r="C155" t="s">
        <v>203</v>
      </c>
      <c r="D155" t="s">
        <v>204</v>
      </c>
      <c r="E155" s="4">
        <v>4</v>
      </c>
      <c r="F155" s="5" t="s">
        <v>497</v>
      </c>
      <c r="G155" s="5"/>
      <c r="H155" s="8">
        <v>65726</v>
      </c>
      <c r="I155" s="8">
        <v>28672</v>
      </c>
      <c r="J155" s="8">
        <v>33463</v>
      </c>
      <c r="K155" s="5">
        <f>3502+89</f>
        <v>3591</v>
      </c>
      <c r="L155" s="5">
        <f>I155+J155+K155</f>
        <v>65726</v>
      </c>
      <c r="M155" s="5">
        <f>L155-H155</f>
        <v>0</v>
      </c>
      <c r="N155" s="6">
        <f>(I155-J155)/H155</f>
        <v>-7.2893527675501321E-2</v>
      </c>
      <c r="O155" s="4">
        <v>17</v>
      </c>
      <c r="P155" s="5"/>
      <c r="Q155" s="8">
        <v>73741</v>
      </c>
      <c r="R155" s="8">
        <v>43654</v>
      </c>
      <c r="S155" s="8">
        <v>29053</v>
      </c>
      <c r="T155" s="8">
        <v>44</v>
      </c>
      <c r="U155" s="8">
        <v>990</v>
      </c>
      <c r="V155" s="5">
        <f>R155+S155+T155+U155</f>
        <v>73741</v>
      </c>
      <c r="W155" s="5">
        <f>V155-Q155</f>
        <v>0</v>
      </c>
      <c r="X155" s="6">
        <f>(R155-S155)/Q155</f>
        <v>0.19800382419549503</v>
      </c>
      <c r="Y155" s="4">
        <v>12</v>
      </c>
      <c r="Z155" s="5"/>
      <c r="AA155" s="5"/>
      <c r="AB155" s="8">
        <v>97276</v>
      </c>
      <c r="AC155" s="8">
        <v>56235</v>
      </c>
      <c r="AD155" s="8">
        <v>36831</v>
      </c>
      <c r="AE155" s="8"/>
      <c r="AF155" s="8">
        <v>4210</v>
      </c>
      <c r="AG155" s="5">
        <f>AC155+AD155+AE155+AF155</f>
        <v>97276</v>
      </c>
      <c r="AH155" s="5">
        <f>AG155-AB155</f>
        <v>0</v>
      </c>
      <c r="AI155" s="6">
        <f>(AC155-AD155)/AB155</f>
        <v>0.19947366256836219</v>
      </c>
    </row>
    <row r="156" spans="1:35" x14ac:dyDescent="0.2">
      <c r="E156" s="4"/>
      <c r="F156" s="5"/>
      <c r="G156" s="5"/>
      <c r="H156" s="5"/>
      <c r="I156" s="5"/>
      <c r="J156" s="5"/>
      <c r="K156" s="5"/>
      <c r="L156" s="5"/>
      <c r="M156" s="5"/>
      <c r="N156" s="6"/>
      <c r="O156" s="4"/>
      <c r="P156" s="5"/>
      <c r="Q156" s="5"/>
      <c r="R156" s="5"/>
      <c r="S156" s="5"/>
      <c r="T156" s="5"/>
      <c r="U156" s="5"/>
      <c r="V156" s="5"/>
      <c r="W156" s="5"/>
      <c r="X156" s="6"/>
      <c r="Y156" s="4"/>
      <c r="Z156" s="5"/>
      <c r="AA156" s="5"/>
      <c r="AB156" s="5"/>
      <c r="AC156" s="5"/>
      <c r="AD156" s="5"/>
      <c r="AE156" s="5"/>
      <c r="AF156" s="5"/>
      <c r="AG156" s="5"/>
      <c r="AH156" s="5"/>
      <c r="AI156" s="6"/>
    </row>
    <row r="157" spans="1:35" x14ac:dyDescent="0.2">
      <c r="A157">
        <v>311130</v>
      </c>
      <c r="B157" t="s">
        <v>205</v>
      </c>
      <c r="C157" t="s">
        <v>206</v>
      </c>
      <c r="D157" t="s">
        <v>207</v>
      </c>
      <c r="E157" s="4">
        <v>5</v>
      </c>
      <c r="F157" s="5" t="s">
        <v>492</v>
      </c>
      <c r="G157" s="5"/>
      <c r="H157" s="5">
        <v>923</v>
      </c>
      <c r="I157" s="5">
        <v>495</v>
      </c>
      <c r="J157" s="8">
        <v>418</v>
      </c>
      <c r="K157" s="5">
        <f>6+4</f>
        <v>10</v>
      </c>
      <c r="L157" s="5">
        <f>I157+J157+K157</f>
        <v>923</v>
      </c>
      <c r="M157" s="5">
        <f>L157-H157</f>
        <v>0</v>
      </c>
      <c r="N157" s="6">
        <f>(I157-J157)/H157</f>
        <v>8.3423618634886246E-2</v>
      </c>
      <c r="O157" s="4">
        <v>22</v>
      </c>
      <c r="P157" s="5"/>
      <c r="Q157" s="5">
        <v>824</v>
      </c>
      <c r="R157" s="5">
        <v>233</v>
      </c>
      <c r="S157" s="8">
        <v>541</v>
      </c>
      <c r="T157" s="8">
        <v>7</v>
      </c>
      <c r="U157" s="8">
        <v>43</v>
      </c>
      <c r="V157" s="5">
        <f>R157+S157+T157+U157</f>
        <v>824</v>
      </c>
      <c r="W157" s="5">
        <f>V157-Q157</f>
        <v>0</v>
      </c>
      <c r="X157" s="6">
        <f>(R157-S157)/Q157</f>
        <v>-0.37378640776699029</v>
      </c>
      <c r="Y157" s="4">
        <v>25</v>
      </c>
      <c r="Z157" s="5"/>
      <c r="AA157" s="5"/>
      <c r="AB157" s="5">
        <v>1015</v>
      </c>
      <c r="AC157" s="5">
        <v>450</v>
      </c>
      <c r="AD157" s="8">
        <v>533</v>
      </c>
      <c r="AE157" s="8"/>
      <c r="AF157" s="8">
        <f>16+16</f>
        <v>32</v>
      </c>
      <c r="AG157" s="5">
        <f>AC157+AD157+AE157+AF157</f>
        <v>1015</v>
      </c>
      <c r="AH157" s="5">
        <f>AG157-AB157</f>
        <v>0</v>
      </c>
      <c r="AI157" s="6">
        <f>(AC157-AD157)/AB157</f>
        <v>-8.1773399014778328E-2</v>
      </c>
    </row>
    <row r="158" spans="1:35" x14ac:dyDescent="0.2">
      <c r="A158">
        <v>311770</v>
      </c>
      <c r="B158" t="s">
        <v>205</v>
      </c>
      <c r="C158" t="s">
        <v>208</v>
      </c>
      <c r="D158" t="s">
        <v>209</v>
      </c>
      <c r="E158" s="4">
        <v>4</v>
      </c>
      <c r="F158" s="5" t="s">
        <v>493</v>
      </c>
      <c r="G158" s="5"/>
      <c r="H158" s="5">
        <v>8845</v>
      </c>
      <c r="I158" s="5">
        <v>3311</v>
      </c>
      <c r="J158" s="8">
        <v>5295</v>
      </c>
      <c r="K158" s="5">
        <f>204+35</f>
        <v>239</v>
      </c>
      <c r="L158" s="5">
        <f>I158+J158+K158</f>
        <v>8845</v>
      </c>
      <c r="M158" s="5">
        <f>L158-H158</f>
        <v>0</v>
      </c>
      <c r="N158" s="6">
        <f>(I158-J158)/H158</f>
        <v>-0.22430751837196156</v>
      </c>
      <c r="O158" s="4">
        <v>17</v>
      </c>
      <c r="P158" s="5"/>
      <c r="Q158" s="5">
        <v>10349</v>
      </c>
      <c r="R158" s="5">
        <v>4704</v>
      </c>
      <c r="S158" s="8">
        <v>5433</v>
      </c>
      <c r="T158" s="8">
        <v>0</v>
      </c>
      <c r="U158" s="8">
        <v>212</v>
      </c>
      <c r="V158" s="5">
        <f>R158+S158+T158+U158</f>
        <v>10349</v>
      </c>
      <c r="W158" s="5">
        <f>V158-Q158</f>
        <v>0</v>
      </c>
      <c r="X158" s="6">
        <f>(R158-S158)/Q158</f>
        <v>-7.0441588559281093E-2</v>
      </c>
      <c r="Y158" s="4">
        <v>18</v>
      </c>
      <c r="Z158" s="5"/>
      <c r="AA158" s="5"/>
      <c r="AB158" s="5">
        <v>12236</v>
      </c>
      <c r="AC158" s="5">
        <v>6398</v>
      </c>
      <c r="AD158" s="8">
        <v>5409</v>
      </c>
      <c r="AE158" s="8"/>
      <c r="AF158" s="8">
        <v>429</v>
      </c>
      <c r="AG158" s="5">
        <f>AC158+AD158+AE158+AF158</f>
        <v>12236</v>
      </c>
      <c r="AH158" s="5">
        <f>AG158-AB158</f>
        <v>0</v>
      </c>
      <c r="AI158" s="6">
        <f>(AC158-AD158)/AB158</f>
        <v>8.0827067669172928E-2</v>
      </c>
    </row>
    <row r="159" spans="1:35" x14ac:dyDescent="0.2">
      <c r="A159">
        <v>330520</v>
      </c>
      <c r="B159" t="s">
        <v>205</v>
      </c>
      <c r="C159" t="s">
        <v>149</v>
      </c>
      <c r="D159" t="s">
        <v>210</v>
      </c>
      <c r="E159" s="4">
        <v>4</v>
      </c>
      <c r="F159" s="5" t="s">
        <v>494</v>
      </c>
      <c r="G159" s="5"/>
      <c r="H159" s="5">
        <v>7121</v>
      </c>
      <c r="I159" s="5">
        <v>3193</v>
      </c>
      <c r="J159" s="8">
        <v>3537</v>
      </c>
      <c r="K159" s="5">
        <f>300+91</f>
        <v>391</v>
      </c>
      <c r="L159" s="5">
        <f>I159+J159+K159</f>
        <v>7121</v>
      </c>
      <c r="M159" s="5">
        <f>L159-H159</f>
        <v>0</v>
      </c>
      <c r="N159" s="6">
        <f>(I159-J159)/H159</f>
        <v>-4.8307821935121474E-2</v>
      </c>
      <c r="O159" s="4">
        <v>17</v>
      </c>
      <c r="P159" s="5"/>
      <c r="Q159" s="5">
        <v>8011</v>
      </c>
      <c r="R159" s="5">
        <v>4176</v>
      </c>
      <c r="S159" s="8">
        <v>3469</v>
      </c>
      <c r="T159" s="8">
        <v>0</v>
      </c>
      <c r="U159" s="8">
        <v>366</v>
      </c>
      <c r="V159" s="5">
        <f>R159+S159+T159+U159</f>
        <v>8011</v>
      </c>
      <c r="W159" s="5">
        <f>V159-Q159</f>
        <v>0</v>
      </c>
      <c r="X159" s="6">
        <f>(R159-S159)/Q159</f>
        <v>8.825365122955936E-2</v>
      </c>
      <c r="Y159" s="4">
        <v>18</v>
      </c>
      <c r="Z159" s="5"/>
      <c r="AA159" s="5"/>
      <c r="AB159" s="5">
        <v>8914</v>
      </c>
      <c r="AC159" s="5">
        <v>4953</v>
      </c>
      <c r="AD159" s="8">
        <v>3425</v>
      </c>
      <c r="AE159" s="8"/>
      <c r="AF159" s="8">
        <v>536</v>
      </c>
      <c r="AG159" s="5">
        <f>AC159+AD159+AE159+AF159</f>
        <v>8914</v>
      </c>
      <c r="AH159" s="5">
        <f>AG159-AB159</f>
        <v>0</v>
      </c>
      <c r="AI159" s="6">
        <f>(AC159-AD159)/AB159</f>
        <v>0.17141575050482388</v>
      </c>
    </row>
    <row r="160" spans="1:35" x14ac:dyDescent="0.2">
      <c r="A160">
        <v>33013095</v>
      </c>
      <c r="B160" t="s">
        <v>205</v>
      </c>
      <c r="C160" t="s">
        <v>211</v>
      </c>
      <c r="D160" t="s">
        <v>210</v>
      </c>
      <c r="E160" s="4">
        <v>5</v>
      </c>
      <c r="F160" s="5" t="s">
        <v>495</v>
      </c>
      <c r="G160" s="5"/>
      <c r="H160" s="8">
        <v>434</v>
      </c>
      <c r="I160" s="8">
        <v>199</v>
      </c>
      <c r="J160" s="8">
        <v>86</v>
      </c>
      <c r="K160" s="5">
        <f>1+148</f>
        <v>149</v>
      </c>
      <c r="L160" s="5">
        <f>I160+J160+K160</f>
        <v>434</v>
      </c>
      <c r="M160" s="5">
        <f>L160-H160</f>
        <v>0</v>
      </c>
      <c r="N160" s="6">
        <f>(I160-J160)/H160</f>
        <v>0.26036866359447003</v>
      </c>
      <c r="O160" s="4">
        <v>25</v>
      </c>
      <c r="P160" s="5"/>
      <c r="Q160" s="8">
        <v>226</v>
      </c>
      <c r="R160" s="8">
        <v>120</v>
      </c>
      <c r="S160" s="8">
        <v>64</v>
      </c>
      <c r="T160" s="8">
        <v>0</v>
      </c>
      <c r="U160" s="8">
        <v>42</v>
      </c>
      <c r="V160" s="5">
        <f>R160+S160+T160+U160</f>
        <v>226</v>
      </c>
      <c r="W160" s="5">
        <f>V160-Q160</f>
        <v>0</v>
      </c>
      <c r="X160" s="6">
        <f>(R160-S160)/Q160</f>
        <v>0.24778761061946902</v>
      </c>
      <c r="Y160" s="4">
        <v>28</v>
      </c>
      <c r="Z160" s="5"/>
      <c r="AA160" s="5">
        <v>1</v>
      </c>
      <c r="AB160" s="8">
        <v>24492</v>
      </c>
      <c r="AC160" s="8">
        <v>13577</v>
      </c>
      <c r="AD160" s="8">
        <v>6150</v>
      </c>
      <c r="AE160" s="8"/>
      <c r="AF160" s="8">
        <v>4765</v>
      </c>
      <c r="AG160" s="5">
        <f>AC160+AD160+AE160+AF160</f>
        <v>24492</v>
      </c>
      <c r="AH160" s="5">
        <f>AG160-AB160</f>
        <v>0</v>
      </c>
      <c r="AI160" s="6">
        <f>(AC160-AD160)/AB160</f>
        <v>0.30324187489792587</v>
      </c>
    </row>
    <row r="161" spans="1:35" x14ac:dyDescent="0.2">
      <c r="A161">
        <v>332170</v>
      </c>
      <c r="B161" t="s">
        <v>205</v>
      </c>
      <c r="C161" t="s">
        <v>212</v>
      </c>
      <c r="D161" t="s">
        <v>213</v>
      </c>
      <c r="E161" s="4">
        <v>4</v>
      </c>
      <c r="F161" s="5" t="s">
        <v>496</v>
      </c>
      <c r="G161" s="5"/>
      <c r="H161" s="5">
        <v>4122</v>
      </c>
      <c r="I161" s="5">
        <v>1798</v>
      </c>
      <c r="J161" s="8">
        <v>2197</v>
      </c>
      <c r="K161" s="5">
        <f>102+25</f>
        <v>127</v>
      </c>
      <c r="L161" s="5">
        <f>I161+J161+K161</f>
        <v>4122</v>
      </c>
      <c r="M161" s="5">
        <f>L161-H161</f>
        <v>0</v>
      </c>
      <c r="N161" s="6">
        <f>(I161-J161)/H161</f>
        <v>-9.6797671033478888E-2</v>
      </c>
      <c r="O161" s="4">
        <v>17</v>
      </c>
      <c r="P161" s="5"/>
      <c r="Q161" s="5">
        <v>5943</v>
      </c>
      <c r="R161" s="5">
        <v>2562</v>
      </c>
      <c r="S161" s="8">
        <v>3123</v>
      </c>
      <c r="T161" s="8">
        <v>4</v>
      </c>
      <c r="U161" s="8">
        <v>254</v>
      </c>
      <c r="V161" s="5">
        <f>R161+S161+T161+U161</f>
        <v>5943</v>
      </c>
      <c r="W161" s="5">
        <f>V161-Q161</f>
        <v>0</v>
      </c>
      <c r="X161" s="6">
        <f>(R161-S161)/Q161</f>
        <v>-9.4396769308430092E-2</v>
      </c>
      <c r="Y161" s="4">
        <v>18</v>
      </c>
      <c r="Z161" s="5"/>
      <c r="AA161" s="5"/>
      <c r="AB161" s="5">
        <v>8080</v>
      </c>
      <c r="AC161" s="5">
        <v>3483</v>
      </c>
      <c r="AD161" s="8">
        <v>3950</v>
      </c>
      <c r="AE161" s="8"/>
      <c r="AF161" s="8">
        <v>647</v>
      </c>
      <c r="AG161" s="5">
        <f>AC161+AD161+AE161+AF161</f>
        <v>8080</v>
      </c>
      <c r="AH161" s="5">
        <f>AG161-AB161</f>
        <v>0</v>
      </c>
      <c r="AI161" s="6">
        <f>(AC161-AD161)/AB161</f>
        <v>-5.77970297029703E-2</v>
      </c>
    </row>
    <row r="162" spans="1:35" x14ac:dyDescent="0.2">
      <c r="E162" s="4"/>
      <c r="F162" s="5"/>
      <c r="G162" s="5"/>
      <c r="H162" s="5"/>
      <c r="I162" s="5"/>
      <c r="J162" s="5"/>
      <c r="K162" s="5"/>
      <c r="L162" s="5"/>
      <c r="M162" s="5"/>
      <c r="N162" s="6"/>
      <c r="O162" s="4"/>
      <c r="P162" s="5"/>
      <c r="Q162" s="5"/>
      <c r="R162" s="5"/>
      <c r="S162" s="5"/>
      <c r="T162" s="5"/>
      <c r="U162" s="5"/>
      <c r="V162" s="5"/>
      <c r="W162" s="5"/>
      <c r="X162" s="6"/>
      <c r="Y162" s="4"/>
      <c r="Z162" s="5"/>
      <c r="AA162" s="5"/>
      <c r="AB162" s="5"/>
      <c r="AC162" s="5"/>
      <c r="AD162" s="5"/>
      <c r="AE162" s="5"/>
      <c r="AF162" s="5"/>
      <c r="AG162" s="5"/>
      <c r="AH162" s="5"/>
      <c r="AI162" s="6"/>
    </row>
    <row r="163" spans="1:35" x14ac:dyDescent="0.2">
      <c r="A163">
        <v>341740</v>
      </c>
      <c r="B163" t="s">
        <v>214</v>
      </c>
      <c r="C163" t="s">
        <v>215</v>
      </c>
      <c r="D163" t="s">
        <v>216</v>
      </c>
      <c r="E163" s="4">
        <v>4</v>
      </c>
      <c r="F163" s="5" t="s">
        <v>481</v>
      </c>
      <c r="G163" s="5"/>
      <c r="H163" s="8">
        <v>5299</v>
      </c>
      <c r="I163" s="8">
        <v>2229</v>
      </c>
      <c r="J163" s="8">
        <v>2797</v>
      </c>
      <c r="K163" s="5">
        <f>244+29</f>
        <v>273</v>
      </c>
      <c r="L163" s="5">
        <f t="shared" ref="L163:L175" si="57">I163+J163+K163</f>
        <v>5299</v>
      </c>
      <c r="M163" s="5">
        <f t="shared" ref="M163:M175" si="58">L163-H163</f>
        <v>0</v>
      </c>
      <c r="N163" s="6">
        <f t="shared" ref="N163:N175" si="59">(I163-J163)/H163</f>
        <v>-0.10719003585582185</v>
      </c>
      <c r="O163" s="4">
        <v>17</v>
      </c>
      <c r="P163" s="5"/>
      <c r="Q163" s="8">
        <v>7053</v>
      </c>
      <c r="R163" s="8">
        <v>3478</v>
      </c>
      <c r="S163" s="8">
        <v>3383</v>
      </c>
      <c r="T163" s="8">
        <v>6</v>
      </c>
      <c r="U163" s="8">
        <v>186</v>
      </c>
      <c r="V163" s="5">
        <f t="shared" ref="V163:V175" si="60">R163+S163+T163+U163</f>
        <v>7053</v>
      </c>
      <c r="W163" s="5">
        <f t="shared" ref="W163:W175" si="61">V163-Q163</f>
        <v>0</v>
      </c>
      <c r="X163" s="6">
        <f t="shared" ref="X163:X175" si="62">(R163-S163)/Q163</f>
        <v>1.3469445625974763E-2</v>
      </c>
      <c r="Y163" s="4">
        <v>18</v>
      </c>
      <c r="Z163" s="5"/>
      <c r="AA163" s="5"/>
      <c r="AB163" s="8">
        <v>8227</v>
      </c>
      <c r="AC163" s="8">
        <v>4531</v>
      </c>
      <c r="AD163" s="8">
        <v>3538</v>
      </c>
      <c r="AE163" s="8"/>
      <c r="AF163" s="8">
        <v>158</v>
      </c>
      <c r="AG163" s="5">
        <f t="shared" ref="AG163:AG175" si="63">AC163+AD163+AE163+AF163</f>
        <v>8227</v>
      </c>
      <c r="AH163" s="5">
        <f t="shared" ref="AH163:AH175" si="64">AG163-AB163</f>
        <v>0</v>
      </c>
      <c r="AI163" s="6">
        <f t="shared" ref="AI163:AI175" si="65">(AC163-AD163)/AB163</f>
        <v>0.1207001337060897</v>
      </c>
    </row>
    <row r="164" spans="1:35" x14ac:dyDescent="0.2">
      <c r="A164">
        <v>341355</v>
      </c>
      <c r="B164" t="s">
        <v>214</v>
      </c>
      <c r="C164" t="s">
        <v>147</v>
      </c>
      <c r="D164" t="s">
        <v>147</v>
      </c>
      <c r="E164" s="4">
        <v>4</v>
      </c>
      <c r="F164" s="5" t="s">
        <v>398</v>
      </c>
      <c r="G164" s="5"/>
      <c r="H164" s="8">
        <v>2845</v>
      </c>
      <c r="I164" s="8">
        <v>1364</v>
      </c>
      <c r="J164" s="8">
        <v>1354</v>
      </c>
      <c r="K164" s="5">
        <f>87+40</f>
        <v>127</v>
      </c>
      <c r="L164" s="5">
        <f t="shared" si="57"/>
        <v>2845</v>
      </c>
      <c r="M164" s="5">
        <f t="shared" si="58"/>
        <v>0</v>
      </c>
      <c r="N164" s="6">
        <f t="shared" si="59"/>
        <v>3.5149384885764497E-3</v>
      </c>
      <c r="O164" s="4">
        <v>17</v>
      </c>
      <c r="P164" s="5"/>
      <c r="Q164" s="8">
        <v>3335</v>
      </c>
      <c r="R164" s="8">
        <v>2053</v>
      </c>
      <c r="S164" s="8">
        <v>1151</v>
      </c>
      <c r="T164" s="8">
        <v>0</v>
      </c>
      <c r="U164" s="8">
        <v>131</v>
      </c>
      <c r="V164" s="5">
        <f t="shared" si="60"/>
        <v>3335</v>
      </c>
      <c r="W164" s="5">
        <f t="shared" si="61"/>
        <v>0</v>
      </c>
      <c r="X164" s="6">
        <f t="shared" si="62"/>
        <v>0.27046476761619193</v>
      </c>
      <c r="Y164" s="4">
        <v>22</v>
      </c>
      <c r="Z164" s="5"/>
      <c r="AA164" s="5"/>
      <c r="AB164" s="8">
        <v>3883</v>
      </c>
      <c r="AC164" s="8">
        <v>2655</v>
      </c>
      <c r="AD164" s="8">
        <v>1007</v>
      </c>
      <c r="AE164" s="8"/>
      <c r="AF164" s="8">
        <v>221</v>
      </c>
      <c r="AG164" s="5">
        <f t="shared" si="63"/>
        <v>3883</v>
      </c>
      <c r="AH164" s="5">
        <f t="shared" si="64"/>
        <v>0</v>
      </c>
      <c r="AI164" s="6">
        <f t="shared" si="65"/>
        <v>0.4244141127993819</v>
      </c>
    </row>
    <row r="165" spans="1:35" x14ac:dyDescent="0.2">
      <c r="A165">
        <v>341390</v>
      </c>
      <c r="B165" t="s">
        <v>214</v>
      </c>
      <c r="C165" t="s">
        <v>217</v>
      </c>
      <c r="D165" t="s">
        <v>217</v>
      </c>
      <c r="E165" s="4">
        <v>4</v>
      </c>
      <c r="F165" s="5" t="s">
        <v>482</v>
      </c>
      <c r="G165" s="5"/>
      <c r="H165" s="8">
        <v>31440</v>
      </c>
      <c r="I165" s="8">
        <v>11354</v>
      </c>
      <c r="J165" s="8">
        <v>19124</v>
      </c>
      <c r="K165" s="5">
        <f>938+24</f>
        <v>962</v>
      </c>
      <c r="L165" s="5">
        <f t="shared" si="57"/>
        <v>31440</v>
      </c>
      <c r="M165" s="5">
        <f t="shared" si="58"/>
        <v>0</v>
      </c>
      <c r="N165" s="6">
        <f t="shared" si="59"/>
        <v>-0.24713740458015268</v>
      </c>
      <c r="O165" s="4">
        <v>17</v>
      </c>
      <c r="P165" s="5"/>
      <c r="Q165" s="8">
        <v>35510</v>
      </c>
      <c r="R165" s="8">
        <v>21471</v>
      </c>
      <c r="S165" s="8">
        <v>13006</v>
      </c>
      <c r="T165" s="8">
        <v>25</v>
      </c>
      <c r="U165" s="8">
        <v>1008</v>
      </c>
      <c r="V165" s="5">
        <f t="shared" si="60"/>
        <v>35510</v>
      </c>
      <c r="W165" s="5">
        <f t="shared" si="61"/>
        <v>0</v>
      </c>
      <c r="X165" s="6">
        <f t="shared" si="62"/>
        <v>0.23838355392847085</v>
      </c>
      <c r="Y165" s="4">
        <v>12</v>
      </c>
      <c r="Z165" s="5"/>
      <c r="AA165" s="5"/>
      <c r="AB165" s="8">
        <v>37015</v>
      </c>
      <c r="AC165" s="8">
        <v>22552</v>
      </c>
      <c r="AD165" s="8">
        <v>12656</v>
      </c>
      <c r="AE165" s="8"/>
      <c r="AF165" s="8">
        <v>1807</v>
      </c>
      <c r="AG165" s="5">
        <f t="shared" si="63"/>
        <v>37015</v>
      </c>
      <c r="AH165" s="5">
        <f t="shared" si="64"/>
        <v>0</v>
      </c>
      <c r="AI165" s="6">
        <f t="shared" si="65"/>
        <v>0.26735107388896395</v>
      </c>
    </row>
    <row r="166" spans="1:35" x14ac:dyDescent="0.2">
      <c r="A166">
        <v>342895</v>
      </c>
      <c r="B166" t="s">
        <v>214</v>
      </c>
      <c r="C166" t="s">
        <v>218</v>
      </c>
      <c r="D166" t="s">
        <v>134</v>
      </c>
      <c r="E166" s="4">
        <v>4</v>
      </c>
      <c r="F166" s="5" t="s">
        <v>483</v>
      </c>
      <c r="G166" s="5"/>
      <c r="H166" s="8">
        <v>116757</v>
      </c>
      <c r="I166" s="8">
        <v>20209</v>
      </c>
      <c r="J166" s="8">
        <v>91985</v>
      </c>
      <c r="K166" s="5">
        <f>4384+179</f>
        <v>4563</v>
      </c>
      <c r="L166" s="5">
        <f t="shared" si="57"/>
        <v>116757</v>
      </c>
      <c r="M166" s="5">
        <f t="shared" si="58"/>
        <v>0</v>
      </c>
      <c r="N166" s="6">
        <f t="shared" si="59"/>
        <v>-0.61474686742550766</v>
      </c>
      <c r="O166" s="4">
        <v>17</v>
      </c>
      <c r="P166" s="5"/>
      <c r="Q166" s="8">
        <v>124398</v>
      </c>
      <c r="R166" s="8">
        <v>28705</v>
      </c>
      <c r="S166" s="8">
        <v>93826</v>
      </c>
      <c r="T166" s="8">
        <v>82</v>
      </c>
      <c r="U166" s="8">
        <v>1785</v>
      </c>
      <c r="V166" s="5">
        <f t="shared" si="60"/>
        <v>124398</v>
      </c>
      <c r="W166" s="5">
        <f t="shared" si="61"/>
        <v>0</v>
      </c>
      <c r="X166" s="6">
        <f t="shared" si="62"/>
        <v>-0.52348912361935074</v>
      </c>
      <c r="Y166" s="4">
        <v>12</v>
      </c>
      <c r="Z166" s="5"/>
      <c r="AA166" s="5"/>
      <c r="AB166" s="8">
        <v>134872</v>
      </c>
      <c r="AC166" s="8">
        <v>28828</v>
      </c>
      <c r="AD166" s="8">
        <v>98944</v>
      </c>
      <c r="AE166" s="8"/>
      <c r="AF166" s="8">
        <v>7100</v>
      </c>
      <c r="AG166" s="5">
        <f t="shared" si="63"/>
        <v>134872</v>
      </c>
      <c r="AH166" s="5">
        <f t="shared" si="64"/>
        <v>0</v>
      </c>
      <c r="AI166" s="6">
        <f t="shared" si="65"/>
        <v>-0.51987069221187499</v>
      </c>
    </row>
    <row r="167" spans="1:35" x14ac:dyDescent="0.2">
      <c r="A167">
        <v>342290</v>
      </c>
      <c r="B167" t="s">
        <v>214</v>
      </c>
      <c r="C167" t="s">
        <v>219</v>
      </c>
      <c r="D167" t="s">
        <v>220</v>
      </c>
      <c r="E167" s="4">
        <v>4</v>
      </c>
      <c r="F167" s="5" t="s">
        <v>489</v>
      </c>
      <c r="G167" s="5"/>
      <c r="H167" s="8">
        <v>84797</v>
      </c>
      <c r="I167" s="8">
        <v>14593</v>
      </c>
      <c r="J167" s="8">
        <v>65091</v>
      </c>
      <c r="K167" s="5">
        <f>4998+115</f>
        <v>5113</v>
      </c>
      <c r="L167" s="5">
        <f t="shared" si="57"/>
        <v>84797</v>
      </c>
      <c r="M167" s="5">
        <f t="shared" si="58"/>
        <v>0</v>
      </c>
      <c r="N167" s="6">
        <f t="shared" si="59"/>
        <v>-0.59551635081429766</v>
      </c>
      <c r="O167" s="4">
        <v>17</v>
      </c>
      <c r="P167" s="5"/>
      <c r="Q167" s="8">
        <v>86009</v>
      </c>
      <c r="R167" s="8">
        <v>20390</v>
      </c>
      <c r="S167" s="8">
        <v>64566</v>
      </c>
      <c r="T167" s="8">
        <v>40</v>
      </c>
      <c r="U167" s="8">
        <v>1013</v>
      </c>
      <c r="V167" s="5">
        <f t="shared" si="60"/>
        <v>86009</v>
      </c>
      <c r="W167" s="5">
        <f t="shared" si="61"/>
        <v>0</v>
      </c>
      <c r="X167" s="6">
        <f t="shared" si="62"/>
        <v>-0.51362066760455305</v>
      </c>
      <c r="Y167" s="4">
        <v>12</v>
      </c>
      <c r="Z167" s="5"/>
      <c r="AA167" s="5"/>
      <c r="AB167" s="8">
        <v>91915</v>
      </c>
      <c r="AC167" s="8">
        <v>23797</v>
      </c>
      <c r="AD167" s="8">
        <v>64755</v>
      </c>
      <c r="AE167" s="8"/>
      <c r="AF167" s="8">
        <v>3363</v>
      </c>
      <c r="AG167" s="5">
        <f t="shared" si="63"/>
        <v>91915</v>
      </c>
      <c r="AH167" s="5">
        <f t="shared" si="64"/>
        <v>0</v>
      </c>
      <c r="AI167" s="6">
        <f t="shared" si="65"/>
        <v>-0.44560735462111734</v>
      </c>
    </row>
    <row r="168" spans="1:35" x14ac:dyDescent="0.2">
      <c r="A168">
        <v>343255</v>
      </c>
      <c r="B168" t="s">
        <v>214</v>
      </c>
      <c r="C168" t="s">
        <v>221</v>
      </c>
      <c r="D168" t="s">
        <v>222</v>
      </c>
      <c r="E168" s="4">
        <v>4</v>
      </c>
      <c r="F168" s="5" t="s">
        <v>490</v>
      </c>
      <c r="G168" s="5"/>
      <c r="H168" s="8">
        <v>2230</v>
      </c>
      <c r="I168" s="8">
        <v>703</v>
      </c>
      <c r="J168" s="8">
        <v>1430</v>
      </c>
      <c r="K168" s="5">
        <f>89+8</f>
        <v>97</v>
      </c>
      <c r="L168" s="5">
        <f t="shared" si="57"/>
        <v>2230</v>
      </c>
      <c r="M168" s="5">
        <f t="shared" si="58"/>
        <v>0</v>
      </c>
      <c r="N168" s="6">
        <f t="shared" si="59"/>
        <v>-0.32600896860986545</v>
      </c>
      <c r="O168" s="4">
        <v>17</v>
      </c>
      <c r="P168" s="5"/>
      <c r="Q168" s="8">
        <v>2622</v>
      </c>
      <c r="R168" s="8">
        <v>1020</v>
      </c>
      <c r="S168" s="8">
        <v>1558</v>
      </c>
      <c r="T168" s="8">
        <v>0</v>
      </c>
      <c r="U168" s="8">
        <v>44</v>
      </c>
      <c r="V168" s="5">
        <f t="shared" si="60"/>
        <v>2622</v>
      </c>
      <c r="W168" s="5">
        <f t="shared" si="61"/>
        <v>0</v>
      </c>
      <c r="X168" s="6">
        <f t="shared" si="62"/>
        <v>-0.20518688024408849</v>
      </c>
      <c r="Y168" s="4">
        <v>22</v>
      </c>
      <c r="Z168" s="5"/>
      <c r="AA168" s="5"/>
      <c r="AB168" s="8">
        <v>2939</v>
      </c>
      <c r="AC168" s="8">
        <v>1246</v>
      </c>
      <c r="AD168" s="8">
        <v>1620</v>
      </c>
      <c r="AE168" s="8"/>
      <c r="AF168" s="8">
        <v>73</v>
      </c>
      <c r="AG168" s="5">
        <f t="shared" si="63"/>
        <v>2939</v>
      </c>
      <c r="AH168" s="5">
        <f t="shared" si="64"/>
        <v>0</v>
      </c>
      <c r="AI168" s="6">
        <f t="shared" si="65"/>
        <v>-0.12725416808438245</v>
      </c>
    </row>
    <row r="169" spans="1:35" x14ac:dyDescent="0.2">
      <c r="A169">
        <v>343770</v>
      </c>
      <c r="B169" t="s">
        <v>214</v>
      </c>
      <c r="C169" t="s">
        <v>223</v>
      </c>
      <c r="D169" t="s">
        <v>222</v>
      </c>
      <c r="E169" s="4">
        <v>4</v>
      </c>
      <c r="F169" s="5" t="s">
        <v>484</v>
      </c>
      <c r="G169" s="5"/>
      <c r="H169" s="8">
        <v>30294</v>
      </c>
      <c r="I169" s="8">
        <v>11863</v>
      </c>
      <c r="J169" s="8">
        <v>17731</v>
      </c>
      <c r="K169" s="5">
        <f>655+45</f>
        <v>700</v>
      </c>
      <c r="L169" s="5">
        <f t="shared" si="57"/>
        <v>30294</v>
      </c>
      <c r="M169" s="5">
        <f t="shared" si="58"/>
        <v>0</v>
      </c>
      <c r="N169" s="6">
        <f t="shared" si="59"/>
        <v>-0.19370172311348782</v>
      </c>
      <c r="O169" s="4">
        <v>17</v>
      </c>
      <c r="P169" s="5"/>
      <c r="Q169" s="8">
        <v>32806</v>
      </c>
      <c r="R169" s="8">
        <v>19171</v>
      </c>
      <c r="S169" s="8">
        <v>13116</v>
      </c>
      <c r="T169" s="8">
        <v>5</v>
      </c>
      <c r="U169" s="8">
        <v>514</v>
      </c>
      <c r="V169" s="5">
        <f t="shared" si="60"/>
        <v>32806</v>
      </c>
      <c r="W169" s="5">
        <f t="shared" si="61"/>
        <v>0</v>
      </c>
      <c r="X169" s="6">
        <f t="shared" si="62"/>
        <v>0.18456989575077729</v>
      </c>
      <c r="Y169" s="4">
        <v>12</v>
      </c>
      <c r="Z169" s="5"/>
      <c r="AA169" s="5"/>
      <c r="AB169" s="8">
        <v>34913</v>
      </c>
      <c r="AC169" s="8">
        <v>19659</v>
      </c>
      <c r="AD169" s="8">
        <v>13988</v>
      </c>
      <c r="AE169" s="8"/>
      <c r="AF169" s="8">
        <v>1266</v>
      </c>
      <c r="AG169" s="5">
        <f t="shared" si="63"/>
        <v>34913</v>
      </c>
      <c r="AH169" s="5">
        <f t="shared" si="64"/>
        <v>0</v>
      </c>
      <c r="AI169" s="6">
        <f t="shared" si="65"/>
        <v>0.16243233179617908</v>
      </c>
    </row>
    <row r="170" spans="1:35" x14ac:dyDescent="0.2">
      <c r="A170">
        <v>342900</v>
      </c>
      <c r="B170" t="s">
        <v>214</v>
      </c>
      <c r="C170" t="s">
        <v>224</v>
      </c>
      <c r="D170" t="s">
        <v>146</v>
      </c>
      <c r="E170" s="4">
        <v>4</v>
      </c>
      <c r="F170" s="5" t="s">
        <v>485</v>
      </c>
      <c r="G170" s="5"/>
      <c r="H170" s="8">
        <v>8838</v>
      </c>
      <c r="I170" s="8">
        <v>3067</v>
      </c>
      <c r="J170" s="8">
        <v>5600</v>
      </c>
      <c r="K170" s="5">
        <f>154+17</f>
        <v>171</v>
      </c>
      <c r="L170" s="5">
        <f t="shared" si="57"/>
        <v>8838</v>
      </c>
      <c r="M170" s="5">
        <f t="shared" si="58"/>
        <v>0</v>
      </c>
      <c r="N170" s="6">
        <f t="shared" si="59"/>
        <v>-0.2866033039149129</v>
      </c>
      <c r="O170" s="4">
        <v>17</v>
      </c>
      <c r="P170" s="5"/>
      <c r="Q170" s="8">
        <v>10888</v>
      </c>
      <c r="R170" s="8">
        <v>4266</v>
      </c>
      <c r="S170" s="8">
        <v>6148</v>
      </c>
      <c r="T170" s="8">
        <v>3</v>
      </c>
      <c r="U170" s="8">
        <v>471</v>
      </c>
      <c r="V170" s="5">
        <f t="shared" si="60"/>
        <v>10888</v>
      </c>
      <c r="W170" s="5">
        <f t="shared" si="61"/>
        <v>0</v>
      </c>
      <c r="X170" s="6">
        <f t="shared" si="62"/>
        <v>-0.17285084496693609</v>
      </c>
      <c r="Y170" s="4">
        <v>18</v>
      </c>
      <c r="Z170" s="5"/>
      <c r="AA170" s="5"/>
      <c r="AB170" s="8">
        <v>12480</v>
      </c>
      <c r="AC170" s="8">
        <v>5061</v>
      </c>
      <c r="AD170" s="8">
        <v>7091</v>
      </c>
      <c r="AE170" s="8"/>
      <c r="AF170" s="8">
        <v>328</v>
      </c>
      <c r="AG170" s="5">
        <f t="shared" si="63"/>
        <v>12480</v>
      </c>
      <c r="AH170" s="5">
        <f t="shared" si="64"/>
        <v>0</v>
      </c>
      <c r="AI170" s="6">
        <f t="shared" si="65"/>
        <v>-0.16266025641025642</v>
      </c>
    </row>
    <row r="171" spans="1:35" x14ac:dyDescent="0.2">
      <c r="A171">
        <v>343230</v>
      </c>
      <c r="B171" t="s">
        <v>214</v>
      </c>
      <c r="C171" t="s">
        <v>225</v>
      </c>
      <c r="D171" t="s">
        <v>226</v>
      </c>
      <c r="E171" s="4">
        <v>6</v>
      </c>
      <c r="F171" s="5" t="s">
        <v>491</v>
      </c>
      <c r="G171" s="5"/>
      <c r="H171" s="8">
        <v>4</v>
      </c>
      <c r="I171" s="8">
        <v>1</v>
      </c>
      <c r="J171" s="8">
        <v>2</v>
      </c>
      <c r="K171" s="8">
        <v>1</v>
      </c>
      <c r="L171" s="5">
        <f t="shared" si="57"/>
        <v>4</v>
      </c>
      <c r="M171" s="5">
        <f t="shared" si="58"/>
        <v>0</v>
      </c>
      <c r="N171" s="6">
        <f t="shared" si="59"/>
        <v>-0.25</v>
      </c>
      <c r="O171" s="4">
        <v>22</v>
      </c>
      <c r="P171" s="5"/>
      <c r="Q171" s="8">
        <v>1864</v>
      </c>
      <c r="R171" s="8">
        <v>671</v>
      </c>
      <c r="S171" s="8">
        <v>268</v>
      </c>
      <c r="T171" s="8">
        <v>0</v>
      </c>
      <c r="U171" s="8">
        <v>925</v>
      </c>
      <c r="V171" s="5">
        <f t="shared" si="60"/>
        <v>1864</v>
      </c>
      <c r="W171" s="5">
        <f t="shared" si="61"/>
        <v>0</v>
      </c>
      <c r="X171" s="6">
        <f t="shared" si="62"/>
        <v>0.21620171673819744</v>
      </c>
      <c r="Y171" s="4">
        <v>25</v>
      </c>
      <c r="Z171" s="5"/>
      <c r="AA171" s="5"/>
      <c r="AB171" s="8">
        <v>2433</v>
      </c>
      <c r="AC171" s="8">
        <v>963</v>
      </c>
      <c r="AD171" s="8">
        <v>338</v>
      </c>
      <c r="AE171" s="8"/>
      <c r="AF171" s="8">
        <f>100+1032</f>
        <v>1132</v>
      </c>
      <c r="AG171" s="5">
        <f t="shared" si="63"/>
        <v>2433</v>
      </c>
      <c r="AH171" s="5">
        <f t="shared" si="64"/>
        <v>0</v>
      </c>
      <c r="AI171" s="6">
        <f t="shared" si="65"/>
        <v>0.2568845047266749</v>
      </c>
    </row>
    <row r="172" spans="1:35" x14ac:dyDescent="0.2">
      <c r="A172">
        <v>34029</v>
      </c>
      <c r="B172" t="s">
        <v>214</v>
      </c>
      <c r="C172" t="s">
        <v>453</v>
      </c>
      <c r="D172" t="s">
        <v>226</v>
      </c>
      <c r="E172" s="4">
        <v>6</v>
      </c>
      <c r="F172" s="5" t="s">
        <v>626</v>
      </c>
      <c r="G172" s="5">
        <v>1</v>
      </c>
      <c r="H172" s="8">
        <v>972</v>
      </c>
      <c r="I172" s="8">
        <v>753</v>
      </c>
      <c r="J172" s="8">
        <v>132</v>
      </c>
      <c r="K172" s="5">
        <f>59+28</f>
        <v>87</v>
      </c>
      <c r="L172" s="5">
        <f t="shared" si="57"/>
        <v>972</v>
      </c>
      <c r="M172" s="5">
        <f t="shared" si="58"/>
        <v>0</v>
      </c>
      <c r="N172" s="6">
        <f t="shared" si="59"/>
        <v>0.63888888888888884</v>
      </c>
      <c r="O172" s="4">
        <v>26</v>
      </c>
      <c r="P172" s="5"/>
      <c r="Q172" s="8">
        <v>38485</v>
      </c>
      <c r="R172" s="8">
        <v>12662</v>
      </c>
      <c r="S172" s="8">
        <v>5018</v>
      </c>
      <c r="T172" s="8">
        <v>113</v>
      </c>
      <c r="U172" s="8">
        <v>20692</v>
      </c>
      <c r="V172" s="5">
        <f t="shared" si="60"/>
        <v>38485</v>
      </c>
      <c r="W172" s="5">
        <f t="shared" si="61"/>
        <v>0</v>
      </c>
      <c r="X172" s="6">
        <f t="shared" si="62"/>
        <v>0.19862284006755879</v>
      </c>
      <c r="Y172" s="4">
        <v>31</v>
      </c>
      <c r="Z172" s="5"/>
      <c r="AA172" s="5">
        <v>1</v>
      </c>
      <c r="AB172" s="8">
        <v>55801</v>
      </c>
      <c r="AC172" s="8">
        <v>17236</v>
      </c>
      <c r="AD172" s="8">
        <v>3475</v>
      </c>
      <c r="AE172" s="8"/>
      <c r="AF172" s="8">
        <v>35090</v>
      </c>
      <c r="AG172" s="5">
        <f t="shared" si="63"/>
        <v>55801</v>
      </c>
      <c r="AH172" s="5">
        <f t="shared" si="64"/>
        <v>0</v>
      </c>
      <c r="AI172" s="6">
        <f t="shared" si="65"/>
        <v>0.24660848371892977</v>
      </c>
    </row>
    <row r="173" spans="1:35" x14ac:dyDescent="0.2">
      <c r="A173">
        <v>343110</v>
      </c>
      <c r="B173" t="s">
        <v>214</v>
      </c>
      <c r="C173" t="s">
        <v>227</v>
      </c>
      <c r="D173" t="s">
        <v>227</v>
      </c>
      <c r="E173" s="4">
        <v>4</v>
      </c>
      <c r="F173" s="5" t="s">
        <v>486</v>
      </c>
      <c r="G173" s="5"/>
      <c r="H173" s="5">
        <v>16463</v>
      </c>
      <c r="I173" s="5">
        <v>3401</v>
      </c>
      <c r="J173" s="8">
        <v>12624</v>
      </c>
      <c r="K173" s="5">
        <f>403+35</f>
        <v>438</v>
      </c>
      <c r="L173" s="5">
        <f t="shared" si="57"/>
        <v>16463</v>
      </c>
      <c r="M173" s="5">
        <f t="shared" si="58"/>
        <v>0</v>
      </c>
      <c r="N173" s="6">
        <f t="shared" si="59"/>
        <v>-0.56022596124643143</v>
      </c>
      <c r="O173" s="4">
        <v>17</v>
      </c>
      <c r="P173" s="5"/>
      <c r="Q173" s="8">
        <v>17745</v>
      </c>
      <c r="R173" s="8">
        <v>5050</v>
      </c>
      <c r="S173" s="8">
        <v>12319</v>
      </c>
      <c r="T173" s="8">
        <v>6</v>
      </c>
      <c r="U173" s="8">
        <v>370</v>
      </c>
      <c r="V173" s="5">
        <f t="shared" si="60"/>
        <v>17745</v>
      </c>
      <c r="W173" s="5">
        <f t="shared" si="61"/>
        <v>0</v>
      </c>
      <c r="X173" s="6">
        <f t="shared" si="62"/>
        <v>-0.409636517328825</v>
      </c>
      <c r="Y173" s="4">
        <v>31</v>
      </c>
      <c r="Z173" s="5"/>
      <c r="AA173" s="5">
        <v>1</v>
      </c>
      <c r="AB173" s="8">
        <v>5030</v>
      </c>
      <c r="AC173" s="8">
        <v>1855</v>
      </c>
      <c r="AD173" s="8">
        <v>420</v>
      </c>
      <c r="AE173" s="8"/>
      <c r="AF173" s="8">
        <v>2755</v>
      </c>
      <c r="AG173" s="5">
        <f t="shared" si="63"/>
        <v>5030</v>
      </c>
      <c r="AH173" s="5">
        <f t="shared" si="64"/>
        <v>0</v>
      </c>
      <c r="AI173" s="6">
        <f t="shared" si="65"/>
        <v>0.28528827037773358</v>
      </c>
    </row>
    <row r="174" spans="1:35" x14ac:dyDescent="0.2">
      <c r="A174">
        <v>341715</v>
      </c>
      <c r="B174" t="s">
        <v>214</v>
      </c>
      <c r="C174" t="s">
        <v>228</v>
      </c>
      <c r="D174" t="s">
        <v>229</v>
      </c>
      <c r="E174" s="4">
        <v>4</v>
      </c>
      <c r="F174" s="5" t="s">
        <v>487</v>
      </c>
      <c r="G174" s="5"/>
      <c r="H174" s="5">
        <v>29341</v>
      </c>
      <c r="I174" s="5">
        <v>8993</v>
      </c>
      <c r="J174" s="8">
        <v>18987</v>
      </c>
      <c r="K174" s="5">
        <f>1322+39</f>
        <v>1361</v>
      </c>
      <c r="L174" s="5">
        <f t="shared" si="57"/>
        <v>29341</v>
      </c>
      <c r="M174" s="5">
        <f t="shared" si="58"/>
        <v>0</v>
      </c>
      <c r="N174" s="6">
        <f t="shared" si="59"/>
        <v>-0.34061552094338982</v>
      </c>
      <c r="O174" s="4">
        <v>17</v>
      </c>
      <c r="P174" s="5"/>
      <c r="Q174" s="8">
        <v>32361</v>
      </c>
      <c r="R174" s="8">
        <v>12261</v>
      </c>
      <c r="S174" s="8">
        <v>19550</v>
      </c>
      <c r="T174" s="8">
        <v>9</v>
      </c>
      <c r="U174" s="8">
        <v>541</v>
      </c>
      <c r="V174" s="5">
        <f t="shared" si="60"/>
        <v>32361</v>
      </c>
      <c r="W174" s="5">
        <f t="shared" si="61"/>
        <v>0</v>
      </c>
      <c r="X174" s="6">
        <f t="shared" si="62"/>
        <v>-0.22524025833565095</v>
      </c>
      <c r="Y174" s="4">
        <v>12</v>
      </c>
      <c r="Z174" s="5"/>
      <c r="AA174" s="5"/>
      <c r="AB174" s="8">
        <v>35145</v>
      </c>
      <c r="AC174" s="8">
        <v>13137</v>
      </c>
      <c r="AD174" s="8">
        <v>20994</v>
      </c>
      <c r="AE174" s="8"/>
      <c r="AF174" s="8">
        <v>1014</v>
      </c>
      <c r="AG174" s="5">
        <f t="shared" si="63"/>
        <v>35145</v>
      </c>
      <c r="AH174" s="5">
        <f t="shared" si="64"/>
        <v>0</v>
      </c>
      <c r="AI174" s="6">
        <f t="shared" si="65"/>
        <v>-0.22355953905249679</v>
      </c>
    </row>
    <row r="175" spans="1:35" x14ac:dyDescent="0.2">
      <c r="A175">
        <v>343205</v>
      </c>
      <c r="B175" t="s">
        <v>214</v>
      </c>
      <c r="C175" t="s">
        <v>230</v>
      </c>
      <c r="D175" t="s">
        <v>229</v>
      </c>
      <c r="E175" s="4">
        <v>4</v>
      </c>
      <c r="F175" s="5" t="s">
        <v>488</v>
      </c>
      <c r="G175" s="5"/>
      <c r="H175" s="8">
        <v>10275</v>
      </c>
      <c r="I175" s="8">
        <v>3863</v>
      </c>
      <c r="J175" s="8">
        <v>6003</v>
      </c>
      <c r="K175" s="5">
        <f>382+27</f>
        <v>409</v>
      </c>
      <c r="L175" s="5">
        <f t="shared" si="57"/>
        <v>10275</v>
      </c>
      <c r="M175" s="5">
        <f t="shared" si="58"/>
        <v>0</v>
      </c>
      <c r="N175" s="6">
        <f t="shared" si="59"/>
        <v>-0.20827250608272507</v>
      </c>
      <c r="O175" s="4">
        <v>17</v>
      </c>
      <c r="P175" s="5"/>
      <c r="Q175" s="8">
        <v>12600</v>
      </c>
      <c r="R175" s="8">
        <v>6307</v>
      </c>
      <c r="S175" s="8">
        <v>5865</v>
      </c>
      <c r="T175" s="8">
        <v>4</v>
      </c>
      <c r="U175" s="8">
        <v>424</v>
      </c>
      <c r="V175" s="5">
        <f t="shared" si="60"/>
        <v>12600</v>
      </c>
      <c r="W175" s="5">
        <f t="shared" si="61"/>
        <v>0</v>
      </c>
      <c r="X175" s="6">
        <f t="shared" si="62"/>
        <v>3.5079365079365078E-2</v>
      </c>
      <c r="Y175" s="4">
        <v>18</v>
      </c>
      <c r="Z175" s="5"/>
      <c r="AA175" s="5"/>
      <c r="AB175" s="8">
        <v>14426</v>
      </c>
      <c r="AC175" s="8">
        <v>7513</v>
      </c>
      <c r="AD175" s="8">
        <v>6501</v>
      </c>
      <c r="AE175" s="8"/>
      <c r="AF175" s="8">
        <v>412</v>
      </c>
      <c r="AG175" s="5">
        <f t="shared" si="63"/>
        <v>14426</v>
      </c>
      <c r="AH175" s="5">
        <f t="shared" si="64"/>
        <v>0</v>
      </c>
      <c r="AI175" s="6">
        <f t="shared" si="65"/>
        <v>7.0151116040482464E-2</v>
      </c>
    </row>
    <row r="176" spans="1:35" x14ac:dyDescent="0.2">
      <c r="E176" s="4"/>
      <c r="F176" s="5"/>
      <c r="G176" s="5"/>
      <c r="H176" s="5"/>
      <c r="I176" s="5"/>
      <c r="J176" s="5"/>
      <c r="K176" s="5"/>
      <c r="L176" s="5"/>
      <c r="M176" s="5"/>
      <c r="N176" s="6"/>
      <c r="O176" s="4"/>
      <c r="P176" s="5"/>
      <c r="Q176" s="5"/>
      <c r="R176" s="5"/>
      <c r="S176" s="5"/>
      <c r="T176" s="5"/>
      <c r="U176" s="5"/>
      <c r="V176" s="5"/>
      <c r="W176" s="5"/>
      <c r="X176" s="6"/>
      <c r="Y176" s="4"/>
      <c r="Z176" s="5"/>
      <c r="AA176" s="5"/>
      <c r="AB176" s="5"/>
      <c r="AC176" s="5"/>
      <c r="AD176" s="5"/>
      <c r="AE176" s="5"/>
      <c r="AF176" s="5"/>
      <c r="AG176" s="5"/>
      <c r="AH176" s="5"/>
      <c r="AI176" s="6"/>
    </row>
    <row r="177" spans="1:35" x14ac:dyDescent="0.2">
      <c r="A177">
        <v>360030</v>
      </c>
      <c r="B177" t="s">
        <v>231</v>
      </c>
      <c r="C177" t="s">
        <v>232</v>
      </c>
      <c r="D177" t="s">
        <v>232</v>
      </c>
      <c r="E177" s="4">
        <v>4</v>
      </c>
      <c r="F177" s="5" t="s">
        <v>466</v>
      </c>
      <c r="G177" s="5"/>
      <c r="H177" s="8">
        <v>40448</v>
      </c>
      <c r="I177" s="8">
        <v>11787</v>
      </c>
      <c r="J177" s="8">
        <v>26189</v>
      </c>
      <c r="K177" s="5">
        <f>2363+109</f>
        <v>2472</v>
      </c>
      <c r="L177" s="5">
        <f t="shared" ref="L177:L189" si="66">I177+J177+K177</f>
        <v>40448</v>
      </c>
      <c r="M177" s="5">
        <f t="shared" ref="M177:M189" si="67">L177-H177</f>
        <v>0</v>
      </c>
      <c r="N177" s="6">
        <f t="shared" ref="N177:N189" si="68">(I177-J177)/H177</f>
        <v>-0.35606210443037972</v>
      </c>
      <c r="O177" s="4">
        <v>17</v>
      </c>
      <c r="P177" s="5"/>
      <c r="Q177" s="8">
        <v>42444</v>
      </c>
      <c r="R177" s="8">
        <v>15243</v>
      </c>
      <c r="S177" s="8">
        <v>26383</v>
      </c>
      <c r="T177" s="8">
        <v>17</v>
      </c>
      <c r="U177" s="8">
        <v>801</v>
      </c>
      <c r="V177" s="5">
        <f t="shared" ref="V177:V189" si="69">R177+S177+T177+U177</f>
        <v>42444</v>
      </c>
      <c r="W177" s="5">
        <f t="shared" ref="W177:W189" si="70">V177-Q177</f>
        <v>0</v>
      </c>
      <c r="X177" s="6">
        <f t="shared" ref="X177:X189" si="71">(R177-S177)/Q177</f>
        <v>-0.26246348129299785</v>
      </c>
      <c r="Y177" s="4">
        <v>12</v>
      </c>
      <c r="Z177" s="5"/>
      <c r="AA177" s="5"/>
      <c r="AB177" s="8">
        <v>46204</v>
      </c>
      <c r="AC177" s="8">
        <v>17288</v>
      </c>
      <c r="AD177" s="8">
        <v>26291</v>
      </c>
      <c r="AE177" s="8"/>
      <c r="AF177" s="8">
        <v>2625</v>
      </c>
      <c r="AG177" s="5">
        <f t="shared" ref="AG177:AG189" si="72">AC177+AD177+AE177+AF177</f>
        <v>46204</v>
      </c>
      <c r="AH177" s="5">
        <f t="shared" ref="AH177:AH189" si="73">AG177-AB177</f>
        <v>0</v>
      </c>
      <c r="AI177" s="6">
        <f t="shared" ref="AI177:AI189" si="74">(AC177-AD177)/AB177</f>
        <v>-0.19485325945805557</v>
      </c>
    </row>
    <row r="178" spans="1:35" x14ac:dyDescent="0.2">
      <c r="A178">
        <v>363100</v>
      </c>
      <c r="B178" t="s">
        <v>231</v>
      </c>
      <c r="C178" t="s">
        <v>169</v>
      </c>
      <c r="D178" t="s">
        <v>14</v>
      </c>
      <c r="E178" s="4">
        <v>4</v>
      </c>
      <c r="F178" s="5" t="s">
        <v>467</v>
      </c>
      <c r="G178" s="5"/>
      <c r="H178" s="8">
        <v>93893</v>
      </c>
      <c r="I178" s="8">
        <v>35782</v>
      </c>
      <c r="J178" s="8">
        <v>54257</v>
      </c>
      <c r="K178" s="5">
        <f>3569+285</f>
        <v>3854</v>
      </c>
      <c r="L178" s="5">
        <f t="shared" si="66"/>
        <v>93893</v>
      </c>
      <c r="M178" s="5">
        <f t="shared" si="67"/>
        <v>0</v>
      </c>
      <c r="N178" s="6">
        <f t="shared" si="68"/>
        <v>-0.19676653211634521</v>
      </c>
      <c r="O178" s="4">
        <v>17</v>
      </c>
      <c r="P178" s="5"/>
      <c r="Q178" s="8">
        <v>101231</v>
      </c>
      <c r="R178" s="8">
        <v>51218</v>
      </c>
      <c r="S178" s="8">
        <v>48340</v>
      </c>
      <c r="T178" s="8">
        <v>44</v>
      </c>
      <c r="U178" s="8">
        <v>1629</v>
      </c>
      <c r="V178" s="5">
        <f t="shared" si="69"/>
        <v>101231</v>
      </c>
      <c r="W178" s="5">
        <f t="shared" si="70"/>
        <v>0</v>
      </c>
      <c r="X178" s="6">
        <f t="shared" si="71"/>
        <v>2.8430026375319814E-2</v>
      </c>
      <c r="Y178" s="4">
        <v>12</v>
      </c>
      <c r="Z178" s="5"/>
      <c r="AA178" s="5"/>
      <c r="AB178" s="8">
        <v>107295</v>
      </c>
      <c r="AC178" s="8">
        <v>52936</v>
      </c>
      <c r="AD178" s="8">
        <v>50061</v>
      </c>
      <c r="AE178" s="8"/>
      <c r="AF178" s="8">
        <v>4298</v>
      </c>
      <c r="AG178" s="5">
        <f t="shared" si="72"/>
        <v>107295</v>
      </c>
      <c r="AH178" s="5">
        <f t="shared" si="73"/>
        <v>0</v>
      </c>
      <c r="AI178" s="6">
        <f t="shared" si="74"/>
        <v>2.6795284030010719E-2</v>
      </c>
    </row>
    <row r="179" spans="1:35" x14ac:dyDescent="0.2">
      <c r="A179">
        <v>361040</v>
      </c>
      <c r="B179" t="s">
        <v>231</v>
      </c>
      <c r="C179" t="s">
        <v>233</v>
      </c>
      <c r="D179" t="s">
        <v>234</v>
      </c>
      <c r="E179" s="4">
        <v>4</v>
      </c>
      <c r="F179" s="5" t="s">
        <v>472</v>
      </c>
      <c r="G179" s="5"/>
      <c r="H179" s="8">
        <v>1623</v>
      </c>
      <c r="I179" s="8">
        <v>880</v>
      </c>
      <c r="J179" s="8">
        <v>662</v>
      </c>
      <c r="K179" s="5">
        <f>80+1</f>
        <v>81</v>
      </c>
      <c r="L179" s="5">
        <f t="shared" si="66"/>
        <v>1623</v>
      </c>
      <c r="M179" s="5">
        <f t="shared" si="67"/>
        <v>0</v>
      </c>
      <c r="N179" s="6">
        <f t="shared" si="68"/>
        <v>0.13431916204559458</v>
      </c>
      <c r="O179" s="4">
        <v>22</v>
      </c>
      <c r="P179" s="5"/>
      <c r="Q179" s="8">
        <v>2334</v>
      </c>
      <c r="R179" s="8">
        <v>1782</v>
      </c>
      <c r="S179" s="8">
        <v>489</v>
      </c>
      <c r="T179" s="8">
        <v>1</v>
      </c>
      <c r="U179" s="8">
        <v>62</v>
      </c>
      <c r="V179" s="5">
        <f t="shared" si="69"/>
        <v>2334</v>
      </c>
      <c r="W179" s="5">
        <f t="shared" si="70"/>
        <v>0</v>
      </c>
      <c r="X179" s="6">
        <f t="shared" si="71"/>
        <v>0.55398457583547556</v>
      </c>
      <c r="Y179" s="4">
        <v>22</v>
      </c>
      <c r="Z179" s="5"/>
      <c r="AA179" s="5"/>
      <c r="AB179" s="8">
        <v>3401</v>
      </c>
      <c r="AC179" s="8">
        <v>2298</v>
      </c>
      <c r="AD179" s="8">
        <v>820</v>
      </c>
      <c r="AE179" s="8"/>
      <c r="AF179" s="8">
        <v>283</v>
      </c>
      <c r="AG179" s="5">
        <f t="shared" si="72"/>
        <v>3401</v>
      </c>
      <c r="AH179" s="5">
        <f t="shared" si="73"/>
        <v>0</v>
      </c>
      <c r="AI179" s="6">
        <f t="shared" si="74"/>
        <v>0.43457806527491916</v>
      </c>
    </row>
    <row r="180" spans="1:35" x14ac:dyDescent="0.2">
      <c r="A180">
        <v>362505</v>
      </c>
      <c r="B180" t="s">
        <v>231</v>
      </c>
      <c r="C180" t="s">
        <v>235</v>
      </c>
      <c r="E180" s="4">
        <v>4</v>
      </c>
      <c r="F180" s="5" t="s">
        <v>475</v>
      </c>
      <c r="G180" s="5"/>
      <c r="H180" s="8">
        <v>2218372</v>
      </c>
      <c r="I180" s="8">
        <v>323143</v>
      </c>
      <c r="J180" s="8">
        <v>1724776</v>
      </c>
      <c r="K180" s="5">
        <f>162099+8354</f>
        <v>170453</v>
      </c>
      <c r="L180" s="5">
        <f t="shared" si="66"/>
        <v>2218372</v>
      </c>
      <c r="M180" s="5">
        <f t="shared" si="67"/>
        <v>0</v>
      </c>
      <c r="N180" s="6">
        <f t="shared" si="68"/>
        <v>-0.63182955789200368</v>
      </c>
      <c r="O180" s="4">
        <v>17</v>
      </c>
      <c r="P180" s="5"/>
      <c r="Q180" s="8">
        <v>2433465</v>
      </c>
      <c r="R180" s="8">
        <v>450185</v>
      </c>
      <c r="S180" s="8">
        <v>1907734</v>
      </c>
      <c r="T180" s="8">
        <v>4110</v>
      </c>
      <c r="U180" s="8">
        <v>71436</v>
      </c>
      <c r="V180" s="5">
        <f t="shared" si="69"/>
        <v>2433465</v>
      </c>
      <c r="W180" s="5">
        <f t="shared" si="70"/>
        <v>0</v>
      </c>
      <c r="X180" s="6">
        <f t="shared" si="71"/>
        <v>-0.59896033022870676</v>
      </c>
      <c r="Y180" s="4">
        <v>12</v>
      </c>
      <c r="Z180" s="5"/>
      <c r="AA180" s="5"/>
      <c r="AB180" s="8">
        <v>2758573</v>
      </c>
      <c r="AC180" s="8">
        <v>577012</v>
      </c>
      <c r="AD180" s="8">
        <v>2077890</v>
      </c>
      <c r="AE180" s="8"/>
      <c r="AF180" s="8">
        <v>103671</v>
      </c>
      <c r="AG180" s="5">
        <f t="shared" si="72"/>
        <v>2758573</v>
      </c>
      <c r="AH180" s="5">
        <f t="shared" si="73"/>
        <v>0</v>
      </c>
      <c r="AI180" s="6">
        <f t="shared" si="74"/>
        <v>-0.54407768074290586</v>
      </c>
    </row>
    <row r="181" spans="1:35" x14ac:dyDescent="0.2">
      <c r="A181">
        <v>363565</v>
      </c>
      <c r="B181" t="s">
        <v>231</v>
      </c>
      <c r="C181" t="s">
        <v>236</v>
      </c>
      <c r="D181" t="s">
        <v>237</v>
      </c>
      <c r="E181" s="4">
        <v>4</v>
      </c>
      <c r="F181" s="5" t="s">
        <v>468</v>
      </c>
      <c r="G181" s="5"/>
      <c r="H181" s="8">
        <v>59603</v>
      </c>
      <c r="I181" s="8">
        <v>19314</v>
      </c>
      <c r="J181" s="8">
        <v>37695</v>
      </c>
      <c r="K181" s="5">
        <f>2455+139</f>
        <v>2594</v>
      </c>
      <c r="L181" s="5">
        <f t="shared" si="66"/>
        <v>59603</v>
      </c>
      <c r="M181" s="5">
        <f t="shared" si="67"/>
        <v>0</v>
      </c>
      <c r="N181" s="6">
        <f t="shared" si="68"/>
        <v>-0.30839051725584282</v>
      </c>
      <c r="O181" s="4">
        <v>17</v>
      </c>
      <c r="P181" s="5"/>
      <c r="Q181" s="8">
        <v>64459</v>
      </c>
      <c r="R181" s="8">
        <v>30065</v>
      </c>
      <c r="S181" s="8">
        <v>33139</v>
      </c>
      <c r="T181" s="8">
        <v>42</v>
      </c>
      <c r="U181" s="8">
        <v>1213</v>
      </c>
      <c r="V181" s="5">
        <f t="shared" si="69"/>
        <v>64459</v>
      </c>
      <c r="W181" s="5">
        <f t="shared" si="70"/>
        <v>0</v>
      </c>
      <c r="X181" s="6">
        <f t="shared" si="71"/>
        <v>-4.7689228812113127E-2</v>
      </c>
      <c r="Y181" s="4">
        <v>12</v>
      </c>
      <c r="Z181" s="5"/>
      <c r="AA181" s="5"/>
      <c r="AB181" s="8">
        <v>70447</v>
      </c>
      <c r="AC181" s="8">
        <v>33177</v>
      </c>
      <c r="AD181" s="8">
        <v>34653</v>
      </c>
      <c r="AE181" s="8"/>
      <c r="AF181" s="8">
        <v>2617</v>
      </c>
      <c r="AG181" s="5">
        <f t="shared" si="72"/>
        <v>70447</v>
      </c>
      <c r="AH181" s="5">
        <f t="shared" si="73"/>
        <v>0</v>
      </c>
      <c r="AI181" s="6">
        <f t="shared" si="74"/>
        <v>-2.0951921302539499E-2</v>
      </c>
    </row>
    <row r="182" spans="1:35" x14ac:dyDescent="0.2">
      <c r="A182">
        <v>362260</v>
      </c>
      <c r="B182" t="s">
        <v>231</v>
      </c>
      <c r="C182" t="s">
        <v>238</v>
      </c>
      <c r="D182" t="s">
        <v>239</v>
      </c>
      <c r="E182" s="4">
        <v>4</v>
      </c>
      <c r="F182" s="5" t="s">
        <v>476</v>
      </c>
      <c r="G182" s="5"/>
      <c r="H182" s="5">
        <v>5850</v>
      </c>
      <c r="I182" s="5">
        <v>2545</v>
      </c>
      <c r="J182" s="8">
        <v>3070</v>
      </c>
      <c r="K182" s="5">
        <f>219+16</f>
        <v>235</v>
      </c>
      <c r="L182" s="5">
        <f t="shared" si="66"/>
        <v>5850</v>
      </c>
      <c r="M182" s="5">
        <f t="shared" si="67"/>
        <v>0</v>
      </c>
      <c r="N182" s="6">
        <f t="shared" si="68"/>
        <v>-8.9743589743589744E-2</v>
      </c>
      <c r="O182" s="4">
        <v>17</v>
      </c>
      <c r="P182" s="5"/>
      <c r="Q182" s="5">
        <v>6339</v>
      </c>
      <c r="R182" s="5">
        <v>3355</v>
      </c>
      <c r="S182" s="8">
        <v>2823</v>
      </c>
      <c r="T182" s="8">
        <v>17</v>
      </c>
      <c r="U182" s="8">
        <v>144</v>
      </c>
      <c r="V182" s="5">
        <f t="shared" si="69"/>
        <v>6339</v>
      </c>
      <c r="W182" s="5">
        <f t="shared" si="70"/>
        <v>0</v>
      </c>
      <c r="X182" s="6">
        <f t="shared" si="71"/>
        <v>8.3924909291686389E-2</v>
      </c>
      <c r="Y182" s="4">
        <v>28</v>
      </c>
      <c r="Z182" s="5"/>
      <c r="AA182" s="5">
        <v>1</v>
      </c>
      <c r="AB182" s="8">
        <v>67133</v>
      </c>
      <c r="AC182" s="8">
        <v>33889</v>
      </c>
      <c r="AD182" s="8">
        <v>20030</v>
      </c>
      <c r="AE182" s="8"/>
      <c r="AF182" s="8">
        <v>13214</v>
      </c>
      <c r="AG182" s="5">
        <f t="shared" si="72"/>
        <v>67133</v>
      </c>
      <c r="AH182" s="5">
        <f t="shared" si="73"/>
        <v>0</v>
      </c>
      <c r="AI182" s="6">
        <f t="shared" si="74"/>
        <v>0.20644094558562853</v>
      </c>
    </row>
    <row r="183" spans="1:35" x14ac:dyDescent="0.2">
      <c r="A183">
        <v>36081</v>
      </c>
      <c r="B183" t="s">
        <v>231</v>
      </c>
      <c r="C183" t="s">
        <v>240</v>
      </c>
      <c r="D183" t="s">
        <v>241</v>
      </c>
      <c r="E183" s="4">
        <v>5</v>
      </c>
      <c r="F183" s="5" t="s">
        <v>477</v>
      </c>
      <c r="G183" s="5">
        <v>1</v>
      </c>
      <c r="H183" s="8">
        <v>394389</v>
      </c>
      <c r="I183" s="8">
        <v>132889</v>
      </c>
      <c r="J183" s="8">
        <v>228800</v>
      </c>
      <c r="K183" s="5">
        <f>29687+3013</f>
        <v>32700</v>
      </c>
      <c r="L183" s="5">
        <f t="shared" si="66"/>
        <v>394389</v>
      </c>
      <c r="M183" s="5">
        <f t="shared" si="67"/>
        <v>0</v>
      </c>
      <c r="N183" s="6">
        <f t="shared" si="68"/>
        <v>-0.24318883133150265</v>
      </c>
      <c r="O183" s="4">
        <v>26</v>
      </c>
      <c r="P183" s="5">
        <v>1</v>
      </c>
      <c r="Q183" s="8">
        <v>495308</v>
      </c>
      <c r="R183" s="8">
        <v>194698</v>
      </c>
      <c r="S183" s="8">
        <v>266530</v>
      </c>
      <c r="T183" s="8">
        <v>303</v>
      </c>
      <c r="U183" s="8">
        <v>33777</v>
      </c>
      <c r="V183" s="5">
        <f t="shared" si="69"/>
        <v>495308</v>
      </c>
      <c r="W183" s="5">
        <f t="shared" si="70"/>
        <v>0</v>
      </c>
      <c r="X183" s="6">
        <f t="shared" si="71"/>
        <v>-0.14502491379101487</v>
      </c>
      <c r="Y183" s="4">
        <v>12</v>
      </c>
      <c r="Z183" s="5"/>
      <c r="AA183" s="5">
        <v>1</v>
      </c>
      <c r="AB183" s="8">
        <v>617077</v>
      </c>
      <c r="AC183" s="8">
        <v>256270</v>
      </c>
      <c r="AD183" s="8">
        <v>326871</v>
      </c>
      <c r="AE183" s="8"/>
      <c r="AF183" s="8">
        <v>33936</v>
      </c>
      <c r="AG183" s="5">
        <f t="shared" si="72"/>
        <v>617077</v>
      </c>
      <c r="AH183" s="5">
        <f t="shared" si="73"/>
        <v>0</v>
      </c>
      <c r="AI183" s="6">
        <f t="shared" si="74"/>
        <v>-0.1144119777596637</v>
      </c>
    </row>
    <row r="184" spans="1:35" x14ac:dyDescent="0.2">
      <c r="A184">
        <v>363625</v>
      </c>
      <c r="B184" t="s">
        <v>231</v>
      </c>
      <c r="C184" t="s">
        <v>242</v>
      </c>
      <c r="D184" t="s">
        <v>243</v>
      </c>
      <c r="E184" s="4">
        <v>4</v>
      </c>
      <c r="F184" s="5" t="s">
        <v>469</v>
      </c>
      <c r="G184" s="5"/>
      <c r="H184" s="8">
        <v>20870</v>
      </c>
      <c r="I184" s="8">
        <v>6570</v>
      </c>
      <c r="J184" s="8">
        <v>13102</v>
      </c>
      <c r="K184" s="5">
        <f>1147+51</f>
        <v>1198</v>
      </c>
      <c r="L184" s="5">
        <f t="shared" si="66"/>
        <v>20870</v>
      </c>
      <c r="M184" s="5">
        <f t="shared" si="67"/>
        <v>0</v>
      </c>
      <c r="N184" s="6">
        <f t="shared" si="68"/>
        <v>-0.31298514614278872</v>
      </c>
      <c r="O184" s="4">
        <v>17</v>
      </c>
      <c r="P184" s="5"/>
      <c r="Q184" s="8">
        <v>21013</v>
      </c>
      <c r="R184" s="8">
        <v>8123</v>
      </c>
      <c r="S184" s="8">
        <v>12463</v>
      </c>
      <c r="T184" s="8">
        <v>7</v>
      </c>
      <c r="U184" s="8">
        <v>420</v>
      </c>
      <c r="V184" s="5">
        <f t="shared" si="69"/>
        <v>21013</v>
      </c>
      <c r="W184" s="5">
        <f t="shared" si="70"/>
        <v>0</v>
      </c>
      <c r="X184" s="6">
        <f t="shared" si="71"/>
        <v>-0.20653880930852331</v>
      </c>
      <c r="Y184" s="4">
        <v>12</v>
      </c>
      <c r="Z184" s="5"/>
      <c r="AA184" s="5"/>
      <c r="AB184" s="8">
        <v>22542</v>
      </c>
      <c r="AC184" s="8">
        <v>8718</v>
      </c>
      <c r="AD184" s="8">
        <v>12466</v>
      </c>
      <c r="AE184" s="8"/>
      <c r="AF184" s="8">
        <v>1358</v>
      </c>
      <c r="AG184" s="5">
        <f t="shared" si="72"/>
        <v>22542</v>
      </c>
      <c r="AH184" s="5">
        <f t="shared" si="73"/>
        <v>0</v>
      </c>
      <c r="AI184" s="6">
        <f t="shared" si="74"/>
        <v>-0.16626741194215242</v>
      </c>
    </row>
    <row r="185" spans="1:35" x14ac:dyDescent="0.2">
      <c r="A185">
        <v>363285</v>
      </c>
      <c r="B185" t="s">
        <v>231</v>
      </c>
      <c r="C185" t="s">
        <v>244</v>
      </c>
      <c r="D185" t="s">
        <v>244</v>
      </c>
      <c r="E185" s="4">
        <v>4</v>
      </c>
      <c r="F185" s="5" t="s">
        <v>470</v>
      </c>
      <c r="G185" s="5"/>
      <c r="H185" s="5">
        <v>26553</v>
      </c>
      <c r="I185" s="5">
        <v>10284</v>
      </c>
      <c r="J185" s="8">
        <v>15022</v>
      </c>
      <c r="K185" s="5">
        <f>1178+69</f>
        <v>1247</v>
      </c>
      <c r="L185" s="5">
        <f t="shared" si="66"/>
        <v>26553</v>
      </c>
      <c r="M185" s="5">
        <f t="shared" si="67"/>
        <v>0</v>
      </c>
      <c r="N185" s="6">
        <f t="shared" si="68"/>
        <v>-0.17843558166685497</v>
      </c>
      <c r="O185" s="4">
        <v>17</v>
      </c>
      <c r="P185" s="5"/>
      <c r="Q185" s="5">
        <v>28816</v>
      </c>
      <c r="R185" s="5">
        <v>14076</v>
      </c>
      <c r="S185" s="8">
        <v>14325</v>
      </c>
      <c r="T185" s="8">
        <v>5</v>
      </c>
      <c r="U185" s="8">
        <v>410</v>
      </c>
      <c r="V185" s="5">
        <f t="shared" si="69"/>
        <v>28816</v>
      </c>
      <c r="W185" s="5">
        <f t="shared" si="70"/>
        <v>0</v>
      </c>
      <c r="X185" s="6">
        <f t="shared" si="71"/>
        <v>-8.6410327595780115E-3</v>
      </c>
      <c r="Y185" s="4">
        <v>12</v>
      </c>
      <c r="Z185" s="5"/>
      <c r="AA185" s="5"/>
      <c r="AB185" s="8">
        <v>30274</v>
      </c>
      <c r="AC185" s="8">
        <v>14569</v>
      </c>
      <c r="AD185" s="8">
        <v>13716</v>
      </c>
      <c r="AE185" s="8"/>
      <c r="AF185" s="8">
        <v>1989</v>
      </c>
      <c r="AG185" s="5">
        <f t="shared" si="72"/>
        <v>30274</v>
      </c>
      <c r="AH185" s="5">
        <f t="shared" si="73"/>
        <v>0</v>
      </c>
      <c r="AI185" s="6">
        <f t="shared" si="74"/>
        <v>2.8175992600911675E-2</v>
      </c>
    </row>
    <row r="186" spans="1:35" x14ac:dyDescent="0.2">
      <c r="A186">
        <v>361742</v>
      </c>
      <c r="B186" t="s">
        <v>231</v>
      </c>
      <c r="C186" t="s">
        <v>245</v>
      </c>
      <c r="D186" t="s">
        <v>172</v>
      </c>
      <c r="E186" s="4">
        <v>5</v>
      </c>
      <c r="F186" s="5"/>
      <c r="G186" s="5">
        <v>1</v>
      </c>
      <c r="H186" s="8">
        <v>75586</v>
      </c>
      <c r="I186" s="8">
        <v>28662</v>
      </c>
      <c r="J186" s="8">
        <v>18964</v>
      </c>
      <c r="K186" s="5">
        <f>15955+12005</f>
        <v>27960</v>
      </c>
      <c r="L186" s="5">
        <f t="shared" si="66"/>
        <v>75586</v>
      </c>
      <c r="M186" s="5">
        <f t="shared" si="67"/>
        <v>0</v>
      </c>
      <c r="N186" s="6">
        <f t="shared" si="68"/>
        <v>0.12830418331437038</v>
      </c>
      <c r="O186" s="4">
        <v>22</v>
      </c>
      <c r="P186" s="5"/>
      <c r="Q186" s="8">
        <v>1703</v>
      </c>
      <c r="R186" s="8">
        <v>1228</v>
      </c>
      <c r="S186" s="8">
        <v>360</v>
      </c>
      <c r="T186" s="8">
        <v>16</v>
      </c>
      <c r="U186" s="8">
        <v>99</v>
      </c>
      <c r="V186" s="5">
        <f t="shared" si="69"/>
        <v>1703</v>
      </c>
      <c r="W186" s="5">
        <f t="shared" si="70"/>
        <v>0</v>
      </c>
      <c r="X186" s="6">
        <f t="shared" si="71"/>
        <v>0.50968878449794486</v>
      </c>
      <c r="Y186" s="4">
        <v>12</v>
      </c>
      <c r="Z186" s="5"/>
      <c r="AA186" s="5">
        <v>1</v>
      </c>
      <c r="AB186" s="8">
        <v>224451</v>
      </c>
      <c r="AC186" s="8">
        <v>146999</v>
      </c>
      <c r="AD186" s="8">
        <v>26413</v>
      </c>
      <c r="AE186" s="8"/>
      <c r="AF186" s="8">
        <v>51039</v>
      </c>
      <c r="AG186" s="5">
        <f t="shared" si="72"/>
        <v>224451</v>
      </c>
      <c r="AH186" s="5">
        <f t="shared" si="73"/>
        <v>0</v>
      </c>
      <c r="AI186" s="6">
        <f t="shared" si="74"/>
        <v>0.53724866451920461</v>
      </c>
    </row>
    <row r="187" spans="1:35" x14ac:dyDescent="0.2">
      <c r="A187">
        <v>36115050</v>
      </c>
      <c r="B187" t="s">
        <v>231</v>
      </c>
      <c r="C187" t="s">
        <v>50</v>
      </c>
      <c r="D187" t="s">
        <v>57</v>
      </c>
      <c r="E187" s="4">
        <v>5</v>
      </c>
      <c r="F187" s="5" t="s">
        <v>479</v>
      </c>
      <c r="G187" s="5"/>
      <c r="H187" s="8">
        <v>320</v>
      </c>
      <c r="I187" s="8">
        <v>203</v>
      </c>
      <c r="J187" s="8">
        <v>81</v>
      </c>
      <c r="K187" s="5">
        <f>25+11</f>
        <v>36</v>
      </c>
      <c r="L187" s="5">
        <f t="shared" si="66"/>
        <v>320</v>
      </c>
      <c r="M187" s="5">
        <f t="shared" si="67"/>
        <v>0</v>
      </c>
      <c r="N187" s="6">
        <f t="shared" si="68"/>
        <v>0.38124999999999998</v>
      </c>
      <c r="O187" s="4">
        <v>26</v>
      </c>
      <c r="P187" s="5">
        <v>1</v>
      </c>
      <c r="Q187" s="8">
        <v>15130</v>
      </c>
      <c r="R187" s="8">
        <v>9038</v>
      </c>
      <c r="S187" s="8">
        <v>4234</v>
      </c>
      <c r="T187" s="8">
        <v>80</v>
      </c>
      <c r="U187" s="8">
        <v>1778</v>
      </c>
      <c r="V187" s="5">
        <f t="shared" si="69"/>
        <v>15130</v>
      </c>
      <c r="W187" s="5">
        <f t="shared" si="70"/>
        <v>0</v>
      </c>
      <c r="X187" s="6">
        <f t="shared" si="71"/>
        <v>0.31751487111698612</v>
      </c>
      <c r="Y187" s="4">
        <v>28</v>
      </c>
      <c r="Z187" s="5"/>
      <c r="AA187" s="8">
        <v>1</v>
      </c>
      <c r="AB187" s="8">
        <v>16857</v>
      </c>
      <c r="AC187" s="8">
        <v>10152</v>
      </c>
      <c r="AD187" s="8">
        <v>3671</v>
      </c>
      <c r="AE187" s="8"/>
      <c r="AF187" s="8">
        <v>3034</v>
      </c>
      <c r="AG187" s="5">
        <f t="shared" si="72"/>
        <v>16857</v>
      </c>
      <c r="AH187" s="5">
        <f t="shared" si="73"/>
        <v>0</v>
      </c>
      <c r="AI187" s="6">
        <f t="shared" si="74"/>
        <v>0.38446935990982972</v>
      </c>
    </row>
    <row r="188" spans="1:35" x14ac:dyDescent="0.2">
      <c r="A188">
        <v>362380</v>
      </c>
      <c r="B188" t="s">
        <v>231</v>
      </c>
      <c r="C188" t="s">
        <v>246</v>
      </c>
      <c r="D188" t="s">
        <v>247</v>
      </c>
      <c r="E188" s="4">
        <v>4</v>
      </c>
      <c r="F188" s="5" t="s">
        <v>473</v>
      </c>
      <c r="G188" s="5"/>
      <c r="H188" s="5">
        <v>1566</v>
      </c>
      <c r="I188" s="5">
        <v>535</v>
      </c>
      <c r="J188" s="8">
        <v>973</v>
      </c>
      <c r="K188" s="5">
        <f>51+7</f>
        <v>58</v>
      </c>
      <c r="L188" s="5">
        <f t="shared" si="66"/>
        <v>1566</v>
      </c>
      <c r="M188" s="5">
        <f t="shared" si="67"/>
        <v>0</v>
      </c>
      <c r="N188" s="6">
        <f t="shared" si="68"/>
        <v>-0.27969348659003829</v>
      </c>
      <c r="O188" s="4">
        <v>22</v>
      </c>
      <c r="P188" s="5"/>
      <c r="Q188" s="8">
        <v>1732</v>
      </c>
      <c r="R188" s="8">
        <v>825</v>
      </c>
      <c r="S188" s="8">
        <v>852</v>
      </c>
      <c r="T188" s="8">
        <v>4</v>
      </c>
      <c r="U188" s="8">
        <v>51</v>
      </c>
      <c r="V188" s="5">
        <f t="shared" si="69"/>
        <v>1732</v>
      </c>
      <c r="W188" s="5">
        <f t="shared" si="70"/>
        <v>0</v>
      </c>
      <c r="X188" s="6">
        <f t="shared" si="71"/>
        <v>-1.558891454965358E-2</v>
      </c>
      <c r="Y188" s="4">
        <v>25</v>
      </c>
      <c r="Z188" s="5"/>
      <c r="AA188" s="5"/>
      <c r="AB188" s="8">
        <v>2138</v>
      </c>
      <c r="AC188" s="8">
        <v>1067</v>
      </c>
      <c r="AD188" s="8">
        <v>990</v>
      </c>
      <c r="AE188" s="8"/>
      <c r="AF188" s="8">
        <f>42+39</f>
        <v>81</v>
      </c>
      <c r="AG188" s="5">
        <f t="shared" si="72"/>
        <v>2138</v>
      </c>
      <c r="AH188" s="5">
        <f t="shared" si="73"/>
        <v>0</v>
      </c>
      <c r="AI188" s="6">
        <f t="shared" si="74"/>
        <v>3.6014967259120671E-2</v>
      </c>
    </row>
    <row r="189" spans="1:35" x14ac:dyDescent="0.2">
      <c r="A189">
        <v>363970</v>
      </c>
      <c r="B189" t="s">
        <v>231</v>
      </c>
      <c r="C189" t="s">
        <v>248</v>
      </c>
      <c r="D189" t="s">
        <v>247</v>
      </c>
      <c r="E189" s="4">
        <v>4</v>
      </c>
      <c r="F189" s="5" t="s">
        <v>471</v>
      </c>
      <c r="G189" s="5"/>
      <c r="H189" s="8">
        <v>11139</v>
      </c>
      <c r="I189" s="8">
        <v>3188</v>
      </c>
      <c r="J189" s="8">
        <v>7247</v>
      </c>
      <c r="K189" s="5">
        <f>668+36</f>
        <v>704</v>
      </c>
      <c r="L189" s="5">
        <f t="shared" si="66"/>
        <v>11139</v>
      </c>
      <c r="M189" s="5">
        <f t="shared" si="67"/>
        <v>0</v>
      </c>
      <c r="N189" s="6">
        <f t="shared" si="68"/>
        <v>-0.36439536762725561</v>
      </c>
      <c r="O189" s="4">
        <v>17</v>
      </c>
      <c r="P189" s="5"/>
      <c r="Q189" s="8">
        <v>12388</v>
      </c>
      <c r="R189" s="8">
        <v>5056</v>
      </c>
      <c r="S189" s="8">
        <v>6904</v>
      </c>
      <c r="T189" s="8">
        <v>7</v>
      </c>
      <c r="U189" s="8">
        <v>421</v>
      </c>
      <c r="V189" s="5">
        <f t="shared" si="69"/>
        <v>12388</v>
      </c>
      <c r="W189" s="5">
        <f t="shared" si="70"/>
        <v>0</v>
      </c>
      <c r="X189" s="6">
        <f t="shared" si="71"/>
        <v>-0.14917662253793995</v>
      </c>
      <c r="Y189" s="4">
        <v>12</v>
      </c>
      <c r="Z189" s="5"/>
      <c r="AA189" s="5"/>
      <c r="AB189" s="8">
        <v>16546</v>
      </c>
      <c r="AC189" s="8">
        <v>6721</v>
      </c>
      <c r="AD189" s="8">
        <v>9451</v>
      </c>
      <c r="AE189" s="8"/>
      <c r="AF189" s="8">
        <v>374</v>
      </c>
      <c r="AG189" s="5">
        <f t="shared" si="72"/>
        <v>16546</v>
      </c>
      <c r="AH189" s="5">
        <f t="shared" si="73"/>
        <v>0</v>
      </c>
      <c r="AI189" s="6">
        <f t="shared" si="74"/>
        <v>-0.16499456061888071</v>
      </c>
    </row>
    <row r="190" spans="1:35" x14ac:dyDescent="0.2">
      <c r="B190" t="s">
        <v>231</v>
      </c>
      <c r="C190" s="1" t="s">
        <v>249</v>
      </c>
      <c r="D190" t="s">
        <v>480</v>
      </c>
      <c r="E190" s="4"/>
      <c r="F190" s="5"/>
      <c r="G190" s="5"/>
      <c r="H190" s="5"/>
      <c r="I190" s="5"/>
      <c r="J190" s="5"/>
      <c r="K190" s="5"/>
      <c r="L190" s="5"/>
      <c r="M190" s="5"/>
      <c r="N190" s="6"/>
      <c r="O190" s="4"/>
      <c r="P190" s="5"/>
      <c r="Q190" s="5"/>
      <c r="R190" s="5"/>
      <c r="S190" s="5"/>
      <c r="T190" s="5"/>
      <c r="U190" s="5"/>
      <c r="V190" s="5"/>
      <c r="W190" s="5"/>
      <c r="X190" s="6"/>
      <c r="Y190" s="4"/>
      <c r="Z190" s="5"/>
      <c r="AA190" s="5"/>
      <c r="AB190" s="5"/>
      <c r="AC190" s="5"/>
      <c r="AD190" s="5"/>
      <c r="AE190" s="5"/>
      <c r="AF190" s="5"/>
      <c r="AG190" s="5"/>
      <c r="AH190" s="5"/>
      <c r="AI190" s="6"/>
    </row>
    <row r="191" spans="1:35" x14ac:dyDescent="0.2">
      <c r="E191" s="4"/>
      <c r="F191" s="5"/>
      <c r="G191" s="5"/>
      <c r="H191" s="5"/>
      <c r="I191" s="5"/>
      <c r="J191" s="5"/>
      <c r="K191" s="5"/>
      <c r="L191" s="5"/>
      <c r="M191" s="5"/>
      <c r="N191" s="6"/>
      <c r="O191" s="4"/>
      <c r="P191" s="5"/>
      <c r="Q191" s="5"/>
      <c r="R191" s="5"/>
      <c r="S191" s="5"/>
      <c r="T191" s="5"/>
      <c r="U191" s="5"/>
      <c r="V191" s="5"/>
      <c r="W191" s="5"/>
      <c r="X191" s="6"/>
      <c r="Y191" s="4"/>
      <c r="Z191" s="5"/>
      <c r="AA191" s="5"/>
      <c r="AB191" s="5"/>
      <c r="AC191" s="5"/>
      <c r="AD191" s="5"/>
      <c r="AE191" s="5"/>
      <c r="AF191" s="5"/>
      <c r="AG191" s="5"/>
      <c r="AH191" s="5"/>
      <c r="AI191" s="6"/>
    </row>
    <row r="192" spans="1:35" x14ac:dyDescent="0.2">
      <c r="A192">
        <v>372655</v>
      </c>
      <c r="B192" t="s">
        <v>250</v>
      </c>
      <c r="C192" t="s">
        <v>57</v>
      </c>
      <c r="D192" t="s">
        <v>251</v>
      </c>
      <c r="E192" s="4">
        <v>4</v>
      </c>
      <c r="F192" s="5" t="s">
        <v>434</v>
      </c>
      <c r="G192" s="5"/>
      <c r="H192" s="8">
        <v>2147</v>
      </c>
      <c r="I192" s="8">
        <v>753</v>
      </c>
      <c r="J192" s="8">
        <v>1336</v>
      </c>
      <c r="K192" s="5">
        <f>56+2</f>
        <v>58</v>
      </c>
      <c r="L192" s="5">
        <f t="shared" ref="L192:L218" si="75">I192+J192+K192</f>
        <v>2147</v>
      </c>
      <c r="M192" s="5">
        <f t="shared" ref="M192:M217" si="76">L192-H192</f>
        <v>0</v>
      </c>
      <c r="N192" s="6">
        <f t="shared" ref="N192:N217" si="77">(I192-J192)/H192</f>
        <v>-0.27154168607359108</v>
      </c>
      <c r="O192" s="4">
        <v>22</v>
      </c>
      <c r="P192" s="5"/>
      <c r="Q192" s="8">
        <v>2786</v>
      </c>
      <c r="R192" s="8">
        <v>1096</v>
      </c>
      <c r="S192" s="8">
        <v>1606</v>
      </c>
      <c r="T192" s="8">
        <v>2</v>
      </c>
      <c r="U192" s="8">
        <v>82</v>
      </c>
      <c r="V192" s="5">
        <f t="shared" ref="V192:V217" si="78">R192+S192+T192+U192</f>
        <v>2786</v>
      </c>
      <c r="W192" s="5">
        <f t="shared" ref="W192:W217" si="79">V192-Q192</f>
        <v>0</v>
      </c>
      <c r="X192" s="6">
        <f t="shared" ref="X192:X217" si="80">(R192-S192)/Q192</f>
        <v>-0.18305814788226848</v>
      </c>
      <c r="Y192" s="4">
        <v>25</v>
      </c>
      <c r="Z192" s="5"/>
      <c r="AA192" s="5"/>
      <c r="AB192" s="8">
        <v>3197</v>
      </c>
      <c r="AC192" s="8">
        <v>1322</v>
      </c>
      <c r="AD192" s="8">
        <v>1604</v>
      </c>
      <c r="AE192" s="8"/>
      <c r="AF192" s="8">
        <f>184+87</f>
        <v>271</v>
      </c>
      <c r="AG192" s="5">
        <f t="shared" ref="AG192:AG217" si="81">AC192+AD192+AE192+AF192</f>
        <v>3197</v>
      </c>
      <c r="AH192" s="5">
        <f t="shared" ref="AH192:AH217" si="82">AG192-AB192</f>
        <v>0</v>
      </c>
      <c r="AI192" s="6">
        <f t="shared" ref="AI192:AI217" si="83">(AC192-AD192)/AB192</f>
        <v>-8.820769471379418E-2</v>
      </c>
    </row>
    <row r="193" spans="1:35" x14ac:dyDescent="0.2">
      <c r="A193">
        <v>37017045</v>
      </c>
      <c r="B193" t="s">
        <v>250</v>
      </c>
      <c r="C193" t="s">
        <v>252</v>
      </c>
      <c r="D193" t="s">
        <v>253</v>
      </c>
      <c r="E193" s="4">
        <v>5</v>
      </c>
      <c r="F193" s="5" t="s">
        <v>638</v>
      </c>
      <c r="G193" s="5"/>
      <c r="H193" s="8">
        <v>276</v>
      </c>
      <c r="I193" s="8">
        <v>108</v>
      </c>
      <c r="J193" s="8">
        <v>160</v>
      </c>
      <c r="K193" s="8">
        <v>8</v>
      </c>
      <c r="L193" s="5">
        <f t="shared" si="75"/>
        <v>276</v>
      </c>
      <c r="M193" s="5">
        <f t="shared" si="76"/>
        <v>0</v>
      </c>
      <c r="N193" s="6">
        <f t="shared" si="77"/>
        <v>-0.18840579710144928</v>
      </c>
      <c r="O193" s="4">
        <v>25</v>
      </c>
      <c r="P193" s="5"/>
      <c r="Q193" s="8">
        <v>493</v>
      </c>
      <c r="R193" s="8">
        <v>236</v>
      </c>
      <c r="S193" s="8">
        <v>230</v>
      </c>
      <c r="T193" s="8">
        <v>17</v>
      </c>
      <c r="U193" s="8">
        <v>10</v>
      </c>
      <c r="V193" s="5">
        <f t="shared" si="78"/>
        <v>493</v>
      </c>
      <c r="W193" s="5">
        <f t="shared" si="79"/>
        <v>0</v>
      </c>
      <c r="X193" s="6">
        <f t="shared" si="80"/>
        <v>1.2170385395537525E-2</v>
      </c>
      <c r="Y193" s="4">
        <v>28</v>
      </c>
      <c r="Z193" s="5"/>
      <c r="AA193" s="5">
        <v>1</v>
      </c>
      <c r="AB193" s="8">
        <v>7895</v>
      </c>
      <c r="AC193" s="8">
        <v>4485</v>
      </c>
      <c r="AD193" s="8">
        <v>2237</v>
      </c>
      <c r="AE193" s="8"/>
      <c r="AF193" s="8">
        <v>1173</v>
      </c>
      <c r="AG193" s="5">
        <f t="shared" si="81"/>
        <v>7895</v>
      </c>
      <c r="AH193" s="5">
        <f t="shared" si="82"/>
        <v>0</v>
      </c>
      <c r="AI193" s="6">
        <f t="shared" si="83"/>
        <v>0.28473717542748578</v>
      </c>
    </row>
    <row r="194" spans="1:35" x14ac:dyDescent="0.2">
      <c r="A194">
        <v>371435</v>
      </c>
      <c r="B194" t="s">
        <v>250</v>
      </c>
      <c r="C194" t="s">
        <v>254</v>
      </c>
      <c r="D194" t="s">
        <v>255</v>
      </c>
      <c r="E194" s="4">
        <v>4</v>
      </c>
      <c r="F194" s="5" t="s">
        <v>447</v>
      </c>
      <c r="G194" s="5"/>
      <c r="H194" s="5">
        <v>1833</v>
      </c>
      <c r="I194" s="5">
        <v>803</v>
      </c>
      <c r="J194" s="8">
        <v>1006</v>
      </c>
      <c r="K194" s="8">
        <v>24</v>
      </c>
      <c r="L194" s="5">
        <f t="shared" si="75"/>
        <v>1833</v>
      </c>
      <c r="M194" s="5">
        <f t="shared" si="76"/>
        <v>0</v>
      </c>
      <c r="N194" s="6">
        <f t="shared" si="77"/>
        <v>-0.11074740861974905</v>
      </c>
      <c r="O194" s="4">
        <v>22</v>
      </c>
      <c r="P194" s="5"/>
      <c r="Q194" s="5">
        <v>2213</v>
      </c>
      <c r="R194" s="5">
        <v>1175</v>
      </c>
      <c r="S194" s="8">
        <v>952</v>
      </c>
      <c r="T194" s="8">
        <v>2</v>
      </c>
      <c r="U194" s="8">
        <v>84</v>
      </c>
      <c r="V194" s="5">
        <f t="shared" si="78"/>
        <v>2213</v>
      </c>
      <c r="W194" s="5">
        <f t="shared" si="79"/>
        <v>0</v>
      </c>
      <c r="X194" s="6">
        <f t="shared" si="80"/>
        <v>0.10076818798011748</v>
      </c>
      <c r="Y194" s="4">
        <v>22</v>
      </c>
      <c r="Z194" s="5"/>
      <c r="AA194" s="5"/>
      <c r="AB194" s="5">
        <v>3089</v>
      </c>
      <c r="AC194" s="5">
        <v>1858</v>
      </c>
      <c r="AD194" s="8">
        <v>1074</v>
      </c>
      <c r="AE194" s="8"/>
      <c r="AF194" s="8">
        <v>157</v>
      </c>
      <c r="AG194" s="5">
        <f t="shared" si="81"/>
        <v>3089</v>
      </c>
      <c r="AH194" s="5">
        <f t="shared" si="82"/>
        <v>0</v>
      </c>
      <c r="AI194" s="6">
        <f t="shared" si="83"/>
        <v>0.25380382000647461</v>
      </c>
    </row>
    <row r="195" spans="1:35" x14ac:dyDescent="0.2">
      <c r="A195">
        <v>37033005</v>
      </c>
      <c r="B195" t="s">
        <v>250</v>
      </c>
      <c r="C195" t="s">
        <v>320</v>
      </c>
      <c r="D195" t="s">
        <v>256</v>
      </c>
      <c r="E195" s="4">
        <v>5</v>
      </c>
      <c r="F195" s="5" t="s">
        <v>408</v>
      </c>
      <c r="G195" s="5"/>
      <c r="H195" s="5">
        <v>342</v>
      </c>
      <c r="I195" s="5">
        <v>129</v>
      </c>
      <c r="J195" s="8">
        <v>199</v>
      </c>
      <c r="K195" s="5">
        <f>13+1</f>
        <v>14</v>
      </c>
      <c r="L195" s="5">
        <f t="shared" si="75"/>
        <v>342</v>
      </c>
      <c r="M195" s="5">
        <f t="shared" si="76"/>
        <v>0</v>
      </c>
      <c r="N195" s="6">
        <f t="shared" si="77"/>
        <v>-0.2046783625730994</v>
      </c>
      <c r="O195" s="4">
        <v>26</v>
      </c>
      <c r="P195" s="5">
        <v>1</v>
      </c>
      <c r="Q195" s="8">
        <v>4860</v>
      </c>
      <c r="R195" s="8">
        <v>2113</v>
      </c>
      <c r="S195" s="8">
        <v>2328</v>
      </c>
      <c r="T195" s="8">
        <v>5</v>
      </c>
      <c r="U195" s="8">
        <v>414</v>
      </c>
      <c r="V195" s="5">
        <f t="shared" si="78"/>
        <v>4860</v>
      </c>
      <c r="W195" s="5">
        <f t="shared" si="79"/>
        <v>0</v>
      </c>
      <c r="X195" s="6">
        <f t="shared" si="80"/>
        <v>-4.4238683127572016E-2</v>
      </c>
      <c r="Y195" s="4">
        <v>28</v>
      </c>
      <c r="Z195" s="5"/>
      <c r="AA195" s="5">
        <v>1</v>
      </c>
      <c r="AB195" s="8">
        <v>5138</v>
      </c>
      <c r="AC195" s="8">
        <v>2433</v>
      </c>
      <c r="AD195" s="8">
        <v>2098</v>
      </c>
      <c r="AE195" s="8"/>
      <c r="AF195" s="8">
        <v>607</v>
      </c>
      <c r="AG195" s="5">
        <f t="shared" si="81"/>
        <v>5138</v>
      </c>
      <c r="AH195" s="5">
        <f t="shared" si="82"/>
        <v>0</v>
      </c>
      <c r="AI195" s="6">
        <f t="shared" si="83"/>
        <v>6.5200467107824053E-2</v>
      </c>
    </row>
    <row r="196" spans="1:35" x14ac:dyDescent="0.2">
      <c r="A196">
        <v>370795</v>
      </c>
      <c r="B196" t="s">
        <v>250</v>
      </c>
      <c r="C196" t="s">
        <v>257</v>
      </c>
      <c r="D196" t="s">
        <v>258</v>
      </c>
      <c r="E196" s="4">
        <v>4</v>
      </c>
      <c r="F196" s="5" t="s">
        <v>435</v>
      </c>
      <c r="G196" s="5"/>
      <c r="H196" s="5">
        <v>980</v>
      </c>
      <c r="I196" s="5">
        <v>411</v>
      </c>
      <c r="J196" s="8">
        <v>556</v>
      </c>
      <c r="K196" s="5">
        <f>12+1</f>
        <v>13</v>
      </c>
      <c r="L196" s="5">
        <f t="shared" si="75"/>
        <v>980</v>
      </c>
      <c r="M196" s="5">
        <f t="shared" si="76"/>
        <v>0</v>
      </c>
      <c r="N196" s="6">
        <f t="shared" si="77"/>
        <v>-0.14795918367346939</v>
      </c>
      <c r="O196" s="4">
        <v>22</v>
      </c>
      <c r="P196" s="5"/>
      <c r="Q196" s="5">
        <v>1229</v>
      </c>
      <c r="R196" s="5">
        <v>586</v>
      </c>
      <c r="S196" s="8">
        <v>597</v>
      </c>
      <c r="T196" s="8">
        <v>0</v>
      </c>
      <c r="U196" s="8">
        <v>46</v>
      </c>
      <c r="V196" s="5">
        <f t="shared" si="78"/>
        <v>1229</v>
      </c>
      <c r="W196" s="5">
        <f t="shared" si="79"/>
        <v>0</v>
      </c>
      <c r="X196" s="6">
        <f t="shared" si="80"/>
        <v>-8.9503661513425543E-3</v>
      </c>
      <c r="Y196" s="4">
        <v>25</v>
      </c>
      <c r="Z196" s="5"/>
      <c r="AA196" s="5"/>
      <c r="AB196" s="5">
        <v>1474</v>
      </c>
      <c r="AC196" s="5">
        <v>711</v>
      </c>
      <c r="AD196" s="8">
        <v>600</v>
      </c>
      <c r="AE196" s="8"/>
      <c r="AF196" s="8">
        <f>137+26</f>
        <v>163</v>
      </c>
      <c r="AG196" s="5">
        <f t="shared" si="81"/>
        <v>1474</v>
      </c>
      <c r="AH196" s="5">
        <f t="shared" si="82"/>
        <v>0</v>
      </c>
      <c r="AI196" s="6">
        <f t="shared" si="83"/>
        <v>7.5305291723202175E-2</v>
      </c>
    </row>
    <row r="197" spans="1:35" s="2" customFormat="1" x14ac:dyDescent="0.2">
      <c r="A197" s="2">
        <v>37079010</v>
      </c>
      <c r="B197" s="2" t="s">
        <v>250</v>
      </c>
      <c r="C197" s="2" t="s">
        <v>454</v>
      </c>
      <c r="D197" s="2" t="s">
        <v>456</v>
      </c>
      <c r="E197" s="7">
        <v>5</v>
      </c>
      <c r="F197" s="8" t="s">
        <v>457</v>
      </c>
      <c r="G197" s="5"/>
      <c r="H197" s="8">
        <v>256</v>
      </c>
      <c r="I197" s="8">
        <v>89</v>
      </c>
      <c r="J197" s="8">
        <v>134</v>
      </c>
      <c r="K197" s="8">
        <f>31+2</f>
        <v>33</v>
      </c>
      <c r="L197" s="5">
        <f t="shared" si="75"/>
        <v>256</v>
      </c>
      <c r="M197" s="5">
        <f t="shared" si="76"/>
        <v>0</v>
      </c>
      <c r="N197" s="9">
        <f t="shared" si="77"/>
        <v>-0.17578125</v>
      </c>
      <c r="O197" s="7">
        <v>26</v>
      </c>
      <c r="P197" s="8">
        <v>1</v>
      </c>
      <c r="Q197" s="8">
        <v>26917</v>
      </c>
      <c r="R197" s="8">
        <v>11621</v>
      </c>
      <c r="S197" s="8">
        <v>14478</v>
      </c>
      <c r="T197" s="8">
        <v>12</v>
      </c>
      <c r="U197" s="8">
        <v>806</v>
      </c>
      <c r="V197" s="5">
        <f t="shared" si="78"/>
        <v>26917</v>
      </c>
      <c r="W197" s="5">
        <f t="shared" si="79"/>
        <v>0</v>
      </c>
      <c r="X197" s="9">
        <f t="shared" si="80"/>
        <v>-0.10614110041980904</v>
      </c>
      <c r="Y197" s="7">
        <v>12</v>
      </c>
      <c r="Z197" s="8"/>
      <c r="AA197" s="8">
        <v>1</v>
      </c>
      <c r="AB197" s="8">
        <v>23250</v>
      </c>
      <c r="AC197" s="8">
        <v>9631</v>
      </c>
      <c r="AD197" s="8">
        <v>12490</v>
      </c>
      <c r="AE197" s="8"/>
      <c r="AF197" s="8">
        <v>1129</v>
      </c>
      <c r="AG197" s="5">
        <f t="shared" si="81"/>
        <v>23250</v>
      </c>
      <c r="AH197" s="5">
        <f t="shared" si="82"/>
        <v>0</v>
      </c>
      <c r="AI197" s="9">
        <f t="shared" si="83"/>
        <v>-0.12296774193548388</v>
      </c>
    </row>
    <row r="198" spans="1:35" x14ac:dyDescent="0.2">
      <c r="A198">
        <v>372785</v>
      </c>
      <c r="B198" t="s">
        <v>250</v>
      </c>
      <c r="C198" t="s">
        <v>259</v>
      </c>
      <c r="D198" t="s">
        <v>260</v>
      </c>
      <c r="E198" s="4">
        <v>4</v>
      </c>
      <c r="F198" s="5" t="s">
        <v>449</v>
      </c>
      <c r="G198" s="5"/>
      <c r="H198" s="5">
        <v>21275</v>
      </c>
      <c r="I198" s="5">
        <v>5428</v>
      </c>
      <c r="J198" s="8">
        <v>14749</v>
      </c>
      <c r="K198" s="5">
        <f>1051+47</f>
        <v>1098</v>
      </c>
      <c r="L198" s="5">
        <f t="shared" si="75"/>
        <v>21275</v>
      </c>
      <c r="M198" s="5">
        <f t="shared" si="76"/>
        <v>0</v>
      </c>
      <c r="N198" s="6">
        <f t="shared" si="77"/>
        <v>-0.43811985898942418</v>
      </c>
      <c r="O198" s="4">
        <v>17</v>
      </c>
      <c r="P198" s="5"/>
      <c r="Q198" s="5">
        <v>24869</v>
      </c>
      <c r="R198" s="5">
        <v>10428</v>
      </c>
      <c r="S198" s="8">
        <v>13934</v>
      </c>
      <c r="T198" s="8">
        <v>4</v>
      </c>
      <c r="U198" s="8">
        <v>503</v>
      </c>
      <c r="V198" s="5">
        <f t="shared" si="78"/>
        <v>24869</v>
      </c>
      <c r="W198" s="5">
        <f t="shared" si="79"/>
        <v>0</v>
      </c>
      <c r="X198" s="6">
        <f t="shared" si="80"/>
        <v>-0.14097872853753668</v>
      </c>
      <c r="Y198" s="4">
        <v>12</v>
      </c>
      <c r="Z198" s="5"/>
      <c r="AA198" s="5"/>
      <c r="AB198" s="5">
        <v>34033</v>
      </c>
      <c r="AC198" s="5">
        <v>16675</v>
      </c>
      <c r="AD198" s="8">
        <v>15538</v>
      </c>
      <c r="AE198" s="8"/>
      <c r="AF198" s="8">
        <v>1820</v>
      </c>
      <c r="AG198" s="5">
        <f t="shared" si="81"/>
        <v>34033</v>
      </c>
      <c r="AH198" s="5">
        <f t="shared" si="82"/>
        <v>0</v>
      </c>
      <c r="AI198" s="6">
        <f t="shared" si="83"/>
        <v>3.3408750330561517E-2</v>
      </c>
    </row>
    <row r="199" spans="1:35" s="2" customFormat="1" x14ac:dyDescent="0.2">
      <c r="A199" s="2">
        <v>370990</v>
      </c>
      <c r="B199" s="2" t="s">
        <v>250</v>
      </c>
      <c r="C199" s="2" t="s">
        <v>261</v>
      </c>
      <c r="D199" s="2" t="s">
        <v>262</v>
      </c>
      <c r="E199" s="7">
        <v>4</v>
      </c>
      <c r="F199" s="8" t="s">
        <v>625</v>
      </c>
      <c r="G199" s="5"/>
      <c r="H199" s="8">
        <v>5059</v>
      </c>
      <c r="I199" s="8">
        <v>1377</v>
      </c>
      <c r="J199" s="8">
        <v>3657</v>
      </c>
      <c r="K199" s="8">
        <f>22+3</f>
        <v>25</v>
      </c>
      <c r="L199" s="5">
        <f t="shared" si="75"/>
        <v>5059</v>
      </c>
      <c r="M199" s="5">
        <f t="shared" si="76"/>
        <v>0</v>
      </c>
      <c r="N199" s="9">
        <f t="shared" si="77"/>
        <v>-0.45068195295512947</v>
      </c>
      <c r="O199" s="7">
        <v>17</v>
      </c>
      <c r="P199" s="8"/>
      <c r="Q199" s="8">
        <v>6312</v>
      </c>
      <c r="R199" s="8">
        <v>2962</v>
      </c>
      <c r="S199" s="8">
        <v>3171</v>
      </c>
      <c r="T199" s="8">
        <v>0</v>
      </c>
      <c r="U199" s="8">
        <v>179</v>
      </c>
      <c r="V199" s="5">
        <f t="shared" si="78"/>
        <v>6312</v>
      </c>
      <c r="W199" s="5">
        <f t="shared" si="79"/>
        <v>0</v>
      </c>
      <c r="X199" s="9">
        <f t="shared" si="80"/>
        <v>-3.3111533586818759E-2</v>
      </c>
      <c r="Y199" s="7">
        <v>18</v>
      </c>
      <c r="Z199" s="8"/>
      <c r="AA199" s="8"/>
      <c r="AB199" s="8">
        <v>11076</v>
      </c>
      <c r="AC199" s="8">
        <v>5880</v>
      </c>
      <c r="AD199" s="8">
        <v>4727</v>
      </c>
      <c r="AE199" s="8"/>
      <c r="AF199" s="8">
        <v>469</v>
      </c>
      <c r="AG199" s="5">
        <f t="shared" si="81"/>
        <v>11076</v>
      </c>
      <c r="AH199" s="5">
        <f t="shared" si="82"/>
        <v>0</v>
      </c>
      <c r="AI199" s="9">
        <f t="shared" si="83"/>
        <v>0.10409895269050198</v>
      </c>
    </row>
    <row r="200" spans="1:35" x14ac:dyDescent="0.2">
      <c r="A200" s="2">
        <v>37079040</v>
      </c>
      <c r="B200" t="s">
        <v>250</v>
      </c>
      <c r="C200" t="s">
        <v>263</v>
      </c>
      <c r="D200" t="s">
        <v>262</v>
      </c>
      <c r="E200" s="4">
        <v>5</v>
      </c>
      <c r="F200" s="5" t="s">
        <v>436</v>
      </c>
      <c r="G200" s="5"/>
      <c r="H200" s="8">
        <v>419</v>
      </c>
      <c r="I200" s="8">
        <v>150</v>
      </c>
      <c r="J200" s="8">
        <v>269</v>
      </c>
      <c r="K200" s="5"/>
      <c r="L200" s="5">
        <f t="shared" si="75"/>
        <v>419</v>
      </c>
      <c r="M200" s="5">
        <f t="shared" si="76"/>
        <v>0</v>
      </c>
      <c r="N200" s="6">
        <f t="shared" si="77"/>
        <v>-0.28400954653937949</v>
      </c>
      <c r="O200" s="4">
        <v>26</v>
      </c>
      <c r="P200" s="5">
        <v>1</v>
      </c>
      <c r="Q200" s="8">
        <v>3994</v>
      </c>
      <c r="R200" s="8">
        <v>994</v>
      </c>
      <c r="S200" s="8">
        <v>2759</v>
      </c>
      <c r="T200" s="8">
        <v>2</v>
      </c>
      <c r="U200" s="8">
        <v>239</v>
      </c>
      <c r="V200" s="5">
        <f t="shared" si="78"/>
        <v>3994</v>
      </c>
      <c r="W200" s="5">
        <f t="shared" si="79"/>
        <v>0</v>
      </c>
      <c r="X200" s="6">
        <f t="shared" si="80"/>
        <v>-0.44191286930395596</v>
      </c>
      <c r="Y200" s="4">
        <v>28</v>
      </c>
      <c r="Z200" s="5"/>
      <c r="AA200" s="5">
        <v>1</v>
      </c>
      <c r="AB200" s="8">
        <v>4170</v>
      </c>
      <c r="AC200" s="8">
        <v>1276</v>
      </c>
      <c r="AD200" s="8">
        <v>2418</v>
      </c>
      <c r="AE200" s="8"/>
      <c r="AF200" s="8">
        <v>476</v>
      </c>
      <c r="AG200" s="5">
        <f t="shared" si="81"/>
        <v>4170</v>
      </c>
      <c r="AH200" s="5">
        <f t="shared" si="82"/>
        <v>0</v>
      </c>
      <c r="AI200" s="6">
        <f t="shared" si="83"/>
        <v>-0.27386091127098322</v>
      </c>
    </row>
    <row r="201" spans="1:35" x14ac:dyDescent="0.2">
      <c r="A201">
        <v>371065</v>
      </c>
      <c r="B201" t="s">
        <v>250</v>
      </c>
      <c r="C201" t="s">
        <v>7</v>
      </c>
      <c r="D201" t="s">
        <v>264</v>
      </c>
      <c r="E201" s="4">
        <v>4</v>
      </c>
      <c r="F201" s="5" t="s">
        <v>463</v>
      </c>
      <c r="G201" s="5"/>
      <c r="H201" s="5">
        <v>14984</v>
      </c>
      <c r="I201" s="5">
        <v>4441</v>
      </c>
      <c r="J201" s="8">
        <v>10157</v>
      </c>
      <c r="K201" s="5">
        <f>377+9</f>
        <v>386</v>
      </c>
      <c r="L201" s="5">
        <f t="shared" si="75"/>
        <v>14984</v>
      </c>
      <c r="M201" s="5">
        <f t="shared" si="76"/>
        <v>0</v>
      </c>
      <c r="N201" s="6">
        <f t="shared" si="77"/>
        <v>-0.38147357180993058</v>
      </c>
      <c r="O201" s="4">
        <v>17</v>
      </c>
      <c r="P201" s="5"/>
      <c r="Q201" s="5">
        <v>19539</v>
      </c>
      <c r="R201" s="5">
        <v>8259</v>
      </c>
      <c r="S201" s="8">
        <v>10738</v>
      </c>
      <c r="T201" s="8">
        <v>10</v>
      </c>
      <c r="U201" s="8">
        <v>532</v>
      </c>
      <c r="V201" s="5">
        <f t="shared" si="78"/>
        <v>19539</v>
      </c>
      <c r="W201" s="5">
        <f t="shared" si="79"/>
        <v>0</v>
      </c>
      <c r="X201" s="6">
        <f t="shared" si="80"/>
        <v>-0.12687445621577359</v>
      </c>
      <c r="Y201" s="4">
        <v>12</v>
      </c>
      <c r="Z201" s="5"/>
      <c r="AA201" s="5"/>
      <c r="AB201" s="5">
        <v>35508</v>
      </c>
      <c r="AC201" s="5">
        <v>19596</v>
      </c>
      <c r="AD201" s="8">
        <v>14327</v>
      </c>
      <c r="AE201" s="8"/>
      <c r="AF201" s="8">
        <v>1585</v>
      </c>
      <c r="AG201" s="5">
        <f t="shared" si="81"/>
        <v>35508</v>
      </c>
      <c r="AH201" s="5">
        <f t="shared" si="82"/>
        <v>0</v>
      </c>
      <c r="AI201" s="6">
        <f t="shared" si="83"/>
        <v>0.14838909541511772</v>
      </c>
    </row>
    <row r="202" spans="1:35" x14ac:dyDescent="0.2">
      <c r="A202">
        <v>371195</v>
      </c>
      <c r="B202" t="s">
        <v>250</v>
      </c>
      <c r="C202" t="s">
        <v>265</v>
      </c>
      <c r="D202" t="s">
        <v>264</v>
      </c>
      <c r="E202" s="4">
        <v>4</v>
      </c>
      <c r="F202" s="5" t="s">
        <v>448</v>
      </c>
      <c r="G202" s="5"/>
      <c r="H202" s="5">
        <v>9916</v>
      </c>
      <c r="I202" s="5">
        <v>3047</v>
      </c>
      <c r="J202" s="8">
        <v>6579</v>
      </c>
      <c r="K202" s="5">
        <f>288+2</f>
        <v>290</v>
      </c>
      <c r="L202" s="5">
        <f t="shared" si="75"/>
        <v>9916</v>
      </c>
      <c r="M202" s="5">
        <f t="shared" si="76"/>
        <v>0</v>
      </c>
      <c r="N202" s="6">
        <f t="shared" si="77"/>
        <v>-0.35619201290843083</v>
      </c>
      <c r="O202" s="4">
        <v>17</v>
      </c>
      <c r="P202" s="5"/>
      <c r="Q202" s="5">
        <v>11456</v>
      </c>
      <c r="R202" s="5">
        <v>5040</v>
      </c>
      <c r="S202" s="8">
        <v>6118</v>
      </c>
      <c r="T202" s="8">
        <v>0</v>
      </c>
      <c r="U202" s="8">
        <v>298</v>
      </c>
      <c r="V202" s="5">
        <f t="shared" si="78"/>
        <v>11456</v>
      </c>
      <c r="W202" s="5">
        <f t="shared" si="79"/>
        <v>0</v>
      </c>
      <c r="X202" s="6">
        <f t="shared" si="80"/>
        <v>-9.4099162011173187E-2</v>
      </c>
      <c r="Y202" s="4">
        <v>12</v>
      </c>
      <c r="Z202" s="5"/>
      <c r="AA202" s="5"/>
      <c r="AB202" s="5">
        <v>18615</v>
      </c>
      <c r="AC202" s="5">
        <v>10339</v>
      </c>
      <c r="AD202" s="8">
        <v>7557</v>
      </c>
      <c r="AE202" s="8"/>
      <c r="AF202" s="8">
        <v>719</v>
      </c>
      <c r="AG202" s="5">
        <f t="shared" si="81"/>
        <v>18615</v>
      </c>
      <c r="AH202" s="5">
        <f t="shared" si="82"/>
        <v>0</v>
      </c>
      <c r="AI202" s="6">
        <f t="shared" si="83"/>
        <v>0.14944936878861134</v>
      </c>
    </row>
    <row r="203" spans="1:35" x14ac:dyDescent="0.2">
      <c r="A203">
        <v>37083</v>
      </c>
      <c r="B203" t="s">
        <v>250</v>
      </c>
      <c r="C203" s="2" t="s">
        <v>323</v>
      </c>
      <c r="D203" t="s">
        <v>266</v>
      </c>
      <c r="E203" s="4">
        <v>5</v>
      </c>
      <c r="F203" s="8" t="s">
        <v>624</v>
      </c>
      <c r="G203" s="5">
        <v>1</v>
      </c>
      <c r="H203" s="8">
        <v>11898</v>
      </c>
      <c r="I203" s="8">
        <v>3249</v>
      </c>
      <c r="J203" s="8">
        <v>8197</v>
      </c>
      <c r="K203" s="5">
        <f>338+114</f>
        <v>452</v>
      </c>
      <c r="L203" s="5">
        <f t="shared" si="75"/>
        <v>11898</v>
      </c>
      <c r="M203" s="5">
        <f t="shared" si="76"/>
        <v>0</v>
      </c>
      <c r="N203" s="6">
        <f t="shared" si="77"/>
        <v>-0.41586821314506639</v>
      </c>
      <c r="O203" s="4">
        <v>26</v>
      </c>
      <c r="P203" s="5">
        <v>1</v>
      </c>
      <c r="Q203" s="8">
        <v>13872</v>
      </c>
      <c r="R203" s="8">
        <v>5142</v>
      </c>
      <c r="S203" s="8">
        <v>7859</v>
      </c>
      <c r="T203" s="8">
        <v>12</v>
      </c>
      <c r="U203" s="8">
        <v>859</v>
      </c>
      <c r="V203" s="5">
        <f t="shared" si="78"/>
        <v>13872</v>
      </c>
      <c r="W203" s="5">
        <f t="shared" si="79"/>
        <v>0</v>
      </c>
      <c r="X203" s="6">
        <f t="shared" si="80"/>
        <v>-0.19586216839677048</v>
      </c>
      <c r="Y203" s="4">
        <v>28</v>
      </c>
      <c r="Z203" s="8"/>
      <c r="AA203" s="5">
        <v>1</v>
      </c>
      <c r="AB203" s="8">
        <v>15418</v>
      </c>
      <c r="AC203" s="8">
        <v>7066</v>
      </c>
      <c r="AD203" s="8">
        <v>6978</v>
      </c>
      <c r="AE203" s="8"/>
      <c r="AF203" s="8">
        <v>1374</v>
      </c>
      <c r="AG203" s="5">
        <f t="shared" si="81"/>
        <v>15418</v>
      </c>
      <c r="AH203" s="5">
        <f t="shared" si="82"/>
        <v>0</v>
      </c>
      <c r="AI203" s="6">
        <f t="shared" si="83"/>
        <v>5.7076144765858088E-3</v>
      </c>
    </row>
    <row r="204" spans="1:35" x14ac:dyDescent="0.2">
      <c r="A204">
        <v>37085050</v>
      </c>
      <c r="B204" t="s">
        <v>250</v>
      </c>
      <c r="C204" t="s">
        <v>267</v>
      </c>
      <c r="D204" t="s">
        <v>268</v>
      </c>
      <c r="E204" s="4">
        <v>5</v>
      </c>
      <c r="F204" s="5" t="s">
        <v>437</v>
      </c>
      <c r="G204" s="5"/>
      <c r="H204" s="8">
        <v>515</v>
      </c>
      <c r="I204" s="8">
        <v>213</v>
      </c>
      <c r="J204" s="8">
        <v>295</v>
      </c>
      <c r="K204" s="5">
        <f>6+1</f>
        <v>7</v>
      </c>
      <c r="L204" s="5">
        <f t="shared" si="75"/>
        <v>515</v>
      </c>
      <c r="M204" s="5">
        <f t="shared" si="76"/>
        <v>0</v>
      </c>
      <c r="N204" s="6">
        <f t="shared" si="77"/>
        <v>-0.15922330097087378</v>
      </c>
      <c r="O204" s="4">
        <v>25</v>
      </c>
      <c r="P204" s="5"/>
      <c r="Q204" s="8">
        <v>302</v>
      </c>
      <c r="R204" s="8">
        <v>168</v>
      </c>
      <c r="S204" s="8">
        <v>129</v>
      </c>
      <c r="T204" s="8">
        <v>4</v>
      </c>
      <c r="U204" s="8">
        <v>1</v>
      </c>
      <c r="V204" s="5">
        <f t="shared" si="78"/>
        <v>302</v>
      </c>
      <c r="W204" s="5">
        <f t="shared" si="79"/>
        <v>0</v>
      </c>
      <c r="X204" s="6">
        <f t="shared" si="80"/>
        <v>0.12913907284768211</v>
      </c>
      <c r="Y204" s="4">
        <v>28</v>
      </c>
      <c r="Z204" s="5"/>
      <c r="AA204" s="5">
        <v>1</v>
      </c>
      <c r="AB204" s="8">
        <v>13579</v>
      </c>
      <c r="AC204" s="8">
        <v>6710</v>
      </c>
      <c r="AD204" s="8">
        <v>5664</v>
      </c>
      <c r="AE204" s="8"/>
      <c r="AF204" s="8">
        <v>1205</v>
      </c>
      <c r="AG204" s="5">
        <f t="shared" si="81"/>
        <v>13579</v>
      </c>
      <c r="AH204" s="5">
        <f t="shared" si="82"/>
        <v>0</v>
      </c>
      <c r="AI204" s="6">
        <f t="shared" si="83"/>
        <v>7.7030709183297741E-2</v>
      </c>
    </row>
    <row r="205" spans="1:35" x14ac:dyDescent="0.2">
      <c r="A205">
        <v>370480</v>
      </c>
      <c r="B205" t="s">
        <v>250</v>
      </c>
      <c r="C205" t="s">
        <v>269</v>
      </c>
      <c r="D205" t="s">
        <v>270</v>
      </c>
      <c r="E205" s="4">
        <v>4</v>
      </c>
      <c r="F205" s="5" t="s">
        <v>646</v>
      </c>
      <c r="G205" s="5"/>
      <c r="H205" s="5">
        <v>25402</v>
      </c>
      <c r="I205" s="5">
        <v>6854</v>
      </c>
      <c r="J205" s="8">
        <v>18112</v>
      </c>
      <c r="K205" s="5">
        <f>422+14</f>
        <v>436</v>
      </c>
      <c r="L205" s="5">
        <f t="shared" si="75"/>
        <v>25402</v>
      </c>
      <c r="M205" s="5">
        <f t="shared" si="76"/>
        <v>0</v>
      </c>
      <c r="N205" s="6">
        <f t="shared" si="77"/>
        <v>-0.44319344933469806</v>
      </c>
      <c r="O205" s="4">
        <v>17</v>
      </c>
      <c r="P205" s="5"/>
      <c r="Q205" s="5">
        <v>37874</v>
      </c>
      <c r="R205" s="5">
        <v>16266</v>
      </c>
      <c r="S205" s="8">
        <v>20633</v>
      </c>
      <c r="T205" s="8">
        <v>32</v>
      </c>
      <c r="U205" s="8">
        <v>943</v>
      </c>
      <c r="V205" s="5">
        <f t="shared" si="78"/>
        <v>37874</v>
      </c>
      <c r="W205" s="5">
        <f t="shared" si="79"/>
        <v>0</v>
      </c>
      <c r="X205" s="6">
        <f t="shared" si="80"/>
        <v>-0.1153033743465174</v>
      </c>
      <c r="Y205" s="4">
        <v>12</v>
      </c>
      <c r="Z205" s="5"/>
      <c r="AA205" s="5"/>
      <c r="AB205" s="5">
        <v>62142</v>
      </c>
      <c r="AC205" s="5">
        <v>31125</v>
      </c>
      <c r="AD205" s="8">
        <v>27275</v>
      </c>
      <c r="AE205" s="8"/>
      <c r="AF205" s="8">
        <v>3742</v>
      </c>
      <c r="AG205" s="5">
        <f t="shared" si="81"/>
        <v>62142</v>
      </c>
      <c r="AH205" s="5">
        <f t="shared" si="82"/>
        <v>0</v>
      </c>
      <c r="AI205" s="6">
        <f t="shared" si="83"/>
        <v>6.1954877538540759E-2</v>
      </c>
    </row>
    <row r="206" spans="1:35" x14ac:dyDescent="0.2">
      <c r="A206">
        <v>372755</v>
      </c>
      <c r="B206" t="s">
        <v>250</v>
      </c>
      <c r="C206" t="s">
        <v>271</v>
      </c>
      <c r="D206" t="s">
        <v>272</v>
      </c>
      <c r="E206" s="4">
        <v>4</v>
      </c>
      <c r="F206" s="5" t="s">
        <v>438</v>
      </c>
      <c r="G206" s="5"/>
      <c r="H206" s="8">
        <v>8806</v>
      </c>
      <c r="I206" s="8">
        <v>2549</v>
      </c>
      <c r="J206" s="8">
        <v>6028</v>
      </c>
      <c r="K206" s="5">
        <f>211+18</f>
        <v>229</v>
      </c>
      <c r="L206" s="5">
        <f t="shared" si="75"/>
        <v>8806</v>
      </c>
      <c r="M206" s="5">
        <f t="shared" si="76"/>
        <v>0</v>
      </c>
      <c r="N206" s="6">
        <f t="shared" si="77"/>
        <v>-0.39507154213036566</v>
      </c>
      <c r="O206" s="4">
        <v>17</v>
      </c>
      <c r="P206" s="5"/>
      <c r="Q206" s="8">
        <v>13409</v>
      </c>
      <c r="R206" s="8">
        <v>6218</v>
      </c>
      <c r="S206" s="8">
        <v>6576</v>
      </c>
      <c r="T206" s="8">
        <v>15</v>
      </c>
      <c r="U206" s="8">
        <v>600</v>
      </c>
      <c r="V206" s="5">
        <f t="shared" si="78"/>
        <v>13409</v>
      </c>
      <c r="W206" s="5">
        <f t="shared" si="79"/>
        <v>0</v>
      </c>
      <c r="X206" s="6">
        <f t="shared" si="80"/>
        <v>-2.6698486091431127E-2</v>
      </c>
      <c r="Y206" s="4">
        <v>18</v>
      </c>
      <c r="Z206" s="5"/>
      <c r="AA206" s="5"/>
      <c r="AB206" s="8">
        <v>14158</v>
      </c>
      <c r="AC206" s="8">
        <v>6622</v>
      </c>
      <c r="AD206" s="8">
        <v>6489</v>
      </c>
      <c r="AE206" s="8"/>
      <c r="AF206" s="8">
        <v>1047</v>
      </c>
      <c r="AG206" s="5">
        <f t="shared" si="81"/>
        <v>14158</v>
      </c>
      <c r="AH206" s="5">
        <f t="shared" si="82"/>
        <v>0</v>
      </c>
      <c r="AI206" s="6">
        <f t="shared" si="83"/>
        <v>9.3939822008758302E-3</v>
      </c>
    </row>
    <row r="207" spans="1:35" x14ac:dyDescent="0.2">
      <c r="A207">
        <v>371280</v>
      </c>
      <c r="B207" t="s">
        <v>250</v>
      </c>
      <c r="C207" t="s">
        <v>62</v>
      </c>
      <c r="D207" t="s">
        <v>273</v>
      </c>
      <c r="E207" s="4">
        <v>5</v>
      </c>
      <c r="F207" s="5" t="s">
        <v>439</v>
      </c>
      <c r="G207" s="5"/>
      <c r="H207" s="8">
        <v>836</v>
      </c>
      <c r="I207" s="8">
        <v>409</v>
      </c>
      <c r="J207" s="8">
        <v>416</v>
      </c>
      <c r="K207" s="8">
        <v>11</v>
      </c>
      <c r="L207" s="5">
        <f t="shared" si="75"/>
        <v>836</v>
      </c>
      <c r="M207" s="5">
        <f t="shared" si="76"/>
        <v>0</v>
      </c>
      <c r="N207" s="6">
        <f t="shared" si="77"/>
        <v>-8.3732057416267946E-3</v>
      </c>
      <c r="O207" s="4">
        <v>22</v>
      </c>
      <c r="P207" s="5"/>
      <c r="Q207" s="8">
        <v>1166</v>
      </c>
      <c r="R207" s="8">
        <v>535</v>
      </c>
      <c r="S207" s="8">
        <v>576</v>
      </c>
      <c r="T207" s="8">
        <v>1</v>
      </c>
      <c r="U207" s="8">
        <v>54</v>
      </c>
      <c r="V207" s="5">
        <f t="shared" si="78"/>
        <v>1166</v>
      </c>
      <c r="W207" s="5">
        <f t="shared" si="79"/>
        <v>0</v>
      </c>
      <c r="X207" s="6">
        <f t="shared" si="80"/>
        <v>-3.5162950257289882E-2</v>
      </c>
      <c r="Y207" s="4">
        <v>22</v>
      </c>
      <c r="Z207" s="5"/>
      <c r="AA207" s="5"/>
      <c r="AB207" s="8">
        <v>4063</v>
      </c>
      <c r="AC207" s="8">
        <v>1854</v>
      </c>
      <c r="AD207" s="8">
        <v>1929</v>
      </c>
      <c r="AE207" s="8"/>
      <c r="AF207" s="8">
        <v>280</v>
      </c>
      <c r="AG207" s="5">
        <f t="shared" si="81"/>
        <v>4063</v>
      </c>
      <c r="AH207" s="5">
        <f t="shared" si="82"/>
        <v>0</v>
      </c>
      <c r="AI207" s="6">
        <f t="shared" si="83"/>
        <v>-1.8459266551809007E-2</v>
      </c>
    </row>
    <row r="208" spans="1:35" x14ac:dyDescent="0.2">
      <c r="A208">
        <v>370475</v>
      </c>
      <c r="B208" t="s">
        <v>250</v>
      </c>
      <c r="C208" t="s">
        <v>274</v>
      </c>
      <c r="D208" t="s">
        <v>275</v>
      </c>
      <c r="E208" s="4">
        <v>4</v>
      </c>
      <c r="F208" s="5" t="s">
        <v>440</v>
      </c>
      <c r="G208" s="5"/>
      <c r="H208" s="5">
        <v>986</v>
      </c>
      <c r="I208" s="5">
        <v>365</v>
      </c>
      <c r="J208" s="8">
        <v>610</v>
      </c>
      <c r="K208" s="5">
        <f>7+4</f>
        <v>11</v>
      </c>
      <c r="L208" s="5">
        <f t="shared" si="75"/>
        <v>986</v>
      </c>
      <c r="M208" s="5">
        <f t="shared" si="76"/>
        <v>0</v>
      </c>
      <c r="N208" s="6">
        <f t="shared" si="77"/>
        <v>-0.24847870182555781</v>
      </c>
      <c r="O208" s="4">
        <v>22</v>
      </c>
      <c r="P208" s="5"/>
      <c r="Q208" s="5">
        <v>1462</v>
      </c>
      <c r="R208" s="5">
        <v>678</v>
      </c>
      <c r="S208" s="8">
        <v>738</v>
      </c>
      <c r="T208" s="8">
        <v>0</v>
      </c>
      <c r="U208" s="8">
        <v>46</v>
      </c>
      <c r="V208" s="5">
        <f t="shared" si="78"/>
        <v>1462</v>
      </c>
      <c r="W208" s="5">
        <f t="shared" si="79"/>
        <v>0</v>
      </c>
      <c r="X208" s="6">
        <f t="shared" si="80"/>
        <v>-4.1039671682626538E-2</v>
      </c>
      <c r="Y208" s="4">
        <v>22</v>
      </c>
      <c r="Z208" s="5"/>
      <c r="AA208" s="5"/>
      <c r="AB208" s="5">
        <v>2723</v>
      </c>
      <c r="AC208" s="5">
        <v>1121</v>
      </c>
      <c r="AD208" s="8">
        <v>1535</v>
      </c>
      <c r="AE208" s="8"/>
      <c r="AF208" s="8">
        <v>67</v>
      </c>
      <c r="AG208" s="5">
        <f t="shared" si="81"/>
        <v>2723</v>
      </c>
      <c r="AH208" s="5">
        <f t="shared" si="82"/>
        <v>0</v>
      </c>
      <c r="AI208" s="6">
        <f t="shared" si="83"/>
        <v>-0.15203819316929856</v>
      </c>
    </row>
    <row r="209" spans="1:35" x14ac:dyDescent="0.2">
      <c r="A209">
        <v>372040</v>
      </c>
      <c r="B209" t="s">
        <v>250</v>
      </c>
      <c r="C209" t="s">
        <v>276</v>
      </c>
      <c r="D209" t="s">
        <v>277</v>
      </c>
      <c r="E209" s="4">
        <v>5</v>
      </c>
      <c r="F209" s="5" t="s">
        <v>441</v>
      </c>
      <c r="G209" s="5"/>
      <c r="H209" s="8">
        <v>759</v>
      </c>
      <c r="I209" s="8">
        <v>265</v>
      </c>
      <c r="J209" s="8">
        <v>491</v>
      </c>
      <c r="K209" s="8">
        <v>3</v>
      </c>
      <c r="L209" s="5">
        <f t="shared" si="75"/>
        <v>759</v>
      </c>
      <c r="M209" s="5">
        <f t="shared" si="76"/>
        <v>0</v>
      </c>
      <c r="N209" s="6">
        <f t="shared" si="77"/>
        <v>-0.29776021080368908</v>
      </c>
      <c r="O209" s="4">
        <v>25</v>
      </c>
      <c r="P209" s="5"/>
      <c r="Q209" s="8">
        <v>598</v>
      </c>
      <c r="R209" s="8">
        <v>368</v>
      </c>
      <c r="S209" s="8">
        <v>206</v>
      </c>
      <c r="T209" s="8">
        <v>10</v>
      </c>
      <c r="U209" s="8">
        <v>14</v>
      </c>
      <c r="V209" s="5">
        <f t="shared" si="78"/>
        <v>598</v>
      </c>
      <c r="W209" s="5">
        <f t="shared" si="79"/>
        <v>0</v>
      </c>
      <c r="X209" s="6">
        <f t="shared" si="80"/>
        <v>0.2709030100334448</v>
      </c>
      <c r="Y209" s="4">
        <v>25</v>
      </c>
      <c r="Z209" s="5"/>
      <c r="AA209" s="5"/>
      <c r="AB209" s="8">
        <v>762</v>
      </c>
      <c r="AC209" s="8">
        <v>453</v>
      </c>
      <c r="AD209" s="8">
        <v>273</v>
      </c>
      <c r="AE209" s="8"/>
      <c r="AF209" s="8">
        <f>19+17</f>
        <v>36</v>
      </c>
      <c r="AG209" s="5">
        <f t="shared" si="81"/>
        <v>762</v>
      </c>
      <c r="AH209" s="5">
        <f t="shared" si="82"/>
        <v>0</v>
      </c>
      <c r="AI209" s="6">
        <f t="shared" si="83"/>
        <v>0.23622047244094488</v>
      </c>
    </row>
    <row r="210" spans="1:35" x14ac:dyDescent="0.2">
      <c r="A210">
        <v>371420</v>
      </c>
      <c r="B210" t="s">
        <v>250</v>
      </c>
      <c r="C210" t="s">
        <v>278</v>
      </c>
      <c r="D210" t="s">
        <v>279</v>
      </c>
      <c r="E210" s="4">
        <v>4</v>
      </c>
      <c r="F210" s="5"/>
      <c r="G210" s="5"/>
      <c r="H210" s="5">
        <v>1483</v>
      </c>
      <c r="I210" s="5">
        <v>407</v>
      </c>
      <c r="J210" s="8">
        <v>1055</v>
      </c>
      <c r="K210" s="8">
        <v>21</v>
      </c>
      <c r="L210" s="5">
        <f t="shared" si="75"/>
        <v>1483</v>
      </c>
      <c r="M210" s="5">
        <f t="shared" si="76"/>
        <v>0</v>
      </c>
      <c r="N210" s="6">
        <f t="shared" si="77"/>
        <v>-0.43695212407282535</v>
      </c>
      <c r="O210" s="4">
        <v>22</v>
      </c>
      <c r="P210" s="5"/>
      <c r="Q210" s="8">
        <v>1990</v>
      </c>
      <c r="R210" s="8">
        <v>951</v>
      </c>
      <c r="S210" s="8">
        <v>978</v>
      </c>
      <c r="T210" s="8">
        <v>1</v>
      </c>
      <c r="U210" s="8">
        <v>60</v>
      </c>
      <c r="V210" s="5">
        <f t="shared" si="78"/>
        <v>1990</v>
      </c>
      <c r="W210" s="5">
        <f t="shared" si="79"/>
        <v>0</v>
      </c>
      <c r="X210" s="6">
        <f t="shared" si="80"/>
        <v>-1.3567839195979899E-2</v>
      </c>
      <c r="Y210" s="4">
        <v>25</v>
      </c>
      <c r="Z210" s="5"/>
      <c r="AA210" s="5"/>
      <c r="AB210" s="8">
        <v>2445</v>
      </c>
      <c r="AC210" s="8">
        <v>1179</v>
      </c>
      <c r="AD210" s="8">
        <v>1073</v>
      </c>
      <c r="AE210" s="8"/>
      <c r="AF210" s="8">
        <f>77+116</f>
        <v>193</v>
      </c>
      <c r="AG210" s="5">
        <f t="shared" si="81"/>
        <v>2445</v>
      </c>
      <c r="AH210" s="5">
        <f t="shared" si="82"/>
        <v>0</v>
      </c>
      <c r="AI210" s="6">
        <f t="shared" si="83"/>
        <v>4.3353783231083846E-2</v>
      </c>
    </row>
    <row r="211" spans="1:35" x14ac:dyDescent="0.2">
      <c r="A211">
        <v>372220</v>
      </c>
      <c r="B211" t="s">
        <v>250</v>
      </c>
      <c r="C211" t="s">
        <v>279</v>
      </c>
      <c r="D211" t="s">
        <v>280</v>
      </c>
      <c r="E211" s="4">
        <v>5</v>
      </c>
      <c r="F211" s="5" t="s">
        <v>464</v>
      </c>
      <c r="G211" s="5">
        <v>1</v>
      </c>
      <c r="H211" s="8">
        <v>5007</v>
      </c>
      <c r="I211" s="8">
        <v>1078</v>
      </c>
      <c r="J211" s="8">
        <v>3839</v>
      </c>
      <c r="K211" s="5">
        <f>86+4</f>
        <v>90</v>
      </c>
      <c r="L211" s="5">
        <f t="shared" si="75"/>
        <v>5007</v>
      </c>
      <c r="M211" s="5">
        <f t="shared" si="76"/>
        <v>0</v>
      </c>
      <c r="N211" s="6">
        <f t="shared" si="77"/>
        <v>-0.55142800079888155</v>
      </c>
      <c r="O211" s="4">
        <v>26</v>
      </c>
      <c r="P211" s="5">
        <v>1</v>
      </c>
      <c r="Q211" s="8">
        <v>6342</v>
      </c>
      <c r="R211" s="8">
        <v>2235</v>
      </c>
      <c r="S211" s="8">
        <v>3755</v>
      </c>
      <c r="T211" s="8">
        <v>3</v>
      </c>
      <c r="U211" s="8">
        <v>349</v>
      </c>
      <c r="V211" s="5">
        <f t="shared" si="78"/>
        <v>6342</v>
      </c>
      <c r="W211" s="5">
        <f t="shared" si="79"/>
        <v>0</v>
      </c>
      <c r="X211" s="6">
        <f t="shared" si="80"/>
        <v>-0.23967202775149796</v>
      </c>
      <c r="Y211" s="4">
        <v>28</v>
      </c>
      <c r="Z211" s="5"/>
      <c r="AA211" s="5">
        <v>1</v>
      </c>
      <c r="AB211" s="8">
        <v>6679</v>
      </c>
      <c r="AC211" s="8">
        <v>2762</v>
      </c>
      <c r="AD211" s="8">
        <v>3264</v>
      </c>
      <c r="AE211" s="8"/>
      <c r="AF211" s="8">
        <v>653</v>
      </c>
      <c r="AG211" s="5">
        <f t="shared" si="81"/>
        <v>6679</v>
      </c>
      <c r="AH211" s="5">
        <f t="shared" si="82"/>
        <v>0</v>
      </c>
      <c r="AI211" s="6">
        <f t="shared" si="83"/>
        <v>-7.516095223835903E-2</v>
      </c>
    </row>
    <row r="212" spans="1:35" x14ac:dyDescent="0.2">
      <c r="A212">
        <v>37107040</v>
      </c>
      <c r="B212" t="s">
        <v>250</v>
      </c>
      <c r="C212" s="2" t="s">
        <v>455</v>
      </c>
      <c r="D212" t="s">
        <v>254</v>
      </c>
      <c r="E212" s="4">
        <v>5</v>
      </c>
      <c r="F212" s="5" t="s">
        <v>458</v>
      </c>
      <c r="G212" s="5"/>
      <c r="H212" s="5">
        <v>229</v>
      </c>
      <c r="I212" s="5">
        <v>64</v>
      </c>
      <c r="J212" s="8">
        <v>141</v>
      </c>
      <c r="K212" s="8">
        <v>24</v>
      </c>
      <c r="L212" s="5">
        <f t="shared" si="75"/>
        <v>229</v>
      </c>
      <c r="M212" s="5">
        <f t="shared" si="76"/>
        <v>0</v>
      </c>
      <c r="N212" s="6">
        <f t="shared" si="77"/>
        <v>-0.33624454148471616</v>
      </c>
      <c r="O212" s="4">
        <v>26</v>
      </c>
      <c r="P212" s="5">
        <v>1</v>
      </c>
      <c r="Q212" s="8">
        <v>11378</v>
      </c>
      <c r="R212" s="8">
        <v>4017</v>
      </c>
      <c r="S212" s="8">
        <v>6849</v>
      </c>
      <c r="T212" s="8">
        <v>2</v>
      </c>
      <c r="U212" s="8">
        <v>510</v>
      </c>
      <c r="V212" s="5">
        <f t="shared" si="78"/>
        <v>11378</v>
      </c>
      <c r="W212" s="5">
        <f t="shared" si="79"/>
        <v>0</v>
      </c>
      <c r="X212" s="6">
        <f t="shared" si="80"/>
        <v>-0.24890138864475303</v>
      </c>
      <c r="Y212" s="4">
        <v>28</v>
      </c>
      <c r="Z212" s="5"/>
      <c r="AA212" s="5">
        <v>1</v>
      </c>
      <c r="AB212" s="8">
        <v>15289</v>
      </c>
      <c r="AC212" s="8">
        <v>6477</v>
      </c>
      <c r="AD212" s="8">
        <v>7396</v>
      </c>
      <c r="AE212" s="8"/>
      <c r="AF212" s="8">
        <v>1416</v>
      </c>
      <c r="AG212" s="5">
        <f t="shared" si="81"/>
        <v>15289</v>
      </c>
      <c r="AH212" s="5">
        <f t="shared" si="82"/>
        <v>0</v>
      </c>
      <c r="AI212" s="6">
        <f t="shared" si="83"/>
        <v>-6.0108574792334356E-2</v>
      </c>
    </row>
    <row r="213" spans="1:35" x14ac:dyDescent="0.2">
      <c r="A213">
        <v>372020</v>
      </c>
      <c r="B213" t="s">
        <v>250</v>
      </c>
      <c r="C213" t="s">
        <v>281</v>
      </c>
      <c r="D213" t="s">
        <v>282</v>
      </c>
      <c r="E213" s="4">
        <v>4</v>
      </c>
      <c r="F213" s="5" t="s">
        <v>442</v>
      </c>
      <c r="G213" s="5"/>
      <c r="H213" s="5">
        <v>10760</v>
      </c>
      <c r="I213" s="5">
        <v>3153</v>
      </c>
      <c r="J213" s="8">
        <v>7404</v>
      </c>
      <c r="K213" s="5">
        <f>188+15</f>
        <v>203</v>
      </c>
      <c r="L213" s="5">
        <f t="shared" si="75"/>
        <v>10760</v>
      </c>
      <c r="M213" s="5">
        <f t="shared" si="76"/>
        <v>0</v>
      </c>
      <c r="N213" s="6">
        <f t="shared" si="77"/>
        <v>-0.39507434944237918</v>
      </c>
      <c r="O213" s="4">
        <v>17</v>
      </c>
      <c r="P213" s="5"/>
      <c r="Q213" s="5">
        <v>16561</v>
      </c>
      <c r="R213" s="5">
        <v>6874</v>
      </c>
      <c r="S213" s="8">
        <v>9292</v>
      </c>
      <c r="T213" s="8">
        <v>8</v>
      </c>
      <c r="U213" s="8">
        <v>387</v>
      </c>
      <c r="V213" s="5">
        <f t="shared" si="78"/>
        <v>16561</v>
      </c>
      <c r="W213" s="5">
        <f t="shared" si="79"/>
        <v>0</v>
      </c>
      <c r="X213" s="6">
        <f t="shared" si="80"/>
        <v>-0.14600567598574965</v>
      </c>
      <c r="Y213" s="4">
        <v>12</v>
      </c>
      <c r="Z213" s="5"/>
      <c r="AA213" s="5"/>
      <c r="AB213" s="5">
        <v>27415</v>
      </c>
      <c r="AC213" s="5">
        <v>13207</v>
      </c>
      <c r="AD213" s="8">
        <v>12678</v>
      </c>
      <c r="AE213" s="8"/>
      <c r="AF213" s="8">
        <v>1530</v>
      </c>
      <c r="AG213" s="5">
        <f t="shared" si="81"/>
        <v>27415</v>
      </c>
      <c r="AH213" s="5">
        <f t="shared" si="82"/>
        <v>0</v>
      </c>
      <c r="AI213" s="6">
        <f t="shared" si="83"/>
        <v>1.9296005836221045E-2</v>
      </c>
    </row>
    <row r="214" spans="1:35" x14ac:dyDescent="0.2">
      <c r="A214">
        <v>37185</v>
      </c>
      <c r="B214" t="s">
        <v>250</v>
      </c>
      <c r="C214" t="s">
        <v>182</v>
      </c>
      <c r="D214" t="s">
        <v>283</v>
      </c>
      <c r="E214" s="4">
        <v>5</v>
      </c>
      <c r="F214" s="5" t="s">
        <v>465</v>
      </c>
      <c r="G214" s="5">
        <v>1</v>
      </c>
      <c r="H214" s="8">
        <v>4660</v>
      </c>
      <c r="I214" s="8">
        <v>1918</v>
      </c>
      <c r="J214" s="8">
        <v>2614</v>
      </c>
      <c r="K214" s="5">
        <f>125+3</f>
        <v>128</v>
      </c>
      <c r="L214" s="5">
        <f t="shared" si="75"/>
        <v>4660</v>
      </c>
      <c r="M214" s="5">
        <f t="shared" si="76"/>
        <v>0</v>
      </c>
      <c r="N214" s="6">
        <f t="shared" si="77"/>
        <v>-0.14935622317596567</v>
      </c>
      <c r="O214" s="4">
        <v>26</v>
      </c>
      <c r="P214" s="5">
        <v>1</v>
      </c>
      <c r="Q214" s="8">
        <v>5298</v>
      </c>
      <c r="R214" s="8">
        <v>2508</v>
      </c>
      <c r="S214" s="8">
        <v>2510</v>
      </c>
      <c r="T214" s="8">
        <v>4</v>
      </c>
      <c r="U214" s="8">
        <v>276</v>
      </c>
      <c r="V214" s="5">
        <f t="shared" si="78"/>
        <v>5298</v>
      </c>
      <c r="W214" s="5">
        <f t="shared" si="79"/>
        <v>0</v>
      </c>
      <c r="X214" s="6">
        <f t="shared" si="80"/>
        <v>-3.7750094375235937E-4</v>
      </c>
      <c r="Y214" s="4">
        <v>28</v>
      </c>
      <c r="Z214" s="5"/>
      <c r="AA214" s="5">
        <v>1</v>
      </c>
      <c r="AB214" s="8">
        <v>5050</v>
      </c>
      <c r="AC214" s="8">
        <v>2481</v>
      </c>
      <c r="AD214" s="8">
        <v>2048</v>
      </c>
      <c r="AE214" s="8"/>
      <c r="AF214" s="8">
        <v>521</v>
      </c>
      <c r="AG214" s="5">
        <f t="shared" si="81"/>
        <v>5050</v>
      </c>
      <c r="AH214" s="5">
        <f t="shared" si="82"/>
        <v>0</v>
      </c>
      <c r="AI214" s="6">
        <f t="shared" si="83"/>
        <v>8.5742574257425749E-2</v>
      </c>
    </row>
    <row r="215" spans="1:35" x14ac:dyDescent="0.2">
      <c r="A215">
        <v>37185060</v>
      </c>
      <c r="B215" t="s">
        <v>250</v>
      </c>
      <c r="C215" t="s">
        <v>284</v>
      </c>
      <c r="D215" t="s">
        <v>182</v>
      </c>
      <c r="E215" s="4">
        <v>5</v>
      </c>
      <c r="F215" s="5" t="s">
        <v>443</v>
      </c>
      <c r="G215" s="5"/>
      <c r="H215" s="8">
        <v>1003</v>
      </c>
      <c r="I215" s="8">
        <v>457</v>
      </c>
      <c r="J215" s="8">
        <v>543</v>
      </c>
      <c r="K215" s="5">
        <f>2+1</f>
        <v>3</v>
      </c>
      <c r="L215" s="5">
        <f t="shared" si="75"/>
        <v>1003</v>
      </c>
      <c r="M215" s="5">
        <f t="shared" si="76"/>
        <v>0</v>
      </c>
      <c r="N215" s="6">
        <f t="shared" si="77"/>
        <v>-8.5742771684945165E-2</v>
      </c>
      <c r="O215" s="4">
        <v>25</v>
      </c>
      <c r="P215" s="5"/>
      <c r="Q215" s="8">
        <v>376</v>
      </c>
      <c r="R215" s="8">
        <v>198</v>
      </c>
      <c r="S215" s="8">
        <v>161</v>
      </c>
      <c r="T215" s="8">
        <v>4</v>
      </c>
      <c r="U215" s="8">
        <v>13</v>
      </c>
      <c r="V215" s="5">
        <f t="shared" si="78"/>
        <v>376</v>
      </c>
      <c r="W215" s="5">
        <f t="shared" si="79"/>
        <v>0</v>
      </c>
      <c r="X215" s="6">
        <f t="shared" si="80"/>
        <v>9.8404255319148939E-2</v>
      </c>
      <c r="Y215" s="4">
        <v>28</v>
      </c>
      <c r="Z215" s="5"/>
      <c r="AA215" s="8">
        <v>1</v>
      </c>
      <c r="AB215" s="8">
        <v>5050</v>
      </c>
      <c r="AC215" s="8">
        <v>2481</v>
      </c>
      <c r="AD215" s="8">
        <v>2048</v>
      </c>
      <c r="AE215" s="8"/>
      <c r="AF215" s="8">
        <v>521</v>
      </c>
      <c r="AG215" s="5">
        <f t="shared" si="81"/>
        <v>5050</v>
      </c>
      <c r="AH215" s="5">
        <f t="shared" si="82"/>
        <v>0</v>
      </c>
      <c r="AI215" s="6">
        <f t="shared" si="83"/>
        <v>8.5742574257425749E-2</v>
      </c>
    </row>
    <row r="216" spans="1:35" x14ac:dyDescent="0.2">
      <c r="A216">
        <v>371035</v>
      </c>
      <c r="B216" t="s">
        <v>250</v>
      </c>
      <c r="C216" t="s">
        <v>285</v>
      </c>
      <c r="D216" t="s">
        <v>185</v>
      </c>
      <c r="E216" s="4">
        <v>4</v>
      </c>
      <c r="F216" s="5" t="s">
        <v>444</v>
      </c>
      <c r="G216" s="5"/>
      <c r="H216" s="5">
        <v>4200</v>
      </c>
      <c r="I216" s="5">
        <v>1084</v>
      </c>
      <c r="J216" s="8">
        <v>3061</v>
      </c>
      <c r="K216" s="5">
        <f>52+3</f>
        <v>55</v>
      </c>
      <c r="L216" s="5">
        <f t="shared" si="75"/>
        <v>4200</v>
      </c>
      <c r="M216" s="5">
        <f t="shared" si="76"/>
        <v>0</v>
      </c>
      <c r="N216" s="6">
        <f t="shared" si="77"/>
        <v>-0.4707142857142857</v>
      </c>
      <c r="O216" s="4">
        <v>17</v>
      </c>
      <c r="P216" s="5"/>
      <c r="Q216" s="5">
        <v>5945</v>
      </c>
      <c r="R216" s="5">
        <v>2281</v>
      </c>
      <c r="S216" s="8">
        <v>3502</v>
      </c>
      <c r="T216" s="8">
        <v>3</v>
      </c>
      <c r="U216" s="8">
        <v>159</v>
      </c>
      <c r="V216" s="5">
        <f t="shared" si="78"/>
        <v>5945</v>
      </c>
      <c r="W216" s="5">
        <f t="shared" si="79"/>
        <v>0</v>
      </c>
      <c r="X216" s="6">
        <f t="shared" si="80"/>
        <v>-0.20538267451640033</v>
      </c>
      <c r="Y216" s="4">
        <v>18</v>
      </c>
      <c r="Z216" s="5"/>
      <c r="AA216" s="5"/>
      <c r="AB216" s="5">
        <v>8713</v>
      </c>
      <c r="AC216" s="5">
        <v>3635</v>
      </c>
      <c r="AD216" s="8">
        <v>4606</v>
      </c>
      <c r="AE216" s="8"/>
      <c r="AF216" s="8">
        <v>472</v>
      </c>
      <c r="AG216" s="5">
        <f t="shared" si="81"/>
        <v>8713</v>
      </c>
      <c r="AH216" s="5">
        <f t="shared" si="82"/>
        <v>0</v>
      </c>
      <c r="AI216" s="6">
        <f t="shared" si="83"/>
        <v>-0.11144267186962011</v>
      </c>
    </row>
    <row r="217" spans="1:35" x14ac:dyDescent="0.2">
      <c r="A217">
        <v>372760</v>
      </c>
      <c r="B217" t="s">
        <v>250</v>
      </c>
      <c r="C217" t="s">
        <v>286</v>
      </c>
      <c r="D217" t="s">
        <v>287</v>
      </c>
      <c r="E217" s="4">
        <v>4</v>
      </c>
      <c r="F217" s="5" t="s">
        <v>445</v>
      </c>
      <c r="G217" s="5"/>
      <c r="H217" s="5">
        <v>4841</v>
      </c>
      <c r="I217" s="5">
        <v>1281</v>
      </c>
      <c r="J217" s="8">
        <v>3521</v>
      </c>
      <c r="K217" s="5">
        <v>39</v>
      </c>
      <c r="L217" s="5">
        <f t="shared" si="75"/>
        <v>4841</v>
      </c>
      <c r="M217" s="5">
        <f t="shared" si="76"/>
        <v>0</v>
      </c>
      <c r="N217" s="6">
        <f t="shared" si="77"/>
        <v>-0.46271431522412726</v>
      </c>
      <c r="O217" s="4">
        <v>17</v>
      </c>
      <c r="P217" s="5"/>
      <c r="Q217" s="5">
        <v>6338</v>
      </c>
      <c r="R217" s="5">
        <v>2430</v>
      </c>
      <c r="S217" s="8">
        <v>3759</v>
      </c>
      <c r="T217" s="8">
        <v>3</v>
      </c>
      <c r="U217" s="8">
        <v>146</v>
      </c>
      <c r="V217" s="5">
        <f t="shared" si="78"/>
        <v>6338</v>
      </c>
      <c r="W217" s="5">
        <f t="shared" si="79"/>
        <v>0</v>
      </c>
      <c r="X217" s="6">
        <f t="shared" si="80"/>
        <v>-0.2096875986115494</v>
      </c>
      <c r="Y217" s="4">
        <v>18</v>
      </c>
      <c r="Z217" s="5"/>
      <c r="AA217" s="5"/>
      <c r="AB217" s="5">
        <v>8395</v>
      </c>
      <c r="AC217" s="5">
        <v>3623</v>
      </c>
      <c r="AD217" s="8">
        <v>4355</v>
      </c>
      <c r="AE217" s="8"/>
      <c r="AF217" s="8">
        <v>417</v>
      </c>
      <c r="AG217" s="5">
        <f t="shared" si="81"/>
        <v>8395</v>
      </c>
      <c r="AH217" s="5">
        <f t="shared" si="82"/>
        <v>0</v>
      </c>
      <c r="AI217" s="6">
        <f t="shared" si="83"/>
        <v>-8.7194758784991069E-2</v>
      </c>
    </row>
    <row r="218" spans="1:35" x14ac:dyDescent="0.2">
      <c r="B218" t="s">
        <v>250</v>
      </c>
      <c r="C218" s="1" t="s">
        <v>288</v>
      </c>
      <c r="E218" s="4"/>
      <c r="F218" s="8" t="s">
        <v>632</v>
      </c>
      <c r="G218" s="5"/>
      <c r="H218" s="5"/>
      <c r="I218" s="5"/>
      <c r="J218" s="5"/>
      <c r="K218" s="5"/>
      <c r="L218" s="5">
        <f t="shared" si="75"/>
        <v>0</v>
      </c>
      <c r="M218" s="5"/>
      <c r="N218" s="6"/>
      <c r="O218" s="4"/>
      <c r="P218" s="5"/>
      <c r="Q218" s="5"/>
      <c r="R218" s="5"/>
      <c r="S218" s="5"/>
      <c r="T218" s="5"/>
      <c r="U218" s="5"/>
      <c r="V218" s="5">
        <f>R218+S218+T218</f>
        <v>0</v>
      </c>
      <c r="W218" s="5"/>
      <c r="X218" s="6"/>
      <c r="Y218" s="4"/>
      <c r="Z218" s="8"/>
      <c r="AA218" s="5"/>
      <c r="AB218" s="5"/>
      <c r="AC218" s="5"/>
      <c r="AD218" s="5"/>
      <c r="AE218" s="5"/>
      <c r="AF218" s="5"/>
      <c r="AG218" s="5">
        <f>AC218+AD218+AE218</f>
        <v>0</v>
      </c>
      <c r="AH218" s="5"/>
      <c r="AI218" s="6"/>
    </row>
    <row r="219" spans="1:35" x14ac:dyDescent="0.2">
      <c r="E219" s="4"/>
      <c r="F219" s="5"/>
      <c r="G219" s="5"/>
      <c r="H219" s="5"/>
      <c r="I219" s="5"/>
      <c r="J219" s="5"/>
      <c r="K219" s="5"/>
      <c r="L219" s="5"/>
      <c r="M219" s="5"/>
      <c r="N219" s="6"/>
      <c r="O219" s="4"/>
      <c r="P219" s="5"/>
      <c r="Q219" s="5"/>
      <c r="R219" s="5"/>
      <c r="S219" s="5"/>
      <c r="T219" s="5"/>
      <c r="U219" s="5"/>
      <c r="V219" s="5"/>
      <c r="W219" s="5"/>
      <c r="X219" s="6"/>
      <c r="Y219" s="4"/>
      <c r="Z219" s="5"/>
      <c r="AA219" s="5"/>
      <c r="AB219" s="5"/>
      <c r="AC219" s="5"/>
      <c r="AD219" s="5"/>
      <c r="AE219" s="5"/>
      <c r="AF219" s="5"/>
      <c r="AG219" s="5"/>
      <c r="AH219" s="5"/>
      <c r="AI219" s="6"/>
    </row>
    <row r="220" spans="1:35" x14ac:dyDescent="0.2">
      <c r="A220">
        <v>390900</v>
      </c>
      <c r="B220" t="s">
        <v>289</v>
      </c>
      <c r="C220" t="s">
        <v>290</v>
      </c>
      <c r="D220" t="s">
        <v>291</v>
      </c>
      <c r="E220" s="4">
        <v>5</v>
      </c>
      <c r="F220" s="5" t="s">
        <v>429</v>
      </c>
      <c r="G220" s="5"/>
      <c r="H220" s="8">
        <v>249896</v>
      </c>
      <c r="I220" s="8">
        <v>80540</v>
      </c>
      <c r="J220" s="8">
        <v>161727</v>
      </c>
      <c r="K220" s="5">
        <f>7337+292</f>
        <v>7629</v>
      </c>
      <c r="L220" s="5">
        <f>I220+J220+K220</f>
        <v>249896</v>
      </c>
      <c r="M220" s="5">
        <f>L220-H220</f>
        <v>0</v>
      </c>
      <c r="N220" s="6">
        <f>(I220-J220)/H220</f>
        <v>-0.32488315139097862</v>
      </c>
      <c r="O220" s="4">
        <v>17</v>
      </c>
      <c r="P220" s="5"/>
      <c r="Q220" s="8">
        <v>270943</v>
      </c>
      <c r="R220" s="8">
        <v>113453</v>
      </c>
      <c r="S220" s="8">
        <v>152520</v>
      </c>
      <c r="T220" s="8">
        <v>424</v>
      </c>
      <c r="U220" s="8">
        <v>4546</v>
      </c>
      <c r="V220" s="5">
        <f>R220+S220+T220+U220</f>
        <v>270943</v>
      </c>
      <c r="W220" s="5">
        <f>V220-Q220</f>
        <v>0</v>
      </c>
      <c r="X220" s="6">
        <f>(R220-S220)/Q220</f>
        <v>-0.14418899916218542</v>
      </c>
      <c r="Y220" s="4">
        <v>12</v>
      </c>
      <c r="Z220" s="5"/>
      <c r="AA220" s="5"/>
      <c r="AB220" s="8">
        <v>282914</v>
      </c>
      <c r="AC220" s="8">
        <v>121173</v>
      </c>
      <c r="AD220" s="8">
        <v>148718</v>
      </c>
      <c r="AE220" s="8"/>
      <c r="AF220" s="8">
        <v>13023</v>
      </c>
      <c r="AG220" s="5">
        <f>AC220+AD220+AE220+AF220</f>
        <v>282914</v>
      </c>
      <c r="AH220" s="5">
        <f>AG220-AB220</f>
        <v>0</v>
      </c>
      <c r="AI220" s="6">
        <f>(AC220-AD220)/AB220</f>
        <v>-9.7361742437631224E-2</v>
      </c>
    </row>
    <row r="221" spans="1:35" x14ac:dyDescent="0.2">
      <c r="A221">
        <v>390865</v>
      </c>
      <c r="B221" t="s">
        <v>289</v>
      </c>
      <c r="C221" t="s">
        <v>292</v>
      </c>
      <c r="D221" t="s">
        <v>293</v>
      </c>
      <c r="E221" s="4">
        <v>5</v>
      </c>
      <c r="F221" s="5" t="s">
        <v>430</v>
      </c>
      <c r="G221" s="5"/>
      <c r="H221" s="8">
        <v>144284</v>
      </c>
      <c r="I221" s="8">
        <v>45127</v>
      </c>
      <c r="J221" s="8">
        <v>90682</v>
      </c>
      <c r="K221" s="5">
        <f>8206+269</f>
        <v>8475</v>
      </c>
      <c r="L221" s="5">
        <f>I221+J221+K221</f>
        <v>144284</v>
      </c>
      <c r="M221" s="5">
        <f>L221-H221</f>
        <v>0</v>
      </c>
      <c r="N221" s="6">
        <f>(I221-J221)/H221</f>
        <v>-0.31573147403731527</v>
      </c>
      <c r="O221" s="4">
        <v>17</v>
      </c>
      <c r="P221" s="5"/>
      <c r="Q221" s="8">
        <v>162591</v>
      </c>
      <c r="R221" s="8">
        <v>60287</v>
      </c>
      <c r="S221" s="8">
        <v>98650</v>
      </c>
      <c r="T221" s="8">
        <v>204</v>
      </c>
      <c r="U221" s="8">
        <v>3450</v>
      </c>
      <c r="V221" s="5">
        <f>R221+S221+T221+U221</f>
        <v>162591</v>
      </c>
      <c r="W221" s="5">
        <f>V221-Q221</f>
        <v>0</v>
      </c>
      <c r="X221" s="6">
        <f>(R221-S221)/Q221</f>
        <v>-0.23594786919325178</v>
      </c>
      <c r="Y221" s="4">
        <v>12</v>
      </c>
      <c r="Z221" s="5"/>
      <c r="AA221" s="5"/>
      <c r="AB221" s="8">
        <v>171679</v>
      </c>
      <c r="AC221" s="8">
        <v>65338</v>
      </c>
      <c r="AD221" s="8">
        <v>96489</v>
      </c>
      <c r="AE221" s="8"/>
      <c r="AF221" s="8">
        <v>9852</v>
      </c>
      <c r="AG221" s="5">
        <f>AC221+AD221+AE221+AF221</f>
        <v>171679</v>
      </c>
      <c r="AH221" s="5">
        <f>AG221-AB221</f>
        <v>0</v>
      </c>
      <c r="AI221" s="6">
        <f>(AC221-AD221)/AB221</f>
        <v>-0.18144909977341434</v>
      </c>
    </row>
    <row r="222" spans="1:35" x14ac:dyDescent="0.2">
      <c r="A222">
        <v>394845</v>
      </c>
      <c r="B222" t="s">
        <v>289</v>
      </c>
      <c r="C222" t="s">
        <v>294</v>
      </c>
      <c r="D222" t="s">
        <v>295</v>
      </c>
      <c r="E222" s="4">
        <v>5</v>
      </c>
      <c r="F222" s="5" t="s">
        <v>431</v>
      </c>
      <c r="G222" s="5"/>
      <c r="H222" s="8">
        <v>41877</v>
      </c>
      <c r="I222" s="8">
        <v>20069</v>
      </c>
      <c r="J222" s="8">
        <v>21128</v>
      </c>
      <c r="K222" s="5">
        <f>642+38</f>
        <v>680</v>
      </c>
      <c r="L222" s="5">
        <f>I222+J222+K222</f>
        <v>41877</v>
      </c>
      <c r="M222" s="5">
        <f>L222-H222</f>
        <v>0</v>
      </c>
      <c r="N222" s="6">
        <f>(I222-J222)/H222</f>
        <v>-2.5288344437280608E-2</v>
      </c>
      <c r="O222" s="4">
        <v>17</v>
      </c>
      <c r="P222" s="5"/>
      <c r="Q222" s="8">
        <v>46066</v>
      </c>
      <c r="R222" s="8">
        <v>27840</v>
      </c>
      <c r="S222" s="8">
        <v>17680</v>
      </c>
      <c r="T222" s="8">
        <v>13</v>
      </c>
      <c r="U222" s="8">
        <v>533</v>
      </c>
      <c r="V222" s="5">
        <f>R222+S222+T222+U222</f>
        <v>46066</v>
      </c>
      <c r="W222" s="5">
        <f>V222-Q222</f>
        <v>0</v>
      </c>
      <c r="X222" s="6">
        <f>(R222-S222)/Q222</f>
        <v>0.22055311943732905</v>
      </c>
      <c r="Y222" s="4">
        <v>12</v>
      </c>
      <c r="Z222" s="5"/>
      <c r="AA222" s="5"/>
      <c r="AB222" s="8">
        <v>50975</v>
      </c>
      <c r="AC222" s="8">
        <v>32461</v>
      </c>
      <c r="AD222" s="8">
        <v>16137</v>
      </c>
      <c r="AE222" s="8"/>
      <c r="AF222" s="8">
        <v>2377</v>
      </c>
      <c r="AG222" s="5">
        <f>AC222+AD222+AE222+AF222</f>
        <v>50975</v>
      </c>
      <c r="AH222" s="5">
        <f>AG222-AB222</f>
        <v>0</v>
      </c>
      <c r="AI222" s="6">
        <f>(AC222-AD222)/AB222</f>
        <v>0.32023540951446788</v>
      </c>
    </row>
    <row r="223" spans="1:35" x14ac:dyDescent="0.2">
      <c r="A223">
        <v>391110</v>
      </c>
      <c r="B223" t="s">
        <v>289</v>
      </c>
      <c r="C223" t="s">
        <v>296</v>
      </c>
      <c r="D223" t="s">
        <v>15</v>
      </c>
      <c r="E223" s="4">
        <v>5</v>
      </c>
      <c r="F223" s="5" t="s">
        <v>432</v>
      </c>
      <c r="G223" s="5"/>
      <c r="H223" s="8">
        <v>60962</v>
      </c>
      <c r="I223" s="8">
        <v>24053</v>
      </c>
      <c r="J223" s="8">
        <v>35687</v>
      </c>
      <c r="K223" s="5">
        <f>1182+40</f>
        <v>1222</v>
      </c>
      <c r="L223" s="5">
        <f>I223+J223+K223</f>
        <v>60962</v>
      </c>
      <c r="M223" s="5">
        <f>L223-H223</f>
        <v>0</v>
      </c>
      <c r="N223" s="6">
        <f>(I223-J223)/H223</f>
        <v>-0.19084019553164266</v>
      </c>
      <c r="O223" s="4">
        <v>17</v>
      </c>
      <c r="P223" s="5"/>
      <c r="Q223" s="8">
        <v>72791</v>
      </c>
      <c r="R223" s="8">
        <v>37854</v>
      </c>
      <c r="S223" s="8">
        <v>33665</v>
      </c>
      <c r="T223" s="8">
        <v>57</v>
      </c>
      <c r="U223" s="8">
        <v>1215</v>
      </c>
      <c r="V223" s="5">
        <f>R223+S223+T223+U223</f>
        <v>72791</v>
      </c>
      <c r="W223" s="5">
        <f>V223-Q223</f>
        <v>0</v>
      </c>
      <c r="X223" s="6">
        <f>(R223-S223)/Q223</f>
        <v>5.7548323281724392E-2</v>
      </c>
      <c r="Y223" s="4">
        <v>12</v>
      </c>
      <c r="Z223" s="5"/>
      <c r="AA223" s="5"/>
      <c r="AB223" s="8">
        <v>83884</v>
      </c>
      <c r="AC223" s="8">
        <v>44181</v>
      </c>
      <c r="AD223" s="8">
        <v>35934</v>
      </c>
      <c r="AE223" s="8"/>
      <c r="AF223" s="8">
        <v>3769</v>
      </c>
      <c r="AG223" s="5">
        <f>AC223+AD223+AE223+AF223</f>
        <v>83884</v>
      </c>
      <c r="AH223" s="5">
        <f>AG223-AB223</f>
        <v>0</v>
      </c>
      <c r="AI223" s="6">
        <f>(AC223-AD223)/AB223</f>
        <v>9.8314338848886559E-2</v>
      </c>
    </row>
    <row r="224" spans="1:35" x14ac:dyDescent="0.2">
      <c r="A224">
        <v>390035</v>
      </c>
      <c r="B224" t="s">
        <v>289</v>
      </c>
      <c r="C224" t="s">
        <v>297</v>
      </c>
      <c r="D224" t="s">
        <v>298</v>
      </c>
      <c r="E224" s="4">
        <v>5</v>
      </c>
      <c r="F224" s="5" t="s">
        <v>433</v>
      </c>
      <c r="G224" s="5"/>
      <c r="H224" s="8">
        <v>67898</v>
      </c>
      <c r="I224" s="8">
        <v>32489</v>
      </c>
      <c r="J224" s="8">
        <v>34012</v>
      </c>
      <c r="K224" s="5">
        <f>1348+49</f>
        <v>1397</v>
      </c>
      <c r="L224" s="5">
        <f>I224+J224+K224</f>
        <v>67898</v>
      </c>
      <c r="M224" s="5">
        <f>L224-H224</f>
        <v>0</v>
      </c>
      <c r="N224" s="6">
        <f>(I224-J224)/H224</f>
        <v>-2.2430704880850687E-2</v>
      </c>
      <c r="O224" s="4">
        <v>17</v>
      </c>
      <c r="P224" s="5"/>
      <c r="Q224" s="8">
        <v>82863</v>
      </c>
      <c r="R224" s="8">
        <v>51921</v>
      </c>
      <c r="S224" s="8">
        <v>29177</v>
      </c>
      <c r="T224" s="8">
        <v>32</v>
      </c>
      <c r="U224" s="8">
        <v>1733</v>
      </c>
      <c r="V224" s="5">
        <f>R224+S224+T224+U224</f>
        <v>82863</v>
      </c>
      <c r="W224" s="5">
        <f>V224-Q224</f>
        <v>0</v>
      </c>
      <c r="X224" s="6">
        <f>(R224-S224)/Q224</f>
        <v>0.27447714902912035</v>
      </c>
      <c r="Y224" s="4">
        <v>12</v>
      </c>
      <c r="Z224" s="5"/>
      <c r="AA224" s="5"/>
      <c r="AB224" s="8">
        <v>94259</v>
      </c>
      <c r="AC224" s="8">
        <v>60389</v>
      </c>
      <c r="AD224" s="8">
        <v>29615</v>
      </c>
      <c r="AE224" s="8"/>
      <c r="AF224" s="8">
        <v>4255</v>
      </c>
      <c r="AG224" s="5">
        <f>AC224+AD224+AE224+AF224</f>
        <v>94259</v>
      </c>
      <c r="AH224" s="5">
        <f>AG224-AB224</f>
        <v>0</v>
      </c>
      <c r="AI224" s="6">
        <f>(AC224-AD224)/AB224</f>
        <v>0.32648341272451437</v>
      </c>
    </row>
    <row r="225" spans="1:35" x14ac:dyDescent="0.2">
      <c r="E225" s="4"/>
      <c r="F225" s="5"/>
      <c r="G225" s="5"/>
      <c r="H225" s="5"/>
      <c r="I225" s="5"/>
      <c r="J225" s="5"/>
      <c r="K225" s="5"/>
      <c r="L225" s="5"/>
      <c r="M225" s="5"/>
      <c r="N225" s="6"/>
      <c r="O225" s="4"/>
      <c r="P225" s="5"/>
      <c r="Q225" s="5"/>
      <c r="R225" s="5"/>
      <c r="S225" s="5"/>
      <c r="T225" s="5"/>
      <c r="U225" s="5"/>
      <c r="V225" s="5"/>
      <c r="W225" s="5"/>
      <c r="X225" s="6"/>
      <c r="Y225" s="4"/>
      <c r="Z225" s="5"/>
      <c r="AA225" s="5"/>
      <c r="AB225" s="5"/>
      <c r="AC225" s="5"/>
      <c r="AD225" s="5"/>
      <c r="AE225" s="5"/>
      <c r="AF225" s="5"/>
      <c r="AG225" s="5"/>
      <c r="AH225" s="5"/>
      <c r="AI225" s="6"/>
    </row>
    <row r="226" spans="1:35" x14ac:dyDescent="0.2">
      <c r="B226" t="s">
        <v>299</v>
      </c>
      <c r="C226" t="s">
        <v>21</v>
      </c>
      <c r="E226" s="4"/>
      <c r="F226" s="5"/>
      <c r="G226" s="5"/>
      <c r="H226" s="5"/>
      <c r="I226" s="5"/>
      <c r="J226" s="5"/>
      <c r="K226" s="5"/>
      <c r="L226" s="5"/>
      <c r="M226" s="5"/>
      <c r="N226" s="6"/>
      <c r="O226" s="4"/>
      <c r="P226" s="5"/>
      <c r="Q226" s="5"/>
      <c r="R226" s="5"/>
      <c r="S226" s="5"/>
      <c r="T226" s="5"/>
      <c r="U226" s="5"/>
      <c r="V226" s="5"/>
      <c r="W226" s="5"/>
      <c r="X226" s="6"/>
      <c r="Y226" s="4"/>
      <c r="Z226" s="5"/>
      <c r="AA226" s="5"/>
      <c r="AB226" s="5"/>
      <c r="AC226" s="5"/>
      <c r="AD226" s="5"/>
      <c r="AE226" s="5"/>
      <c r="AF226" s="5"/>
      <c r="AG226" s="5"/>
      <c r="AH226" s="5"/>
      <c r="AI226" s="6"/>
    </row>
    <row r="227" spans="1:35" x14ac:dyDescent="0.2">
      <c r="E227" s="4"/>
      <c r="F227" s="5"/>
      <c r="G227" s="5"/>
      <c r="H227" s="5"/>
      <c r="I227" s="5"/>
      <c r="J227" s="5"/>
      <c r="K227" s="5"/>
      <c r="L227" s="5"/>
      <c r="M227" s="5"/>
      <c r="N227" s="6"/>
      <c r="O227" s="4"/>
      <c r="P227" s="5"/>
      <c r="Q227" s="5"/>
      <c r="R227" s="5"/>
      <c r="S227" s="5"/>
      <c r="T227" s="5"/>
      <c r="U227" s="5"/>
      <c r="V227" s="5"/>
      <c r="W227" s="5"/>
      <c r="X227" s="6"/>
      <c r="Y227" s="4"/>
      <c r="Z227" s="5"/>
      <c r="AA227" s="5"/>
      <c r="AB227" s="5"/>
      <c r="AC227" s="5"/>
      <c r="AD227" s="5"/>
      <c r="AE227" s="5"/>
      <c r="AF227" s="5"/>
      <c r="AG227" s="5"/>
      <c r="AH227" s="5"/>
      <c r="AI227" s="6"/>
    </row>
    <row r="228" spans="1:35" x14ac:dyDescent="0.2">
      <c r="A228">
        <v>410905</v>
      </c>
      <c r="B228" t="s">
        <v>300</v>
      </c>
      <c r="C228" t="s">
        <v>111</v>
      </c>
      <c r="D228" t="s">
        <v>301</v>
      </c>
      <c r="E228" s="4">
        <v>4</v>
      </c>
      <c r="F228" s="5" t="s">
        <v>428</v>
      </c>
      <c r="G228" s="5"/>
      <c r="H228" s="5">
        <v>108745</v>
      </c>
      <c r="I228" s="5">
        <v>49303</v>
      </c>
      <c r="J228" s="8">
        <v>52760</v>
      </c>
      <c r="K228" s="5">
        <f>6258+424</f>
        <v>6682</v>
      </c>
      <c r="L228" s="5">
        <f>I228+J228+K228</f>
        <v>108745</v>
      </c>
      <c r="M228" s="5">
        <f>L228-H228</f>
        <v>0</v>
      </c>
      <c r="N228" s="6">
        <f>(I228-J228)/H228</f>
        <v>-3.1789967354820911E-2</v>
      </c>
      <c r="O228" s="4">
        <v>17</v>
      </c>
      <c r="P228" s="5"/>
      <c r="Q228" s="5">
        <v>131413</v>
      </c>
      <c r="R228" s="5">
        <v>74674</v>
      </c>
      <c r="S228" s="8">
        <v>52031</v>
      </c>
      <c r="T228" s="8">
        <v>154</v>
      </c>
      <c r="U228" s="8">
        <v>4554</v>
      </c>
      <c r="V228" s="5">
        <f>R228+S228+T228+U228</f>
        <v>131413</v>
      </c>
      <c r="W228" s="5">
        <f>V228-Q228</f>
        <v>0</v>
      </c>
      <c r="X228" s="6">
        <f>(R228-S228)/Q228</f>
        <v>0.17230410994346068</v>
      </c>
      <c r="Y228" s="4">
        <v>12</v>
      </c>
      <c r="Z228" s="5"/>
      <c r="AA228" s="5"/>
      <c r="AB228" s="5">
        <v>143041</v>
      </c>
      <c r="AC228" s="5">
        <v>83231</v>
      </c>
      <c r="AD228" s="8">
        <v>51625</v>
      </c>
      <c r="AE228" s="8"/>
      <c r="AF228" s="8">
        <v>8185</v>
      </c>
      <c r="AG228" s="5">
        <f>AC228+AD228+AE228+AF228</f>
        <v>143041</v>
      </c>
      <c r="AH228" s="5">
        <f>AG228-AB228</f>
        <v>0</v>
      </c>
      <c r="AI228" s="6">
        <f>(AC228-AD228)/AB228</f>
        <v>0.22095762753336456</v>
      </c>
    </row>
    <row r="229" spans="1:35" x14ac:dyDescent="0.2">
      <c r="E229" s="4"/>
      <c r="F229" s="5"/>
      <c r="G229" s="5"/>
      <c r="H229" s="5"/>
      <c r="I229" s="5"/>
      <c r="J229" s="5"/>
      <c r="K229" s="5"/>
      <c r="L229" s="5"/>
      <c r="M229" s="5"/>
      <c r="N229" s="6"/>
      <c r="O229" s="4"/>
      <c r="P229" s="5"/>
      <c r="Q229" s="5"/>
      <c r="R229" s="5"/>
      <c r="S229" s="5"/>
      <c r="T229" s="5"/>
      <c r="U229" s="5"/>
      <c r="V229" s="5"/>
      <c r="W229" s="5"/>
      <c r="X229" s="6"/>
      <c r="Y229" s="4"/>
      <c r="Z229" s="5"/>
      <c r="AA229" s="5"/>
      <c r="AB229" s="5"/>
      <c r="AC229" s="5"/>
      <c r="AD229" s="5"/>
      <c r="AE229" s="5"/>
      <c r="AF229" s="5"/>
      <c r="AG229" s="5"/>
      <c r="AH229" s="5"/>
      <c r="AI229" s="6"/>
    </row>
    <row r="230" spans="1:35" x14ac:dyDescent="0.2">
      <c r="A230">
        <v>423320</v>
      </c>
      <c r="B230" t="s">
        <v>302</v>
      </c>
      <c r="C230" t="s">
        <v>303</v>
      </c>
      <c r="D230" t="s">
        <v>304</v>
      </c>
      <c r="E230" s="4">
        <v>5</v>
      </c>
      <c r="F230" s="5" t="s">
        <v>422</v>
      </c>
      <c r="G230" s="5"/>
      <c r="H230" s="5">
        <v>1466</v>
      </c>
      <c r="I230" s="5">
        <v>490</v>
      </c>
      <c r="J230" s="8">
        <v>959</v>
      </c>
      <c r="K230" s="8">
        <v>17</v>
      </c>
      <c r="L230" s="5">
        <f t="shared" ref="L230:L235" si="84">I230+J230+K230</f>
        <v>1466</v>
      </c>
      <c r="M230" s="5">
        <f t="shared" ref="M230:M235" si="85">L230-H230</f>
        <v>0</v>
      </c>
      <c r="N230" s="6">
        <f t="shared" ref="N230:N235" si="86">(I230-J230)/H230</f>
        <v>-0.31991814461118689</v>
      </c>
      <c r="O230" s="4">
        <v>22</v>
      </c>
      <c r="P230" s="5"/>
      <c r="Q230" s="5">
        <v>1424</v>
      </c>
      <c r="R230" s="5">
        <v>549</v>
      </c>
      <c r="S230" s="8">
        <v>871</v>
      </c>
      <c r="T230" s="8">
        <v>0</v>
      </c>
      <c r="U230" s="8">
        <v>4</v>
      </c>
      <c r="V230" s="5">
        <f t="shared" ref="V230:V235" si="87">R230+S230+T230+U230</f>
        <v>1424</v>
      </c>
      <c r="W230" s="5">
        <f t="shared" ref="W230:W235" si="88">V230-Q230</f>
        <v>0</v>
      </c>
      <c r="X230" s="6">
        <f t="shared" ref="X230:X235" si="89">(R230-S230)/Q230</f>
        <v>-0.22612359550561797</v>
      </c>
      <c r="Y230" s="4">
        <v>25</v>
      </c>
      <c r="Z230" s="5"/>
      <c r="AA230" s="5"/>
      <c r="AB230" s="5">
        <v>1460</v>
      </c>
      <c r="AC230" s="5">
        <v>571</v>
      </c>
      <c r="AD230" s="8">
        <v>776</v>
      </c>
      <c r="AE230" s="8"/>
      <c r="AF230" s="8">
        <f>98+15</f>
        <v>113</v>
      </c>
      <c r="AG230" s="5">
        <f t="shared" ref="AG230:AG235" si="90">AC230+AD230+AE230+AF230</f>
        <v>1460</v>
      </c>
      <c r="AH230" s="5">
        <f t="shared" ref="AH230:AH235" si="91">AG230-AB230</f>
        <v>0</v>
      </c>
      <c r="AI230" s="6">
        <f t="shared" ref="AI230:AI235" si="92">(AC230-AD230)/AB230</f>
        <v>-0.1404109589041096</v>
      </c>
    </row>
    <row r="231" spans="1:35" x14ac:dyDescent="0.2">
      <c r="A231">
        <v>427234</v>
      </c>
      <c r="B231" t="s">
        <v>302</v>
      </c>
      <c r="C231" t="s">
        <v>305</v>
      </c>
      <c r="D231" t="s">
        <v>304</v>
      </c>
      <c r="E231" s="4">
        <v>5</v>
      </c>
      <c r="F231" s="5" t="s">
        <v>424</v>
      </c>
      <c r="G231" s="5"/>
      <c r="H231" s="5">
        <v>179867</v>
      </c>
      <c r="I231" s="5">
        <v>56381</v>
      </c>
      <c r="J231" s="8">
        <v>118782</v>
      </c>
      <c r="K231" s="5">
        <f>4356+348</f>
        <v>4704</v>
      </c>
      <c r="L231" s="5">
        <f t="shared" si="84"/>
        <v>179867</v>
      </c>
      <c r="M231" s="5">
        <f t="shared" si="85"/>
        <v>0</v>
      </c>
      <c r="N231" s="6">
        <f t="shared" si="86"/>
        <v>-0.34692856388331378</v>
      </c>
      <c r="O231" s="4">
        <v>17</v>
      </c>
      <c r="P231" s="5"/>
      <c r="Q231" s="5">
        <v>193889</v>
      </c>
      <c r="R231" s="5">
        <v>80951</v>
      </c>
      <c r="S231" s="8">
        <v>109941</v>
      </c>
      <c r="T231" s="8">
        <v>171</v>
      </c>
      <c r="U231" s="8">
        <v>2826</v>
      </c>
      <c r="V231" s="5">
        <f t="shared" si="87"/>
        <v>193889</v>
      </c>
      <c r="W231" s="5">
        <f t="shared" si="88"/>
        <v>0</v>
      </c>
      <c r="X231" s="6">
        <f t="shared" si="89"/>
        <v>-0.14951853895785733</v>
      </c>
      <c r="Y231" s="4">
        <v>12</v>
      </c>
      <c r="Z231" s="5"/>
      <c r="AA231" s="5"/>
      <c r="AB231" s="5">
        <v>561546</v>
      </c>
      <c r="AC231" s="5">
        <v>339042</v>
      </c>
      <c r="AD231" s="8">
        <v>201737</v>
      </c>
      <c r="AE231" s="8"/>
      <c r="AF231" s="8">
        <v>20767</v>
      </c>
      <c r="AG231" s="5">
        <f t="shared" si="90"/>
        <v>561546</v>
      </c>
      <c r="AH231" s="5">
        <f t="shared" si="91"/>
        <v>0</v>
      </c>
      <c r="AI231" s="6">
        <f t="shared" si="92"/>
        <v>0.24451247092847248</v>
      </c>
    </row>
    <row r="232" spans="1:35" x14ac:dyDescent="0.2">
      <c r="A232">
        <v>424920</v>
      </c>
      <c r="B232" t="s">
        <v>302</v>
      </c>
      <c r="C232" t="s">
        <v>306</v>
      </c>
      <c r="D232" t="s">
        <v>307</v>
      </c>
      <c r="E232" s="4">
        <v>5</v>
      </c>
      <c r="F232" s="5" t="s">
        <v>425</v>
      </c>
      <c r="G232" s="5"/>
      <c r="H232" s="8">
        <v>24466</v>
      </c>
      <c r="I232" s="8">
        <v>8754</v>
      </c>
      <c r="J232" s="8">
        <v>15010</v>
      </c>
      <c r="K232" s="5">
        <f>636+66</f>
        <v>702</v>
      </c>
      <c r="L232" s="5">
        <f t="shared" si="84"/>
        <v>24466</v>
      </c>
      <c r="M232" s="5">
        <f t="shared" si="85"/>
        <v>0</v>
      </c>
      <c r="N232" s="6">
        <f t="shared" si="86"/>
        <v>-0.25570179023951606</v>
      </c>
      <c r="O232" s="4">
        <v>17</v>
      </c>
      <c r="P232" s="5"/>
      <c r="Q232" s="8">
        <v>28209</v>
      </c>
      <c r="R232" s="8">
        <v>13113</v>
      </c>
      <c r="S232" s="8">
        <v>14457</v>
      </c>
      <c r="T232" s="8">
        <v>20</v>
      </c>
      <c r="U232" s="8">
        <v>619</v>
      </c>
      <c r="V232" s="5">
        <f t="shared" si="87"/>
        <v>28209</v>
      </c>
      <c r="W232" s="5">
        <f t="shared" si="88"/>
        <v>0</v>
      </c>
      <c r="X232" s="6">
        <f t="shared" si="89"/>
        <v>-4.7644368818462193E-2</v>
      </c>
      <c r="Y232" s="4">
        <v>12</v>
      </c>
      <c r="Z232" s="5"/>
      <c r="AA232" s="5"/>
      <c r="AB232" s="8">
        <v>28951</v>
      </c>
      <c r="AC232" s="8">
        <v>13431</v>
      </c>
      <c r="AD232" s="8">
        <v>13966</v>
      </c>
      <c r="AE232" s="8"/>
      <c r="AF232" s="8">
        <v>1554</v>
      </c>
      <c r="AG232" s="5">
        <f t="shared" si="90"/>
        <v>28951</v>
      </c>
      <c r="AH232" s="5">
        <f t="shared" si="91"/>
        <v>0</v>
      </c>
      <c r="AI232" s="6">
        <f t="shared" si="92"/>
        <v>-1.8479499844564956E-2</v>
      </c>
    </row>
    <row r="233" spans="1:35" x14ac:dyDescent="0.2">
      <c r="A233">
        <v>420855</v>
      </c>
      <c r="B233" t="s">
        <v>302</v>
      </c>
      <c r="C233" t="s">
        <v>308</v>
      </c>
      <c r="D233" t="s">
        <v>309</v>
      </c>
      <c r="E233" s="4">
        <v>5</v>
      </c>
      <c r="F233" s="5" t="s">
        <v>426</v>
      </c>
      <c r="G233" s="5"/>
      <c r="H233" s="8">
        <v>15124</v>
      </c>
      <c r="I233" s="8">
        <v>6552</v>
      </c>
      <c r="J233" s="8">
        <v>8346</v>
      </c>
      <c r="K233" s="5">
        <f>201+25</f>
        <v>226</v>
      </c>
      <c r="L233" s="5">
        <f t="shared" si="84"/>
        <v>15124</v>
      </c>
      <c r="M233" s="5">
        <f t="shared" si="85"/>
        <v>0</v>
      </c>
      <c r="N233" s="6">
        <f t="shared" si="86"/>
        <v>-0.11861941285374239</v>
      </c>
      <c r="O233" s="4">
        <v>17</v>
      </c>
      <c r="P233" s="5"/>
      <c r="Q233" s="8">
        <v>18212</v>
      </c>
      <c r="R233" s="8">
        <v>10419</v>
      </c>
      <c r="S233" s="8">
        <v>7542</v>
      </c>
      <c r="T233" s="8">
        <v>8</v>
      </c>
      <c r="U233" s="8">
        <v>243</v>
      </c>
      <c r="V233" s="5">
        <f t="shared" si="87"/>
        <v>18212</v>
      </c>
      <c r="W233" s="5">
        <f t="shared" si="88"/>
        <v>0</v>
      </c>
      <c r="X233" s="6">
        <f t="shared" si="89"/>
        <v>0.15797276520975181</v>
      </c>
      <c r="Y233" s="4">
        <v>12</v>
      </c>
      <c r="Z233" s="5"/>
      <c r="AA233" s="5"/>
      <c r="AB233" s="8">
        <v>23468</v>
      </c>
      <c r="AC233" s="8">
        <v>14936</v>
      </c>
      <c r="AD233" s="8">
        <v>7716</v>
      </c>
      <c r="AE233" s="8"/>
      <c r="AF233" s="8">
        <v>816</v>
      </c>
      <c r="AG233" s="5">
        <f t="shared" si="90"/>
        <v>23468</v>
      </c>
      <c r="AH233" s="5">
        <f t="shared" si="91"/>
        <v>0</v>
      </c>
      <c r="AI233" s="6">
        <f t="shared" si="92"/>
        <v>0.30765297426282595</v>
      </c>
    </row>
    <row r="234" spans="1:35" x14ac:dyDescent="0.2">
      <c r="A234">
        <v>427180</v>
      </c>
      <c r="B234" t="s">
        <v>302</v>
      </c>
      <c r="C234" t="s">
        <v>310</v>
      </c>
      <c r="D234" t="s">
        <v>310</v>
      </c>
      <c r="E234" s="4">
        <v>5</v>
      </c>
      <c r="F234" s="5" t="s">
        <v>427</v>
      </c>
      <c r="G234" s="5"/>
      <c r="H234" s="8">
        <v>533332</v>
      </c>
      <c r="I234" s="8">
        <v>197017</v>
      </c>
      <c r="J234" s="8">
        <v>309963</v>
      </c>
      <c r="K234" s="5">
        <f>25226+1126</f>
        <v>26352</v>
      </c>
      <c r="L234" s="5">
        <f t="shared" si="84"/>
        <v>533332</v>
      </c>
      <c r="M234" s="5">
        <f t="shared" si="85"/>
        <v>0</v>
      </c>
      <c r="N234" s="6">
        <f t="shared" si="86"/>
        <v>-0.2117742794356986</v>
      </c>
      <c r="O234" s="4">
        <v>17</v>
      </c>
      <c r="P234" s="5"/>
      <c r="Q234" s="8">
        <v>599495</v>
      </c>
      <c r="R234" s="8">
        <v>328035</v>
      </c>
      <c r="S234" s="8">
        <v>256663</v>
      </c>
      <c r="T234" s="8">
        <v>608</v>
      </c>
      <c r="U234" s="8">
        <v>14189</v>
      </c>
      <c r="V234" s="5">
        <f t="shared" si="87"/>
        <v>599495</v>
      </c>
      <c r="W234" s="5">
        <f t="shared" si="88"/>
        <v>0</v>
      </c>
      <c r="X234" s="6">
        <f t="shared" si="89"/>
        <v>0.11905353672674501</v>
      </c>
      <c r="Y234" s="4">
        <v>12</v>
      </c>
      <c r="Z234" s="5"/>
      <c r="AA234" s="5"/>
      <c r="AB234" s="8">
        <v>1128757</v>
      </c>
      <c r="AC234" s="8">
        <v>745292</v>
      </c>
      <c r="AD234" s="8">
        <v>331670</v>
      </c>
      <c r="AE234" s="8"/>
      <c r="AF234" s="8">
        <v>51795</v>
      </c>
      <c r="AG234" s="5">
        <f t="shared" si="90"/>
        <v>1128757</v>
      </c>
      <c r="AH234" s="5">
        <f t="shared" si="91"/>
        <v>0</v>
      </c>
      <c r="AI234" s="6">
        <f t="shared" si="92"/>
        <v>0.3664402524192541</v>
      </c>
    </row>
    <row r="235" spans="1:35" x14ac:dyDescent="0.2">
      <c r="A235">
        <v>425684</v>
      </c>
      <c r="B235" t="s">
        <v>302</v>
      </c>
      <c r="C235" t="s">
        <v>311</v>
      </c>
      <c r="D235" t="s">
        <v>312</v>
      </c>
      <c r="E235" s="4">
        <v>5</v>
      </c>
      <c r="F235" s="5" t="s">
        <v>423</v>
      </c>
      <c r="G235" s="5"/>
      <c r="H235" s="8">
        <v>2881</v>
      </c>
      <c r="I235" s="8">
        <v>1502</v>
      </c>
      <c r="J235" s="8">
        <v>1343</v>
      </c>
      <c r="K235" s="5">
        <f>27+9</f>
        <v>36</v>
      </c>
      <c r="L235" s="5">
        <f t="shared" si="84"/>
        <v>2881</v>
      </c>
      <c r="M235" s="5">
        <f t="shared" si="85"/>
        <v>0</v>
      </c>
      <c r="N235" s="6">
        <f t="shared" si="86"/>
        <v>5.5189170426935094E-2</v>
      </c>
      <c r="O235" s="4">
        <v>17</v>
      </c>
      <c r="P235" s="5"/>
      <c r="Q235" s="8">
        <v>3375</v>
      </c>
      <c r="R235" s="8">
        <v>2036</v>
      </c>
      <c r="S235" s="8">
        <v>1267</v>
      </c>
      <c r="T235" s="8">
        <v>0</v>
      </c>
      <c r="U235" s="8">
        <v>72</v>
      </c>
      <c r="V235" s="5">
        <f t="shared" si="87"/>
        <v>3375</v>
      </c>
      <c r="W235" s="5">
        <f t="shared" si="88"/>
        <v>0</v>
      </c>
      <c r="X235" s="6">
        <f t="shared" si="89"/>
        <v>0.22785185185185186</v>
      </c>
      <c r="Y235" s="4">
        <v>22</v>
      </c>
      <c r="Z235" s="5"/>
      <c r="AA235" s="5"/>
      <c r="AB235" s="8">
        <v>3927</v>
      </c>
      <c r="AC235" s="8">
        <v>2423</v>
      </c>
      <c r="AD235" s="8">
        <v>1363</v>
      </c>
      <c r="AE235" s="8"/>
      <c r="AF235" s="8">
        <v>141</v>
      </c>
      <c r="AG235" s="5">
        <f t="shared" si="90"/>
        <v>3927</v>
      </c>
      <c r="AH235" s="5">
        <f t="shared" si="91"/>
        <v>0</v>
      </c>
      <c r="AI235" s="6">
        <f t="shared" si="92"/>
        <v>0.26992615227909345</v>
      </c>
    </row>
    <row r="236" spans="1:35" x14ac:dyDescent="0.2">
      <c r="E236" s="4"/>
      <c r="F236" s="5"/>
      <c r="G236" s="5"/>
      <c r="H236" s="5"/>
      <c r="I236" s="5"/>
      <c r="J236" s="5"/>
      <c r="K236" s="5"/>
      <c r="L236" s="5"/>
      <c r="M236" s="5"/>
      <c r="N236" s="6"/>
      <c r="O236" s="4"/>
      <c r="P236" s="5"/>
      <c r="Q236" s="5"/>
      <c r="R236" s="5"/>
      <c r="S236" s="5"/>
      <c r="T236" s="5"/>
      <c r="U236" s="5"/>
      <c r="V236" s="5"/>
      <c r="W236" s="5"/>
      <c r="X236" s="6"/>
      <c r="Y236" s="4"/>
      <c r="Z236" s="5"/>
      <c r="AA236" s="5"/>
      <c r="AB236" s="5"/>
      <c r="AC236" s="5"/>
      <c r="AD236" s="5"/>
      <c r="AE236" s="5"/>
      <c r="AF236" s="5"/>
      <c r="AG236" s="5"/>
      <c r="AH236" s="5"/>
      <c r="AI236" s="6"/>
    </row>
    <row r="237" spans="1:35" x14ac:dyDescent="0.2">
      <c r="B237" t="s">
        <v>313</v>
      </c>
      <c r="C237" t="s">
        <v>21</v>
      </c>
      <c r="E237" s="4"/>
      <c r="F237" s="5"/>
      <c r="G237" s="5"/>
      <c r="H237" s="5"/>
      <c r="I237" s="5"/>
      <c r="J237" s="5"/>
      <c r="K237" s="5"/>
      <c r="L237" s="5"/>
      <c r="M237" s="5"/>
      <c r="N237" s="6"/>
      <c r="O237" s="4"/>
      <c r="P237" s="5"/>
      <c r="Q237" s="5"/>
      <c r="R237" s="5"/>
      <c r="S237" s="5"/>
      <c r="T237" s="5"/>
      <c r="U237" s="5"/>
      <c r="V237" s="5"/>
      <c r="W237" s="5"/>
      <c r="X237" s="6"/>
      <c r="Y237" s="4"/>
      <c r="Z237" s="5"/>
      <c r="AA237" s="5"/>
      <c r="AB237" s="5"/>
      <c r="AC237" s="5"/>
      <c r="AD237" s="5"/>
      <c r="AE237" s="5"/>
      <c r="AF237" s="5"/>
      <c r="AG237" s="5"/>
      <c r="AH237" s="5"/>
      <c r="AI237" s="6"/>
    </row>
    <row r="238" spans="1:35" x14ac:dyDescent="0.2">
      <c r="E238" s="4"/>
      <c r="F238" s="5"/>
      <c r="G238" s="5"/>
      <c r="H238" s="5"/>
      <c r="I238" s="5"/>
      <c r="J238" s="5"/>
      <c r="K238" s="5"/>
      <c r="L238" s="5"/>
      <c r="M238" s="5"/>
      <c r="N238" s="6"/>
      <c r="O238" s="4"/>
      <c r="P238" s="5"/>
      <c r="Q238" s="5"/>
      <c r="R238" s="5"/>
      <c r="S238" s="5"/>
      <c r="T238" s="5"/>
      <c r="U238" s="5"/>
      <c r="V238" s="5"/>
      <c r="W238" s="5"/>
      <c r="X238" s="6"/>
      <c r="Y238" s="4"/>
      <c r="Z238" s="5"/>
      <c r="AA238" s="5"/>
      <c r="AB238" s="5"/>
      <c r="AC238" s="5"/>
      <c r="AD238" s="5"/>
      <c r="AE238" s="5"/>
      <c r="AF238" s="5"/>
      <c r="AG238" s="5"/>
      <c r="AH238" s="5"/>
      <c r="AI238" s="6"/>
    </row>
    <row r="239" spans="1:35" x14ac:dyDescent="0.2">
      <c r="A239">
        <v>440310</v>
      </c>
      <c r="B239" t="s">
        <v>314</v>
      </c>
      <c r="C239" t="s">
        <v>315</v>
      </c>
      <c r="D239" t="s">
        <v>315</v>
      </c>
      <c r="E239" s="4">
        <v>5</v>
      </c>
      <c r="F239" s="5" t="s">
        <v>418</v>
      </c>
      <c r="G239" s="5"/>
      <c r="H239" s="5">
        <v>8289</v>
      </c>
      <c r="I239" s="5">
        <v>3010</v>
      </c>
      <c r="J239" s="8">
        <v>4653</v>
      </c>
      <c r="K239" s="5">
        <f>368+258</f>
        <v>626</v>
      </c>
      <c r="L239" s="5">
        <f>I239+J239+K239</f>
        <v>8289</v>
      </c>
      <c r="M239" s="5">
        <f>L239-H239</f>
        <v>0</v>
      </c>
      <c r="N239" s="6">
        <f>(I239-J239)/H239</f>
        <v>-0.19821450114609723</v>
      </c>
      <c r="O239" s="4">
        <v>17</v>
      </c>
      <c r="P239" s="5"/>
      <c r="Q239" s="5">
        <v>10138</v>
      </c>
      <c r="R239" s="5">
        <v>3622</v>
      </c>
      <c r="S239" s="8">
        <v>5776</v>
      </c>
      <c r="T239" s="8">
        <v>30</v>
      </c>
      <c r="U239" s="8">
        <v>710</v>
      </c>
      <c r="V239" s="5">
        <f>R239+S239+T239+U239</f>
        <v>10138</v>
      </c>
      <c r="W239" s="5">
        <f>V239-Q239</f>
        <v>0</v>
      </c>
      <c r="X239" s="6">
        <f>(R239-S239)/Q239</f>
        <v>-0.2124679423949497</v>
      </c>
      <c r="Y239" s="4">
        <v>18</v>
      </c>
      <c r="Z239" s="5"/>
      <c r="AA239" s="5"/>
      <c r="AB239" s="5">
        <v>11354</v>
      </c>
      <c r="AC239" s="5">
        <v>4115</v>
      </c>
      <c r="AD239" s="8">
        <v>6091</v>
      </c>
      <c r="AE239" s="8"/>
      <c r="AF239" s="8">
        <v>1148</v>
      </c>
      <c r="AG239" s="5">
        <f>AC239+AD239+AE239+AF239</f>
        <v>11354</v>
      </c>
      <c r="AH239" s="5">
        <f>AG239-AB239</f>
        <v>0</v>
      </c>
      <c r="AI239" s="6">
        <f>(AC239-AD239)/AB239</f>
        <v>-0.17403558217368328</v>
      </c>
    </row>
    <row r="240" spans="1:35" x14ac:dyDescent="0.2">
      <c r="A240">
        <v>440400</v>
      </c>
      <c r="B240" t="s">
        <v>314</v>
      </c>
      <c r="C240" t="s">
        <v>316</v>
      </c>
      <c r="D240" t="s">
        <v>316</v>
      </c>
      <c r="E240" s="4">
        <v>5</v>
      </c>
      <c r="F240" s="5" t="s">
        <v>419</v>
      </c>
      <c r="G240" s="5"/>
      <c r="H240" s="5">
        <v>69735</v>
      </c>
      <c r="I240" s="5">
        <v>18748</v>
      </c>
      <c r="J240" s="8">
        <v>48753</v>
      </c>
      <c r="K240" s="5">
        <f>2125+109</f>
        <v>2234</v>
      </c>
      <c r="L240" s="5">
        <f>I240+J240+K240</f>
        <v>69735</v>
      </c>
      <c r="M240" s="5">
        <f>L240-H240</f>
        <v>0</v>
      </c>
      <c r="N240" s="6">
        <f>(I240-J240)/H240</f>
        <v>-0.4302717430271743</v>
      </c>
      <c r="O240" s="4">
        <v>17</v>
      </c>
      <c r="P240" s="5"/>
      <c r="Q240" s="5">
        <v>74212</v>
      </c>
      <c r="R240" s="5">
        <v>22902</v>
      </c>
      <c r="S240" s="8">
        <v>49357</v>
      </c>
      <c r="T240" s="8">
        <v>72</v>
      </c>
      <c r="U240" s="8">
        <v>1881</v>
      </c>
      <c r="V240" s="5">
        <f>R240+S240+T240+U240</f>
        <v>74212</v>
      </c>
      <c r="W240" s="5">
        <f>V240-Q240</f>
        <v>0</v>
      </c>
      <c r="X240" s="6">
        <f>(R240-S240)/Q240</f>
        <v>-0.35647873659246482</v>
      </c>
      <c r="Y240" s="4">
        <v>12</v>
      </c>
      <c r="Z240" s="5"/>
      <c r="AA240" s="5"/>
      <c r="AB240" s="5">
        <v>73027</v>
      </c>
      <c r="AC240" s="5">
        <v>23833</v>
      </c>
      <c r="AD240" s="8">
        <v>44149</v>
      </c>
      <c r="AE240" s="8"/>
      <c r="AF240" s="8">
        <v>5045</v>
      </c>
      <c r="AG240" s="5">
        <f>AC240+AD240+AE240+AF240</f>
        <v>73027</v>
      </c>
      <c r="AH240" s="5">
        <f>AG240-AB240</f>
        <v>0</v>
      </c>
      <c r="AI240" s="6">
        <f>(AC240-AD240)/AB240</f>
        <v>-0.27819847453681518</v>
      </c>
    </row>
    <row r="241" spans="1:35" x14ac:dyDescent="0.2">
      <c r="A241">
        <v>440560</v>
      </c>
      <c r="B241" t="s">
        <v>314</v>
      </c>
      <c r="C241" t="s">
        <v>317</v>
      </c>
      <c r="D241" t="s">
        <v>316</v>
      </c>
      <c r="E241" s="4">
        <v>5</v>
      </c>
      <c r="F241" s="5" t="s">
        <v>420</v>
      </c>
      <c r="G241" s="5"/>
      <c r="H241" s="5">
        <v>13398</v>
      </c>
      <c r="I241" s="5">
        <v>3043</v>
      </c>
      <c r="J241" s="8">
        <v>9997</v>
      </c>
      <c r="K241" s="5">
        <f>339+19</f>
        <v>358</v>
      </c>
      <c r="L241" s="5">
        <f>I241+J241+K241</f>
        <v>13398</v>
      </c>
      <c r="M241" s="5">
        <f>L241-H241</f>
        <v>0</v>
      </c>
      <c r="N241" s="6">
        <f>(I241-J241)/H241</f>
        <v>-0.51903269144648456</v>
      </c>
      <c r="O241" s="4">
        <v>17</v>
      </c>
      <c r="P241" s="5"/>
      <c r="Q241" s="5">
        <v>15224</v>
      </c>
      <c r="R241" s="5">
        <v>4205</v>
      </c>
      <c r="S241" s="8">
        <v>10788</v>
      </c>
      <c r="T241" s="8">
        <v>10</v>
      </c>
      <c r="U241" s="8">
        <v>221</v>
      </c>
      <c r="V241" s="5">
        <f>R241+S241+T241+U241</f>
        <v>15224</v>
      </c>
      <c r="W241" s="5">
        <f>V241-Q241</f>
        <v>0</v>
      </c>
      <c r="X241" s="6">
        <f>(R241-S241)/Q241</f>
        <v>-0.43240935365212824</v>
      </c>
      <c r="Y241" s="4">
        <v>18</v>
      </c>
      <c r="Z241" s="5"/>
      <c r="AA241" s="5"/>
      <c r="AB241" s="5">
        <v>16269</v>
      </c>
      <c r="AC241" s="5">
        <v>5114</v>
      </c>
      <c r="AD241" s="8">
        <v>10197</v>
      </c>
      <c r="AE241" s="8"/>
      <c r="AF241" s="8">
        <v>958</v>
      </c>
      <c r="AG241" s="5">
        <f>AC241+AD241+AE241+AF241</f>
        <v>16269</v>
      </c>
      <c r="AH241" s="5">
        <f>AG241-AB241</f>
        <v>0</v>
      </c>
      <c r="AI241" s="6">
        <f>(AC241-AD241)/AB241</f>
        <v>-0.31243469174503657</v>
      </c>
    </row>
    <row r="242" spans="1:35" x14ac:dyDescent="0.2">
      <c r="A242">
        <v>440505</v>
      </c>
      <c r="B242" t="s">
        <v>314</v>
      </c>
      <c r="C242" t="s">
        <v>318</v>
      </c>
      <c r="D242" t="s">
        <v>57</v>
      </c>
      <c r="E242" s="4">
        <v>5</v>
      </c>
      <c r="F242" s="5" t="s">
        <v>421</v>
      </c>
      <c r="G242" s="5"/>
      <c r="H242" s="8">
        <v>3524</v>
      </c>
      <c r="I242" s="8">
        <v>1405</v>
      </c>
      <c r="J242" s="8">
        <v>1533</v>
      </c>
      <c r="K242" s="5">
        <f>256+330</f>
        <v>586</v>
      </c>
      <c r="L242" s="5">
        <f>I242+J242+K242</f>
        <v>3524</v>
      </c>
      <c r="M242" s="5">
        <f>L242-H242</f>
        <v>0</v>
      </c>
      <c r="N242" s="6">
        <f>(I242-J242)/H242</f>
        <v>-3.6322360953461974E-2</v>
      </c>
      <c r="O242" s="4">
        <v>22</v>
      </c>
      <c r="P242" s="5"/>
      <c r="Q242" s="8">
        <v>2560</v>
      </c>
      <c r="R242" s="8">
        <v>1176</v>
      </c>
      <c r="S242" s="8">
        <v>1284</v>
      </c>
      <c r="T242" s="8">
        <v>5</v>
      </c>
      <c r="U242" s="8">
        <v>95</v>
      </c>
      <c r="V242" s="5">
        <f>R242+S242+T242+U242</f>
        <v>2560</v>
      </c>
      <c r="W242" s="5">
        <f>V242-Q242</f>
        <v>0</v>
      </c>
      <c r="X242" s="6">
        <f>(R242-S242)/Q242</f>
        <v>-4.2187500000000003E-2</v>
      </c>
      <c r="Y242" s="4">
        <v>25</v>
      </c>
      <c r="Z242" s="5"/>
      <c r="AA242" s="5"/>
      <c r="AB242" s="8">
        <v>3236</v>
      </c>
      <c r="AC242" s="8">
        <v>1730</v>
      </c>
      <c r="AD242" s="8">
        <v>1325</v>
      </c>
      <c r="AE242" s="8"/>
      <c r="AF242" s="8">
        <f>92+89</f>
        <v>181</v>
      </c>
      <c r="AG242" s="5">
        <f>AC242+AD242+AE242+AF242</f>
        <v>3236</v>
      </c>
      <c r="AH242" s="5">
        <f>AG242-AB242</f>
        <v>0</v>
      </c>
      <c r="AI242" s="6">
        <f>(AC242-AD242)/AB242</f>
        <v>0.12515451174289247</v>
      </c>
    </row>
    <row r="243" spans="1:35" x14ac:dyDescent="0.2">
      <c r="E243" s="4"/>
      <c r="F243" s="5"/>
      <c r="G243" s="5"/>
      <c r="H243" s="5"/>
      <c r="I243" s="5"/>
      <c r="J243" s="5"/>
      <c r="K243" s="5"/>
      <c r="L243" s="5"/>
      <c r="M243" s="5"/>
      <c r="N243" s="6"/>
      <c r="O243" s="4"/>
      <c r="P243" s="5"/>
      <c r="Q243" s="5"/>
      <c r="R243" s="5"/>
      <c r="S243" s="5"/>
      <c r="T243" s="5"/>
      <c r="U243" s="5"/>
      <c r="V243" s="5"/>
      <c r="W243" s="5"/>
      <c r="X243" s="6"/>
      <c r="Y243" s="4"/>
      <c r="Z243" s="5"/>
      <c r="AA243" s="5"/>
      <c r="AB243" s="5"/>
      <c r="AC243" s="5"/>
      <c r="AD243" s="5"/>
      <c r="AE243" s="5"/>
      <c r="AF243" s="5"/>
      <c r="AG243" s="5"/>
      <c r="AH243" s="5"/>
      <c r="AI243" s="6"/>
    </row>
    <row r="244" spans="1:35" x14ac:dyDescent="0.2">
      <c r="A244">
        <v>450035</v>
      </c>
      <c r="B244" t="s">
        <v>319</v>
      </c>
      <c r="C244" t="s">
        <v>320</v>
      </c>
      <c r="D244" t="s">
        <v>320</v>
      </c>
      <c r="E244" s="4">
        <v>5</v>
      </c>
      <c r="F244" s="5" t="s">
        <v>408</v>
      </c>
      <c r="G244" s="5"/>
      <c r="H244" s="8">
        <v>4797</v>
      </c>
      <c r="I244" s="8">
        <v>1194</v>
      </c>
      <c r="J244" s="8">
        <v>3511</v>
      </c>
      <c r="K244" s="5">
        <f>84+8</f>
        <v>92</v>
      </c>
      <c r="L244" s="5">
        <f t="shared" ref="L244:L256" si="93">I244+J244+K244</f>
        <v>4797</v>
      </c>
      <c r="M244" s="5">
        <f t="shared" ref="M244:M256" si="94">L244-H244</f>
        <v>0</v>
      </c>
      <c r="N244" s="6">
        <f t="shared" ref="N244:N256" si="95">(I244-J244)/H244</f>
        <v>-0.48301021471753181</v>
      </c>
      <c r="O244" s="4">
        <v>17</v>
      </c>
      <c r="P244" s="5"/>
      <c r="Q244" s="8">
        <v>6032</v>
      </c>
      <c r="R244" s="8">
        <v>2213</v>
      </c>
      <c r="S244" s="8">
        <v>3641</v>
      </c>
      <c r="T244" s="8">
        <v>2</v>
      </c>
      <c r="U244" s="8">
        <v>176</v>
      </c>
      <c r="V244" s="5">
        <f t="shared" ref="V244:V256" si="96">R244+S244+T244+U244</f>
        <v>6032</v>
      </c>
      <c r="W244" s="5">
        <f t="shared" ref="W244:W256" si="97">V244-Q244</f>
        <v>0</v>
      </c>
      <c r="X244" s="6">
        <f t="shared" ref="X244:X256" si="98">(R244-S244)/Q244</f>
        <v>-0.23673740053050399</v>
      </c>
      <c r="Y244" s="4">
        <v>18</v>
      </c>
      <c r="Z244" s="5"/>
      <c r="AA244" s="5"/>
      <c r="AB244" s="8">
        <v>12871</v>
      </c>
      <c r="AC244" s="8">
        <v>7016</v>
      </c>
      <c r="AD244" s="8">
        <v>5177</v>
      </c>
      <c r="AE244" s="8"/>
      <c r="AF244" s="8">
        <v>678</v>
      </c>
      <c r="AG244" s="5">
        <f t="shared" ref="AG244:AG256" si="99">AC244+AD244+AE244+AF244</f>
        <v>12871</v>
      </c>
      <c r="AH244" s="5">
        <f t="shared" ref="AH244:AH256" si="100">AG244-AB244</f>
        <v>0</v>
      </c>
      <c r="AI244" s="6">
        <f t="shared" ref="AI244:AI256" si="101">(AC244-AD244)/AB244</f>
        <v>0.14287934115453343</v>
      </c>
    </row>
    <row r="245" spans="1:35" x14ac:dyDescent="0.2">
      <c r="A245">
        <v>45015</v>
      </c>
      <c r="B245" t="s">
        <v>319</v>
      </c>
      <c r="C245" s="2" t="s">
        <v>321</v>
      </c>
      <c r="D245" t="s">
        <v>322</v>
      </c>
      <c r="E245" s="4">
        <v>5</v>
      </c>
      <c r="F245" s="5" t="s">
        <v>639</v>
      </c>
      <c r="G245" s="5"/>
      <c r="H245" s="8">
        <v>284</v>
      </c>
      <c r="I245" s="8">
        <v>94</v>
      </c>
      <c r="J245" s="8">
        <v>187</v>
      </c>
      <c r="K245" s="8">
        <v>3</v>
      </c>
      <c r="L245" s="5">
        <f t="shared" si="93"/>
        <v>284</v>
      </c>
      <c r="M245" s="5">
        <f t="shared" si="94"/>
        <v>0</v>
      </c>
      <c r="N245" s="6">
        <f t="shared" si="95"/>
        <v>-0.32746478873239437</v>
      </c>
      <c r="O245" s="4">
        <v>25</v>
      </c>
      <c r="P245" s="5"/>
      <c r="Q245" s="8">
        <v>537</v>
      </c>
      <c r="R245" s="8">
        <v>264</v>
      </c>
      <c r="S245" s="8">
        <v>221</v>
      </c>
      <c r="T245" s="8">
        <v>31</v>
      </c>
      <c r="U245" s="8">
        <v>21</v>
      </c>
      <c r="V245" s="5">
        <f t="shared" si="96"/>
        <v>537</v>
      </c>
      <c r="W245" s="5">
        <f t="shared" si="97"/>
        <v>0</v>
      </c>
      <c r="X245" s="6">
        <f t="shared" si="98"/>
        <v>8.0074487895716945E-2</v>
      </c>
      <c r="Y245" s="4">
        <v>28</v>
      </c>
      <c r="Z245" s="5"/>
      <c r="AA245" s="5">
        <v>1</v>
      </c>
      <c r="AB245" s="8">
        <v>9732</v>
      </c>
      <c r="AC245" s="8">
        <v>6182</v>
      </c>
      <c r="AD245" s="8">
        <v>2497</v>
      </c>
      <c r="AE245" s="8"/>
      <c r="AF245" s="8">
        <v>1053</v>
      </c>
      <c r="AG245" s="5">
        <f t="shared" si="99"/>
        <v>9732</v>
      </c>
      <c r="AH245" s="5">
        <f t="shared" si="100"/>
        <v>0</v>
      </c>
      <c r="AI245" s="6">
        <f t="shared" si="101"/>
        <v>0.3786477599671188</v>
      </c>
    </row>
    <row r="246" spans="1:35" x14ac:dyDescent="0.2">
      <c r="A246">
        <v>450245</v>
      </c>
      <c r="B246" t="s">
        <v>319</v>
      </c>
      <c r="C246" t="s">
        <v>323</v>
      </c>
      <c r="D246" t="s">
        <v>323</v>
      </c>
      <c r="E246" s="4">
        <v>5</v>
      </c>
      <c r="F246" s="5" t="s">
        <v>409</v>
      </c>
      <c r="G246" s="5"/>
      <c r="H246" s="8">
        <v>21090</v>
      </c>
      <c r="I246" s="8">
        <v>3671</v>
      </c>
      <c r="J246" s="8">
        <v>16739</v>
      </c>
      <c r="K246" s="5">
        <f>609+71</f>
        <v>680</v>
      </c>
      <c r="L246" s="5">
        <f t="shared" si="93"/>
        <v>21090</v>
      </c>
      <c r="M246" s="5">
        <f t="shared" si="94"/>
        <v>0</v>
      </c>
      <c r="N246" s="6">
        <f t="shared" si="95"/>
        <v>-0.61963015647226172</v>
      </c>
      <c r="O246" s="4">
        <v>17</v>
      </c>
      <c r="P246" s="5"/>
      <c r="Q246" s="8">
        <v>21176</v>
      </c>
      <c r="R246" s="8">
        <v>4690</v>
      </c>
      <c r="S246" s="8">
        <v>15391</v>
      </c>
      <c r="T246" s="8">
        <v>21</v>
      </c>
      <c r="U246" s="8">
        <v>1074</v>
      </c>
      <c r="V246" s="5">
        <f t="shared" si="96"/>
        <v>21176</v>
      </c>
      <c r="W246" s="5">
        <f t="shared" si="97"/>
        <v>0</v>
      </c>
      <c r="X246" s="6">
        <f t="shared" si="98"/>
        <v>-0.50533622969399317</v>
      </c>
      <c r="Y246" s="4">
        <v>12</v>
      </c>
      <c r="Z246" s="5"/>
      <c r="AA246" s="5"/>
      <c r="AB246" s="8">
        <v>20188</v>
      </c>
      <c r="AC246" s="8">
        <v>4772</v>
      </c>
      <c r="AD246" s="8">
        <v>13534</v>
      </c>
      <c r="AE246" s="8"/>
      <c r="AF246" s="8">
        <v>1882</v>
      </c>
      <c r="AG246" s="5">
        <f t="shared" si="99"/>
        <v>20188</v>
      </c>
      <c r="AH246" s="5">
        <f t="shared" si="100"/>
        <v>0</v>
      </c>
      <c r="AI246" s="6">
        <f t="shared" si="101"/>
        <v>-0.43402021002575786</v>
      </c>
    </row>
    <row r="247" spans="1:35" x14ac:dyDescent="0.2">
      <c r="A247">
        <v>45029</v>
      </c>
      <c r="B247" t="s">
        <v>319</v>
      </c>
      <c r="C247" s="2" t="s">
        <v>324</v>
      </c>
      <c r="D247" t="s">
        <v>325</v>
      </c>
      <c r="E247" s="4">
        <v>5</v>
      </c>
      <c r="F247" s="5" t="s">
        <v>461</v>
      </c>
      <c r="G247" s="5">
        <v>1</v>
      </c>
      <c r="H247" s="8">
        <v>6640</v>
      </c>
      <c r="I247" s="8">
        <v>2790</v>
      </c>
      <c r="J247" s="8">
        <v>3355</v>
      </c>
      <c r="K247" s="5">
        <f>460+35</f>
        <v>495</v>
      </c>
      <c r="L247" s="5">
        <f t="shared" si="93"/>
        <v>6640</v>
      </c>
      <c r="M247" s="5">
        <f t="shared" si="94"/>
        <v>0</v>
      </c>
      <c r="N247" s="6">
        <f t="shared" si="95"/>
        <v>-8.5090361445783136E-2</v>
      </c>
      <c r="O247" s="4">
        <v>26</v>
      </c>
      <c r="P247" s="5">
        <v>1</v>
      </c>
      <c r="Q247" s="8">
        <v>7761</v>
      </c>
      <c r="R247" s="8">
        <v>4041</v>
      </c>
      <c r="S247" s="8">
        <v>2846</v>
      </c>
      <c r="T247" s="8">
        <v>5</v>
      </c>
      <c r="U247" s="8">
        <v>869</v>
      </c>
      <c r="V247" s="5">
        <f t="shared" si="96"/>
        <v>7761</v>
      </c>
      <c r="W247" s="5">
        <f t="shared" si="97"/>
        <v>0</v>
      </c>
      <c r="X247" s="6">
        <f t="shared" si="98"/>
        <v>0.15397500322123436</v>
      </c>
      <c r="Y247" s="4">
        <v>28</v>
      </c>
      <c r="Z247" s="5"/>
      <c r="AA247" s="5">
        <v>1</v>
      </c>
      <c r="AB247" s="8">
        <v>8069</v>
      </c>
      <c r="AC247" s="8">
        <v>4665</v>
      </c>
      <c r="AD247" s="8">
        <v>2419</v>
      </c>
      <c r="AE247" s="8"/>
      <c r="AF247" s="8">
        <v>985</v>
      </c>
      <c r="AG247" s="5">
        <f t="shared" si="99"/>
        <v>8069</v>
      </c>
      <c r="AH247" s="5">
        <f t="shared" si="100"/>
        <v>0</v>
      </c>
      <c r="AI247" s="6">
        <f t="shared" si="101"/>
        <v>0.27834923782376997</v>
      </c>
    </row>
    <row r="248" spans="1:35" x14ac:dyDescent="0.2">
      <c r="A248">
        <v>45035020</v>
      </c>
      <c r="B248" t="s">
        <v>319</v>
      </c>
      <c r="C248" t="s">
        <v>326</v>
      </c>
      <c r="D248" t="s">
        <v>327</v>
      </c>
      <c r="E248" s="4">
        <v>5</v>
      </c>
      <c r="F248" s="5" t="s">
        <v>410</v>
      </c>
      <c r="G248" s="5"/>
      <c r="H248" s="8">
        <v>476</v>
      </c>
      <c r="I248" s="8">
        <v>211</v>
      </c>
      <c r="J248" s="8">
        <v>257</v>
      </c>
      <c r="K248" s="8">
        <v>8</v>
      </c>
      <c r="L248" s="5">
        <f t="shared" si="93"/>
        <v>476</v>
      </c>
      <c r="M248" s="5">
        <f t="shared" si="94"/>
        <v>0</v>
      </c>
      <c r="N248" s="6">
        <f t="shared" si="95"/>
        <v>-9.6638655462184878E-2</v>
      </c>
      <c r="O248" s="4">
        <v>25</v>
      </c>
      <c r="P248" s="5"/>
      <c r="Q248" s="8">
        <v>606</v>
      </c>
      <c r="R248" s="8">
        <v>334</v>
      </c>
      <c r="S248" s="8">
        <v>230</v>
      </c>
      <c r="T248" s="8">
        <v>13</v>
      </c>
      <c r="U248" s="8">
        <v>29</v>
      </c>
      <c r="V248" s="5">
        <f t="shared" si="96"/>
        <v>606</v>
      </c>
      <c r="W248" s="5">
        <f t="shared" si="97"/>
        <v>0</v>
      </c>
      <c r="X248" s="6">
        <f t="shared" si="98"/>
        <v>0.17161716171617161</v>
      </c>
      <c r="Y248" s="4">
        <v>28</v>
      </c>
      <c r="Z248" s="5"/>
      <c r="AA248" s="5">
        <v>1</v>
      </c>
      <c r="AB248" s="8">
        <v>7025</v>
      </c>
      <c r="AC248" s="8">
        <v>4155</v>
      </c>
      <c r="AD248" s="8">
        <v>1848</v>
      </c>
      <c r="AE248" s="8"/>
      <c r="AF248" s="8">
        <v>1022</v>
      </c>
      <c r="AG248" s="5">
        <f t="shared" si="99"/>
        <v>7025</v>
      </c>
      <c r="AH248" s="5">
        <f t="shared" si="100"/>
        <v>0</v>
      </c>
      <c r="AI248" s="6">
        <f t="shared" si="101"/>
        <v>0.32839857651245552</v>
      </c>
    </row>
    <row r="249" spans="1:35" x14ac:dyDescent="0.2">
      <c r="A249">
        <v>450465</v>
      </c>
      <c r="B249" t="s">
        <v>319</v>
      </c>
      <c r="C249" t="s">
        <v>328</v>
      </c>
      <c r="D249" t="s">
        <v>328</v>
      </c>
      <c r="E249" s="4">
        <v>5</v>
      </c>
      <c r="F249" s="5" t="s">
        <v>411</v>
      </c>
      <c r="G249" s="5"/>
      <c r="H249" s="8">
        <v>5894</v>
      </c>
      <c r="I249" s="8">
        <v>1784</v>
      </c>
      <c r="J249" s="8">
        <v>3914</v>
      </c>
      <c r="K249" s="5">
        <f>183+13</f>
        <v>196</v>
      </c>
      <c r="L249" s="5">
        <f t="shared" si="93"/>
        <v>5894</v>
      </c>
      <c r="M249" s="5">
        <f t="shared" si="94"/>
        <v>0</v>
      </c>
      <c r="N249" s="6">
        <f t="shared" si="95"/>
        <v>-0.36138445877163217</v>
      </c>
      <c r="O249" s="4">
        <v>17</v>
      </c>
      <c r="P249" s="5"/>
      <c r="Q249" s="8">
        <v>6679</v>
      </c>
      <c r="R249" s="8">
        <v>3177</v>
      </c>
      <c r="S249" s="8">
        <v>3209</v>
      </c>
      <c r="T249" s="8">
        <v>1</v>
      </c>
      <c r="U249" s="8">
        <v>292</v>
      </c>
      <c r="V249" s="5">
        <f t="shared" si="96"/>
        <v>6679</v>
      </c>
      <c r="W249" s="5">
        <f t="shared" si="97"/>
        <v>0</v>
      </c>
      <c r="X249" s="6">
        <f t="shared" si="98"/>
        <v>-4.7911363976643213E-3</v>
      </c>
      <c r="Y249" s="4">
        <v>22</v>
      </c>
      <c r="Z249" s="5"/>
      <c r="AA249" s="5"/>
      <c r="AB249" s="8">
        <v>7531</v>
      </c>
      <c r="AC249" s="8">
        <v>3650</v>
      </c>
      <c r="AD249" s="8">
        <v>3394</v>
      </c>
      <c r="AE249" s="8"/>
      <c r="AF249" s="8">
        <v>487</v>
      </c>
      <c r="AG249" s="5">
        <f t="shared" si="99"/>
        <v>7531</v>
      </c>
      <c r="AH249" s="5">
        <f t="shared" si="100"/>
        <v>0</v>
      </c>
      <c r="AI249" s="6">
        <f t="shared" si="101"/>
        <v>3.3992829637498341E-2</v>
      </c>
    </row>
    <row r="250" spans="1:35" x14ac:dyDescent="0.2">
      <c r="A250">
        <v>450565</v>
      </c>
      <c r="B250" t="s">
        <v>319</v>
      </c>
      <c r="C250" t="s">
        <v>329</v>
      </c>
      <c r="D250" t="s">
        <v>329</v>
      </c>
      <c r="E250" s="4">
        <v>5</v>
      </c>
      <c r="F250" s="5" t="s">
        <v>412</v>
      </c>
      <c r="G250" s="5"/>
      <c r="H250" s="8">
        <v>20678</v>
      </c>
      <c r="I250" s="8">
        <v>4779</v>
      </c>
      <c r="J250" s="8">
        <v>15301</v>
      </c>
      <c r="K250" s="5">
        <f>560+38</f>
        <v>598</v>
      </c>
      <c r="L250" s="5">
        <f t="shared" si="93"/>
        <v>20678</v>
      </c>
      <c r="M250" s="5">
        <f t="shared" si="94"/>
        <v>0</v>
      </c>
      <c r="N250" s="6">
        <f t="shared" si="95"/>
        <v>-0.50884998549182703</v>
      </c>
      <c r="O250" s="4">
        <v>17</v>
      </c>
      <c r="P250" s="5"/>
      <c r="Q250" s="8">
        <v>17383</v>
      </c>
      <c r="R250" s="8">
        <v>6915</v>
      </c>
      <c r="S250" s="8">
        <v>9777</v>
      </c>
      <c r="T250" s="8">
        <v>14</v>
      </c>
      <c r="U250" s="8">
        <v>677</v>
      </c>
      <c r="V250" s="5">
        <f t="shared" si="96"/>
        <v>17383</v>
      </c>
      <c r="W250" s="5">
        <f t="shared" si="97"/>
        <v>0</v>
      </c>
      <c r="X250" s="6">
        <f t="shared" si="98"/>
        <v>-0.16464361732727378</v>
      </c>
      <c r="Y250" s="4">
        <v>12</v>
      </c>
      <c r="Z250" s="5"/>
      <c r="AA250" s="5"/>
      <c r="AB250" s="8">
        <v>39283</v>
      </c>
      <c r="AC250" s="8">
        <v>20428</v>
      </c>
      <c r="AD250" s="8">
        <v>16232</v>
      </c>
      <c r="AE250" s="8"/>
      <c r="AF250" s="8">
        <v>2623</v>
      </c>
      <c r="AG250" s="5">
        <f t="shared" si="99"/>
        <v>39283</v>
      </c>
      <c r="AH250" s="5">
        <f t="shared" si="100"/>
        <v>0</v>
      </c>
      <c r="AI250" s="6">
        <f t="shared" si="101"/>
        <v>0.10681465264872846</v>
      </c>
    </row>
    <row r="251" spans="1:35" x14ac:dyDescent="0.2">
      <c r="A251">
        <v>450315</v>
      </c>
      <c r="B251" t="s">
        <v>319</v>
      </c>
      <c r="C251" t="s">
        <v>330</v>
      </c>
      <c r="D251" t="s">
        <v>331</v>
      </c>
      <c r="E251" s="4">
        <v>5</v>
      </c>
      <c r="F251" s="5" t="s">
        <v>413</v>
      </c>
      <c r="G251" s="5"/>
      <c r="H251" s="8">
        <v>2951</v>
      </c>
      <c r="I251" s="8">
        <v>1182</v>
      </c>
      <c r="J251" s="8">
        <v>1644</v>
      </c>
      <c r="K251" s="5">
        <f>122+3</f>
        <v>125</v>
      </c>
      <c r="L251" s="5">
        <f t="shared" si="93"/>
        <v>2951</v>
      </c>
      <c r="M251" s="5">
        <f t="shared" si="94"/>
        <v>0</v>
      </c>
      <c r="N251" s="6">
        <f t="shared" si="95"/>
        <v>-0.15655709928837683</v>
      </c>
      <c r="O251" s="4">
        <v>22</v>
      </c>
      <c r="P251" s="5"/>
      <c r="Q251" s="8">
        <v>1689</v>
      </c>
      <c r="R251" s="8">
        <v>766</v>
      </c>
      <c r="S251" s="8">
        <v>850</v>
      </c>
      <c r="T251" s="8">
        <v>1</v>
      </c>
      <c r="U251" s="8">
        <v>72</v>
      </c>
      <c r="V251" s="5">
        <f t="shared" si="96"/>
        <v>1689</v>
      </c>
      <c r="W251" s="5">
        <f t="shared" si="97"/>
        <v>0</v>
      </c>
      <c r="X251" s="6">
        <f t="shared" si="98"/>
        <v>-4.9733570159857902E-2</v>
      </c>
      <c r="Y251" s="4">
        <v>25</v>
      </c>
      <c r="Z251" s="5"/>
      <c r="AA251" s="5"/>
      <c r="AB251" s="8">
        <v>2500</v>
      </c>
      <c r="AC251" s="8">
        <v>1293</v>
      </c>
      <c r="AD251" s="8">
        <v>1012</v>
      </c>
      <c r="AE251" s="8"/>
      <c r="AF251" s="8">
        <f>136+59</f>
        <v>195</v>
      </c>
      <c r="AG251" s="5">
        <f t="shared" si="99"/>
        <v>2500</v>
      </c>
      <c r="AH251" s="5">
        <f t="shared" si="100"/>
        <v>0</v>
      </c>
      <c r="AI251" s="6">
        <f t="shared" si="101"/>
        <v>0.1124</v>
      </c>
    </row>
    <row r="252" spans="1:35" x14ac:dyDescent="0.2">
      <c r="A252">
        <v>450895</v>
      </c>
      <c r="B252" t="s">
        <v>319</v>
      </c>
      <c r="C252" t="s">
        <v>332</v>
      </c>
      <c r="D252" t="s">
        <v>332</v>
      </c>
      <c r="E252" s="4">
        <v>5</v>
      </c>
      <c r="F252" s="5" t="s">
        <v>414</v>
      </c>
      <c r="G252" s="5"/>
      <c r="H252" s="8">
        <v>2190</v>
      </c>
      <c r="I252" s="8">
        <v>719</v>
      </c>
      <c r="J252" s="8">
        <v>1444</v>
      </c>
      <c r="K252" s="5">
        <f>26+1</f>
        <v>27</v>
      </c>
      <c r="L252" s="5">
        <f t="shared" si="93"/>
        <v>2190</v>
      </c>
      <c r="M252" s="5">
        <f t="shared" si="94"/>
        <v>0</v>
      </c>
      <c r="N252" s="6">
        <f t="shared" si="95"/>
        <v>-0.33105022831050229</v>
      </c>
      <c r="O252" s="4">
        <v>22</v>
      </c>
      <c r="P252" s="5"/>
      <c r="Q252" s="8">
        <v>1984</v>
      </c>
      <c r="R252" s="8">
        <v>859</v>
      </c>
      <c r="S252" s="8">
        <v>1019</v>
      </c>
      <c r="T252" s="8">
        <v>1</v>
      </c>
      <c r="U252" s="8">
        <v>105</v>
      </c>
      <c r="V252" s="5">
        <f t="shared" si="96"/>
        <v>1984</v>
      </c>
      <c r="W252" s="5">
        <f t="shared" si="97"/>
        <v>0</v>
      </c>
      <c r="X252" s="6">
        <f t="shared" si="98"/>
        <v>-8.0645161290322578E-2</v>
      </c>
      <c r="Y252" s="4">
        <v>25</v>
      </c>
      <c r="Z252" s="5"/>
      <c r="AA252" s="5"/>
      <c r="AB252" s="8">
        <v>2240</v>
      </c>
      <c r="AC252" s="8">
        <v>1082</v>
      </c>
      <c r="AD252" s="8">
        <v>933</v>
      </c>
      <c r="AE252" s="8"/>
      <c r="AF252" s="8">
        <f>126+99</f>
        <v>225</v>
      </c>
      <c r="AG252" s="5">
        <f t="shared" si="99"/>
        <v>2240</v>
      </c>
      <c r="AH252" s="5">
        <f t="shared" si="100"/>
        <v>0</v>
      </c>
      <c r="AI252" s="6">
        <f t="shared" si="101"/>
        <v>6.6517857142857142E-2</v>
      </c>
    </row>
    <row r="253" spans="1:35" x14ac:dyDescent="0.2">
      <c r="A253">
        <v>450110</v>
      </c>
      <c r="B253" t="s">
        <v>319</v>
      </c>
      <c r="C253" t="s">
        <v>333</v>
      </c>
      <c r="D253" t="s">
        <v>334</v>
      </c>
      <c r="E253" s="4">
        <v>5</v>
      </c>
      <c r="F253" s="5" t="s">
        <v>644</v>
      </c>
      <c r="G253" s="5"/>
      <c r="H253" s="8">
        <v>1806</v>
      </c>
      <c r="I253" s="8">
        <v>558</v>
      </c>
      <c r="J253" s="8">
        <v>1230</v>
      </c>
      <c r="K253" s="5">
        <f>15+3</f>
        <v>18</v>
      </c>
      <c r="L253" s="5">
        <f t="shared" si="93"/>
        <v>1806</v>
      </c>
      <c r="M253" s="5">
        <f t="shared" si="94"/>
        <v>0</v>
      </c>
      <c r="N253" s="6">
        <f t="shared" si="95"/>
        <v>-0.37209302325581395</v>
      </c>
      <c r="O253" s="4">
        <v>22</v>
      </c>
      <c r="P253" s="5"/>
      <c r="Q253" s="8">
        <v>1513</v>
      </c>
      <c r="R253" s="8">
        <v>695</v>
      </c>
      <c r="S253" s="8">
        <v>781</v>
      </c>
      <c r="T253" s="8">
        <v>0</v>
      </c>
      <c r="U253" s="8">
        <v>37</v>
      </c>
      <c r="V253" s="5">
        <f t="shared" si="96"/>
        <v>1513</v>
      </c>
      <c r="W253" s="5">
        <f t="shared" si="97"/>
        <v>0</v>
      </c>
      <c r="X253" s="6">
        <f t="shared" si="98"/>
        <v>-5.6840713813615336E-2</v>
      </c>
      <c r="Y253" s="4">
        <v>25</v>
      </c>
      <c r="Z253" s="5"/>
      <c r="AA253" s="5"/>
      <c r="AB253" s="8">
        <v>2166</v>
      </c>
      <c r="AC253" s="8">
        <v>1041</v>
      </c>
      <c r="AD253" s="8">
        <v>999</v>
      </c>
      <c r="AE253" s="8"/>
      <c r="AF253" s="8">
        <f>51+75</f>
        <v>126</v>
      </c>
      <c r="AG253" s="5">
        <f t="shared" si="99"/>
        <v>2166</v>
      </c>
      <c r="AH253" s="5">
        <f t="shared" si="100"/>
        <v>0</v>
      </c>
      <c r="AI253" s="6">
        <f t="shared" si="101"/>
        <v>1.9390581717451522E-2</v>
      </c>
    </row>
    <row r="254" spans="1:35" x14ac:dyDescent="0.2">
      <c r="A254">
        <v>45075030</v>
      </c>
      <c r="B254" t="s">
        <v>319</v>
      </c>
      <c r="C254" t="s">
        <v>335</v>
      </c>
      <c r="D254" t="s">
        <v>336</v>
      </c>
      <c r="E254" s="4">
        <v>5</v>
      </c>
      <c r="F254" s="5" t="s">
        <v>415</v>
      </c>
      <c r="G254" s="5"/>
      <c r="H254" s="8">
        <v>1071</v>
      </c>
      <c r="I254" s="8">
        <v>306</v>
      </c>
      <c r="J254" s="8">
        <v>743</v>
      </c>
      <c r="K254" s="8">
        <v>22</v>
      </c>
      <c r="L254" s="5">
        <f t="shared" si="93"/>
        <v>1071</v>
      </c>
      <c r="M254" s="5">
        <f t="shared" si="94"/>
        <v>0</v>
      </c>
      <c r="N254" s="6">
        <f t="shared" si="95"/>
        <v>-0.40802987861811391</v>
      </c>
      <c r="O254" s="4">
        <v>25</v>
      </c>
      <c r="P254" s="5"/>
      <c r="Q254" s="8">
        <v>300</v>
      </c>
      <c r="R254" s="8">
        <v>150</v>
      </c>
      <c r="S254" s="8">
        <v>150</v>
      </c>
      <c r="T254" s="8">
        <v>0</v>
      </c>
      <c r="U254" s="8">
        <v>0</v>
      </c>
      <c r="V254" s="5">
        <f t="shared" si="96"/>
        <v>300</v>
      </c>
      <c r="W254" s="5">
        <f t="shared" si="97"/>
        <v>0</v>
      </c>
      <c r="X254" s="6">
        <f t="shared" si="98"/>
        <v>0</v>
      </c>
      <c r="Y254" s="4">
        <v>28</v>
      </c>
      <c r="Z254" s="5"/>
      <c r="AA254" s="5">
        <v>1</v>
      </c>
      <c r="AB254" s="8">
        <v>18602</v>
      </c>
      <c r="AC254" s="8">
        <v>8715</v>
      </c>
      <c r="AD254" s="8">
        <v>7717</v>
      </c>
      <c r="AE254" s="8"/>
      <c r="AF254" s="8">
        <v>2170</v>
      </c>
      <c r="AG254" s="5">
        <f t="shared" si="99"/>
        <v>18602</v>
      </c>
      <c r="AH254" s="5">
        <f t="shared" si="100"/>
        <v>0</v>
      </c>
      <c r="AI254" s="6">
        <f t="shared" si="101"/>
        <v>5.365014514568326E-2</v>
      </c>
    </row>
    <row r="255" spans="1:35" x14ac:dyDescent="0.2">
      <c r="A255">
        <v>451400</v>
      </c>
      <c r="B255" t="s">
        <v>319</v>
      </c>
      <c r="C255" t="s">
        <v>17</v>
      </c>
      <c r="D255" t="s">
        <v>17</v>
      </c>
      <c r="E255" s="4">
        <v>5</v>
      </c>
      <c r="F255" s="5" t="s">
        <v>416</v>
      </c>
      <c r="G255" s="5"/>
      <c r="H255" s="8">
        <v>6645</v>
      </c>
      <c r="I255" s="8">
        <v>1738</v>
      </c>
      <c r="J255" s="8">
        <v>4781</v>
      </c>
      <c r="K255" s="5">
        <f>116+10</f>
        <v>126</v>
      </c>
      <c r="L255" s="5">
        <f t="shared" si="93"/>
        <v>6645</v>
      </c>
      <c r="M255" s="5">
        <f t="shared" si="94"/>
        <v>0</v>
      </c>
      <c r="N255" s="6">
        <f t="shared" si="95"/>
        <v>-0.45793829947328818</v>
      </c>
      <c r="O255" s="4">
        <v>17</v>
      </c>
      <c r="P255" s="5"/>
      <c r="Q255" s="8">
        <v>5751</v>
      </c>
      <c r="R255" s="8">
        <v>2118</v>
      </c>
      <c r="S255" s="8">
        <v>3446</v>
      </c>
      <c r="T255" s="8">
        <v>1</v>
      </c>
      <c r="U255" s="8">
        <v>186</v>
      </c>
      <c r="V255" s="5">
        <f t="shared" si="96"/>
        <v>5751</v>
      </c>
      <c r="W255" s="5">
        <f t="shared" si="97"/>
        <v>0</v>
      </c>
      <c r="X255" s="6">
        <f t="shared" si="98"/>
        <v>-0.23091636237176144</v>
      </c>
      <c r="Y255" s="4">
        <v>22</v>
      </c>
      <c r="Z255" s="5"/>
      <c r="AA255" s="5"/>
      <c r="AB255" s="8">
        <v>7382</v>
      </c>
      <c r="AC255" s="8">
        <v>2825</v>
      </c>
      <c r="AD255" s="8">
        <v>3759</v>
      </c>
      <c r="AE255" s="8"/>
      <c r="AF255" s="8">
        <v>798</v>
      </c>
      <c r="AG255" s="5">
        <f t="shared" si="99"/>
        <v>7382</v>
      </c>
      <c r="AH255" s="5">
        <f t="shared" si="100"/>
        <v>0</v>
      </c>
      <c r="AI255" s="6">
        <f t="shared" si="101"/>
        <v>-0.12652397724193987</v>
      </c>
    </row>
    <row r="256" spans="1:35" x14ac:dyDescent="0.2">
      <c r="A256">
        <v>451455</v>
      </c>
      <c r="B256" t="s">
        <v>319</v>
      </c>
      <c r="C256" t="s">
        <v>229</v>
      </c>
      <c r="D256" t="s">
        <v>229</v>
      </c>
      <c r="E256" s="4">
        <v>5</v>
      </c>
      <c r="F256" s="5" t="s">
        <v>633</v>
      </c>
      <c r="G256" s="5"/>
      <c r="H256" s="8">
        <v>3382</v>
      </c>
      <c r="I256" s="8">
        <v>1012</v>
      </c>
      <c r="J256" s="8">
        <v>2273</v>
      </c>
      <c r="K256" s="5">
        <f>84+13</f>
        <v>97</v>
      </c>
      <c r="L256" s="5">
        <f t="shared" si="93"/>
        <v>3382</v>
      </c>
      <c r="M256" s="5">
        <f t="shared" si="94"/>
        <v>0</v>
      </c>
      <c r="N256" s="6">
        <f t="shared" si="95"/>
        <v>-0.37285629804849202</v>
      </c>
      <c r="O256" s="4">
        <v>22</v>
      </c>
      <c r="P256" s="5"/>
      <c r="Q256" s="8">
        <v>2662</v>
      </c>
      <c r="R256" s="8">
        <v>1227</v>
      </c>
      <c r="S256" s="8">
        <v>1348</v>
      </c>
      <c r="T256" s="8">
        <v>1</v>
      </c>
      <c r="U256" s="8">
        <v>86</v>
      </c>
      <c r="V256" s="5">
        <f t="shared" si="96"/>
        <v>2662</v>
      </c>
      <c r="W256" s="5">
        <f t="shared" si="97"/>
        <v>0</v>
      </c>
      <c r="X256" s="6">
        <f t="shared" si="98"/>
        <v>-4.5454545454545456E-2</v>
      </c>
      <c r="Y256" s="4">
        <v>22</v>
      </c>
      <c r="Z256" s="5"/>
      <c r="AA256" s="5"/>
      <c r="AB256" s="8">
        <v>3049</v>
      </c>
      <c r="AC256" s="8">
        <v>1841</v>
      </c>
      <c r="AD256" s="8">
        <v>1076</v>
      </c>
      <c r="AE256" s="8"/>
      <c r="AF256" s="8">
        <v>132</v>
      </c>
      <c r="AG256" s="5">
        <f t="shared" si="99"/>
        <v>3049</v>
      </c>
      <c r="AH256" s="5">
        <f t="shared" si="100"/>
        <v>0</v>
      </c>
      <c r="AI256" s="6">
        <f t="shared" si="101"/>
        <v>0.25090193506067565</v>
      </c>
    </row>
    <row r="257" spans="1:35" x14ac:dyDescent="0.2">
      <c r="E257" s="4"/>
      <c r="F257" s="5"/>
      <c r="G257" s="5"/>
      <c r="H257" s="5"/>
      <c r="I257" s="5"/>
      <c r="J257" s="5"/>
      <c r="K257" s="5"/>
      <c r="L257" s="5"/>
      <c r="M257" s="5"/>
      <c r="N257" s="6"/>
      <c r="O257" s="4"/>
      <c r="P257" s="5"/>
      <c r="Q257" s="5"/>
      <c r="R257" s="5"/>
      <c r="S257" s="5"/>
      <c r="T257" s="5"/>
      <c r="U257" s="5"/>
      <c r="V257" s="5"/>
      <c r="W257" s="5"/>
      <c r="X257" s="6"/>
      <c r="Y257" s="4"/>
      <c r="Z257" s="5"/>
      <c r="AA257" s="5"/>
      <c r="AB257" s="5"/>
      <c r="AC257" s="5"/>
      <c r="AD257" s="5"/>
      <c r="AE257" s="5"/>
      <c r="AF257" s="5"/>
      <c r="AG257" s="5"/>
      <c r="AH257" s="5"/>
      <c r="AI257" s="6"/>
    </row>
    <row r="258" spans="1:35" x14ac:dyDescent="0.2">
      <c r="A258">
        <v>470515</v>
      </c>
      <c r="B258" t="s">
        <v>337</v>
      </c>
      <c r="C258" s="2" t="s">
        <v>338</v>
      </c>
      <c r="D258" t="s">
        <v>114</v>
      </c>
      <c r="E258" s="4">
        <v>5</v>
      </c>
      <c r="F258" s="5" t="s">
        <v>460</v>
      </c>
      <c r="G258" s="5">
        <v>1</v>
      </c>
      <c r="H258" s="8">
        <v>5718</v>
      </c>
      <c r="I258" s="8">
        <v>2930</v>
      </c>
      <c r="J258" s="8">
        <v>2575</v>
      </c>
      <c r="K258" s="5">
        <f>189+24</f>
        <v>213</v>
      </c>
      <c r="L258" s="5">
        <f>I258+J258+K258</f>
        <v>5718</v>
      </c>
      <c r="M258" s="5">
        <f>L258-H258</f>
        <v>0</v>
      </c>
      <c r="N258" s="6">
        <f>(I258-J258)/H258</f>
        <v>6.2084644980762507E-2</v>
      </c>
      <c r="O258" s="4">
        <v>26</v>
      </c>
      <c r="P258" s="5">
        <v>1</v>
      </c>
      <c r="Q258" s="8">
        <v>6644</v>
      </c>
      <c r="R258" s="8">
        <v>4030</v>
      </c>
      <c r="S258" s="8">
        <v>2298</v>
      </c>
      <c r="T258" s="8">
        <v>1</v>
      </c>
      <c r="U258" s="8">
        <v>315</v>
      </c>
      <c r="V258" s="5">
        <f>R258+S258+T258+U258</f>
        <v>6644</v>
      </c>
      <c r="W258" s="5">
        <f>V258-Q258</f>
        <v>0</v>
      </c>
      <c r="X258" s="6">
        <f>(R258-S258)/Q258</f>
        <v>0.26068633353401566</v>
      </c>
      <c r="Y258" s="4">
        <v>28</v>
      </c>
      <c r="Z258" s="5"/>
      <c r="AA258" s="5">
        <v>1</v>
      </c>
      <c r="AB258" s="8">
        <v>7388</v>
      </c>
      <c r="AC258" s="8">
        <v>4823</v>
      </c>
      <c r="AD258" s="8">
        <v>2061</v>
      </c>
      <c r="AE258" s="8"/>
      <c r="AF258" s="8">
        <v>504</v>
      </c>
      <c r="AG258" s="5">
        <f>AC258+AD258+AE258+AF258</f>
        <v>7388</v>
      </c>
      <c r="AH258" s="5">
        <f>AG258-AB258</f>
        <v>0</v>
      </c>
      <c r="AI258" s="6">
        <f>(AC258-AD258)/AB258</f>
        <v>0.37384948565240933</v>
      </c>
    </row>
    <row r="259" spans="1:35" x14ac:dyDescent="0.2">
      <c r="A259">
        <v>470245</v>
      </c>
      <c r="B259" t="s">
        <v>337</v>
      </c>
      <c r="C259" t="s">
        <v>339</v>
      </c>
      <c r="D259" t="s">
        <v>293</v>
      </c>
      <c r="E259" s="4">
        <v>5</v>
      </c>
      <c r="F259" s="5" t="s">
        <v>405</v>
      </c>
      <c r="G259" s="5"/>
      <c r="H259" s="8">
        <v>34372</v>
      </c>
      <c r="I259" s="8">
        <v>9204</v>
      </c>
      <c r="J259" s="8">
        <v>24267</v>
      </c>
      <c r="K259" s="5">
        <f>877+24</f>
        <v>901</v>
      </c>
      <c r="L259" s="5">
        <f>I259+J259+K259</f>
        <v>34372</v>
      </c>
      <c r="M259" s="5">
        <f>L259-H259</f>
        <v>0</v>
      </c>
      <c r="N259" s="6">
        <f>(I259-J259)/H259</f>
        <v>-0.43823460956592575</v>
      </c>
      <c r="O259" s="4">
        <v>17</v>
      </c>
      <c r="P259" s="5"/>
      <c r="Q259" s="8">
        <v>38994</v>
      </c>
      <c r="R259" s="8">
        <v>15365</v>
      </c>
      <c r="S259" s="8">
        <v>22651</v>
      </c>
      <c r="T259" s="8">
        <v>18</v>
      </c>
      <c r="U259" s="8">
        <v>960</v>
      </c>
      <c r="V259" s="5">
        <f>R259+S259+T259+U259</f>
        <v>38994</v>
      </c>
      <c r="W259" s="5">
        <f>V259-Q259</f>
        <v>0</v>
      </c>
      <c r="X259" s="6">
        <f>(R259-S259)/Q259</f>
        <v>-0.18684925886033749</v>
      </c>
      <c r="Y259" s="4">
        <v>12</v>
      </c>
      <c r="Z259" s="5"/>
      <c r="AA259" s="5"/>
      <c r="AB259" s="8">
        <v>41979</v>
      </c>
      <c r="AC259" s="8">
        <v>18772</v>
      </c>
      <c r="AD259" s="8">
        <v>21060</v>
      </c>
      <c r="AE259" s="8"/>
      <c r="AF259" s="8">
        <v>2147</v>
      </c>
      <c r="AG259" s="5">
        <f>AC259+AD259+AE259+AF259</f>
        <v>41979</v>
      </c>
      <c r="AH259" s="5">
        <f>AG259-AB259</f>
        <v>0</v>
      </c>
      <c r="AI259" s="6">
        <f>(AC259-AD259)/AB259</f>
        <v>-5.4503442197289122E-2</v>
      </c>
    </row>
    <row r="260" spans="1:35" x14ac:dyDescent="0.2">
      <c r="A260">
        <v>470760</v>
      </c>
      <c r="B260" t="s">
        <v>337</v>
      </c>
      <c r="C260" t="s">
        <v>340</v>
      </c>
      <c r="D260" t="s">
        <v>341</v>
      </c>
      <c r="E260" s="4">
        <v>5</v>
      </c>
      <c r="F260" s="5" t="s">
        <v>406</v>
      </c>
      <c r="G260" s="5"/>
      <c r="H260" s="8">
        <v>29572</v>
      </c>
      <c r="I260" s="8">
        <v>9977</v>
      </c>
      <c r="J260" s="8">
        <v>18624</v>
      </c>
      <c r="K260" s="5">
        <f>932+39</f>
        <v>971</v>
      </c>
      <c r="L260" s="5">
        <f>I260+J260+K260</f>
        <v>29572</v>
      </c>
      <c r="M260" s="5">
        <f>L260-H260</f>
        <v>0</v>
      </c>
      <c r="N260" s="6">
        <f>(I260-J260)/H260</f>
        <v>-0.29240497768159068</v>
      </c>
      <c r="O260" s="4">
        <v>17</v>
      </c>
      <c r="P260" s="5"/>
      <c r="Q260" s="8">
        <v>35860</v>
      </c>
      <c r="R260" s="8">
        <v>18341</v>
      </c>
      <c r="S260" s="8">
        <v>16484</v>
      </c>
      <c r="T260" s="8">
        <v>28</v>
      </c>
      <c r="U260" s="8">
        <v>1007</v>
      </c>
      <c r="V260" s="5">
        <f>R260+S260+T260+U260</f>
        <v>35860</v>
      </c>
      <c r="W260" s="5">
        <f>V260-Q260</f>
        <v>0</v>
      </c>
      <c r="X260" s="6">
        <f>(R260-S260)/Q260</f>
        <v>5.1784718349135526E-2</v>
      </c>
      <c r="Y260" s="4">
        <v>12</v>
      </c>
      <c r="Z260" s="5"/>
      <c r="AA260" s="5"/>
      <c r="AB260" s="8">
        <v>36759</v>
      </c>
      <c r="AC260" s="8">
        <v>18316</v>
      </c>
      <c r="AD260" s="8">
        <v>16162</v>
      </c>
      <c r="AE260" s="8"/>
      <c r="AF260" s="8">
        <v>2281</v>
      </c>
      <c r="AG260" s="5">
        <f>AC260+AD260+AE260+AF260</f>
        <v>36759</v>
      </c>
      <c r="AH260" s="5">
        <f>AG260-AB260</f>
        <v>0</v>
      </c>
      <c r="AI260" s="6">
        <f>(AC260-AD260)/AB260</f>
        <v>5.8597894393209823E-2</v>
      </c>
    </row>
    <row r="261" spans="1:35" x14ac:dyDescent="0.2">
      <c r="A261">
        <v>470940</v>
      </c>
      <c r="B261" t="s">
        <v>337</v>
      </c>
      <c r="C261" t="s">
        <v>342</v>
      </c>
      <c r="D261" t="s">
        <v>343</v>
      </c>
      <c r="E261" s="4">
        <v>5</v>
      </c>
      <c r="F261" s="5" t="s">
        <v>407</v>
      </c>
      <c r="G261" s="5"/>
      <c r="H261" s="8">
        <v>83246</v>
      </c>
      <c r="I261" s="8">
        <v>24793</v>
      </c>
      <c r="J261" s="8">
        <v>56288</v>
      </c>
      <c r="K261" s="5">
        <f>2083+82</f>
        <v>2165</v>
      </c>
      <c r="L261" s="5">
        <f>I261+J261+K261</f>
        <v>83246</v>
      </c>
      <c r="M261" s="5">
        <f>L261-H261</f>
        <v>0</v>
      </c>
      <c r="N261" s="6">
        <f>(I261-J261)/H261</f>
        <v>-0.37833649664848762</v>
      </c>
      <c r="O261" s="4">
        <v>17</v>
      </c>
      <c r="P261" s="5"/>
      <c r="Q261" s="8">
        <v>116438</v>
      </c>
      <c r="R261" s="8">
        <v>54146</v>
      </c>
      <c r="S261" s="8">
        <v>59206</v>
      </c>
      <c r="T261" s="8">
        <v>98</v>
      </c>
      <c r="U261" s="8">
        <v>2988</v>
      </c>
      <c r="V261" s="5">
        <f>R261+S261+T261+U261</f>
        <v>116438</v>
      </c>
      <c r="W261" s="5">
        <f>V261-Q261</f>
        <v>0</v>
      </c>
      <c r="X261" s="6">
        <f>(R261-S261)/Q261</f>
        <v>-4.3456603514316634E-2</v>
      </c>
      <c r="Y261" s="4">
        <v>12</v>
      </c>
      <c r="Z261" s="5"/>
      <c r="AA261" s="5"/>
      <c r="AB261" s="8">
        <v>151972</v>
      </c>
      <c r="AC261" s="8">
        <v>80140</v>
      </c>
      <c r="AD261" s="8">
        <v>64792</v>
      </c>
      <c r="AE261" s="8"/>
      <c r="AF261" s="8">
        <v>7040</v>
      </c>
      <c r="AG261" s="5">
        <f>AC261+AD261+AE261+AF261</f>
        <v>151972</v>
      </c>
      <c r="AH261" s="5">
        <f>AG261-AB261</f>
        <v>0</v>
      </c>
      <c r="AI261" s="6">
        <f>(AC261-AD261)/AB261</f>
        <v>0.1009922880530624</v>
      </c>
    </row>
    <row r="262" spans="1:35" x14ac:dyDescent="0.2">
      <c r="E262" s="4"/>
      <c r="F262" s="5"/>
      <c r="G262" s="5"/>
      <c r="H262" s="5"/>
      <c r="I262" s="5"/>
      <c r="J262" s="5"/>
      <c r="K262" s="5"/>
      <c r="L262" s="5"/>
      <c r="M262" s="5"/>
      <c r="N262" s="6"/>
      <c r="O262" s="4"/>
      <c r="P262" s="5"/>
      <c r="Q262" s="5"/>
      <c r="R262" s="5"/>
      <c r="S262" s="5"/>
      <c r="T262" s="5"/>
      <c r="U262" s="5"/>
      <c r="V262" s="5"/>
      <c r="W262" s="5"/>
      <c r="X262" s="6"/>
      <c r="Y262" s="4"/>
      <c r="Z262" s="5"/>
      <c r="AA262" s="5"/>
      <c r="AB262" s="5"/>
      <c r="AC262" s="5"/>
      <c r="AD262" s="5"/>
      <c r="AE262" s="5"/>
      <c r="AF262" s="5"/>
      <c r="AG262" s="5"/>
      <c r="AH262" s="5"/>
      <c r="AI262" s="6"/>
    </row>
    <row r="263" spans="1:35" x14ac:dyDescent="0.2">
      <c r="A263">
        <v>480595</v>
      </c>
      <c r="B263" t="s">
        <v>344</v>
      </c>
      <c r="C263" t="s">
        <v>345</v>
      </c>
      <c r="D263" t="s">
        <v>346</v>
      </c>
      <c r="E263" s="4">
        <v>4</v>
      </c>
      <c r="F263" s="5" t="s">
        <v>399</v>
      </c>
      <c r="G263" s="5"/>
      <c r="H263" s="8">
        <v>5479</v>
      </c>
      <c r="I263" s="8">
        <v>2470</v>
      </c>
      <c r="J263" s="8">
        <v>2764</v>
      </c>
      <c r="K263" s="5">
        <f>234+11</f>
        <v>245</v>
      </c>
      <c r="L263" s="5">
        <f>I263+J263+K263</f>
        <v>5479</v>
      </c>
      <c r="M263" s="5">
        <f>L263-H263</f>
        <v>0</v>
      </c>
      <c r="N263" s="6">
        <f>(I263-J263)/H263</f>
        <v>-5.3659426902719472E-2</v>
      </c>
      <c r="O263" s="4">
        <v>17</v>
      </c>
      <c r="P263" s="5"/>
      <c r="Q263" s="8">
        <v>9558</v>
      </c>
      <c r="R263" s="8">
        <v>5133</v>
      </c>
      <c r="S263" s="8">
        <v>3756</v>
      </c>
      <c r="T263" s="8">
        <v>52</v>
      </c>
      <c r="U263" s="8">
        <v>617</v>
      </c>
      <c r="V263" s="5">
        <f>R263+S263+T263+U263</f>
        <v>9558</v>
      </c>
      <c r="W263" s="5">
        <f>V263-Q263</f>
        <v>0</v>
      </c>
      <c r="X263" s="6">
        <f>(R263-S263)/Q263</f>
        <v>0.1440677966101695</v>
      </c>
      <c r="Y263" s="4">
        <v>18</v>
      </c>
      <c r="Z263" s="5"/>
      <c r="AA263" s="5"/>
      <c r="AB263" s="8">
        <v>12961</v>
      </c>
      <c r="AC263" s="8">
        <v>7044</v>
      </c>
      <c r="AD263" s="8">
        <v>4245</v>
      </c>
      <c r="AE263" s="8"/>
      <c r="AF263" s="8">
        <v>1672</v>
      </c>
      <c r="AG263" s="5">
        <f>AC263+AD263+AE263+AF263</f>
        <v>12961</v>
      </c>
      <c r="AH263" s="5">
        <f>AG263-AB263</f>
        <v>0</v>
      </c>
      <c r="AI263" s="6">
        <f>(AC263-AD263)/AB263</f>
        <v>0.21595555898464625</v>
      </c>
    </row>
    <row r="264" spans="1:35" x14ac:dyDescent="0.2">
      <c r="A264">
        <v>481925</v>
      </c>
      <c r="B264" t="s">
        <v>344</v>
      </c>
      <c r="C264" t="s">
        <v>347</v>
      </c>
      <c r="D264" t="s">
        <v>348</v>
      </c>
      <c r="E264" s="4">
        <v>4</v>
      </c>
      <c r="F264" s="5" t="s">
        <v>404</v>
      </c>
      <c r="G264" s="5"/>
      <c r="H264" s="8">
        <v>2375</v>
      </c>
      <c r="I264" s="8">
        <v>985</v>
      </c>
      <c r="J264" s="8">
        <v>1306</v>
      </c>
      <c r="K264" s="5">
        <f>79+5</f>
        <v>84</v>
      </c>
      <c r="L264" s="5">
        <f>I264+J264+K264</f>
        <v>2375</v>
      </c>
      <c r="M264" s="5">
        <f>L264-H264</f>
        <v>0</v>
      </c>
      <c r="N264" s="6">
        <f>(I264-J264)/H264</f>
        <v>-0.13515789473684212</v>
      </c>
      <c r="O264" s="4">
        <v>22</v>
      </c>
      <c r="P264" s="5"/>
      <c r="Q264" s="8">
        <v>2923</v>
      </c>
      <c r="R264" s="8">
        <v>1545</v>
      </c>
      <c r="S264" s="8">
        <v>1287</v>
      </c>
      <c r="T264" s="8">
        <v>1</v>
      </c>
      <c r="U264" s="8">
        <v>90</v>
      </c>
      <c r="V264" s="5">
        <f>R264+S264+T264+U264</f>
        <v>2923</v>
      </c>
      <c r="W264" s="5">
        <f>V264-Q264</f>
        <v>0</v>
      </c>
      <c r="X264" s="6">
        <f>(R264-S264)/Q264</f>
        <v>8.8265480670543961E-2</v>
      </c>
      <c r="Y264" s="4">
        <v>25</v>
      </c>
      <c r="Z264" s="5"/>
      <c r="AA264" s="5"/>
      <c r="AB264" s="8">
        <v>2965</v>
      </c>
      <c r="AC264" s="8">
        <v>1708</v>
      </c>
      <c r="AD264" s="8">
        <v>990</v>
      </c>
      <c r="AE264" s="8"/>
      <c r="AF264" s="8">
        <f>149+118</f>
        <v>267</v>
      </c>
      <c r="AG264" s="5">
        <f>AC264+AD264+AE264+AF264</f>
        <v>2965</v>
      </c>
      <c r="AH264" s="5">
        <f>AG264-AB264</f>
        <v>0</v>
      </c>
      <c r="AI264" s="6">
        <f>(AC264-AD264)/AB264</f>
        <v>0.24215851602023608</v>
      </c>
    </row>
    <row r="265" spans="1:35" x14ac:dyDescent="0.2">
      <c r="A265">
        <v>481975</v>
      </c>
      <c r="B265" t="s">
        <v>344</v>
      </c>
      <c r="C265" t="s">
        <v>81</v>
      </c>
      <c r="D265" t="s">
        <v>349</v>
      </c>
      <c r="E265" s="4">
        <v>4</v>
      </c>
      <c r="F265" s="5" t="s">
        <v>402</v>
      </c>
      <c r="G265" s="5"/>
      <c r="H265" s="8">
        <v>113326</v>
      </c>
      <c r="I265" s="8">
        <v>36354</v>
      </c>
      <c r="J265" s="8">
        <v>71176</v>
      </c>
      <c r="K265" s="5">
        <f>5651+145</f>
        <v>5796</v>
      </c>
      <c r="L265" s="5">
        <f>I265+J265+K265</f>
        <v>113326</v>
      </c>
      <c r="M265" s="5">
        <f>L265-H265</f>
        <v>0</v>
      </c>
      <c r="N265" s="6">
        <f>(I265-J265)/H265</f>
        <v>-0.30727282353564056</v>
      </c>
      <c r="O265" s="4">
        <v>17</v>
      </c>
      <c r="P265" s="5"/>
      <c r="Q265" s="8">
        <v>191681</v>
      </c>
      <c r="R265" s="8">
        <v>90653</v>
      </c>
      <c r="S265" s="8">
        <v>90199</v>
      </c>
      <c r="T265" s="8">
        <v>234</v>
      </c>
      <c r="U265" s="8">
        <v>10595</v>
      </c>
      <c r="V265" s="5">
        <f>R265+S265+T265+U265</f>
        <v>191681</v>
      </c>
      <c r="W265" s="5">
        <f>V265-Q265</f>
        <v>0</v>
      </c>
      <c r="X265" s="6">
        <f>(R265-S265)/Q265</f>
        <v>2.368518528179632E-3</v>
      </c>
      <c r="Y265" s="4">
        <v>12</v>
      </c>
      <c r="Z265" s="5"/>
      <c r="AA265" s="5"/>
      <c r="AB265" s="8">
        <v>374288</v>
      </c>
      <c r="AC265" s="8">
        <v>215931</v>
      </c>
      <c r="AD265" s="8">
        <v>122147</v>
      </c>
      <c r="AE265" s="8"/>
      <c r="AF265" s="8">
        <v>36210</v>
      </c>
      <c r="AG265" s="5">
        <f>AC265+AD265+AE265+AF265</f>
        <v>374288</v>
      </c>
      <c r="AH265" s="5">
        <f>AG265-AB265</f>
        <v>0</v>
      </c>
      <c r="AI265" s="6">
        <f>(AC265-AD265)/AB265</f>
        <v>0.25056640875475572</v>
      </c>
    </row>
    <row r="266" spans="1:35" x14ac:dyDescent="0.2">
      <c r="A266">
        <v>480015</v>
      </c>
      <c r="B266" t="s">
        <v>344</v>
      </c>
      <c r="C266" t="s">
        <v>350</v>
      </c>
      <c r="D266" t="s">
        <v>351</v>
      </c>
      <c r="E266" s="4">
        <v>4</v>
      </c>
      <c r="F266" s="5" t="s">
        <v>403</v>
      </c>
      <c r="G266" s="5"/>
      <c r="H266" s="5">
        <v>7879</v>
      </c>
      <c r="I266" s="5">
        <v>3286</v>
      </c>
      <c r="J266" s="8">
        <v>4164</v>
      </c>
      <c r="K266" s="5">
        <f>371+58</f>
        <v>429</v>
      </c>
      <c r="L266" s="5">
        <f>I266+J266+K266</f>
        <v>7879</v>
      </c>
      <c r="M266" s="5">
        <f>L266-H266</f>
        <v>0</v>
      </c>
      <c r="N266" s="6">
        <f>(I266-J266)/H266</f>
        <v>-0.11143546135296357</v>
      </c>
      <c r="O266" s="4">
        <v>17</v>
      </c>
      <c r="P266" s="5"/>
      <c r="Q266" s="5">
        <v>14321</v>
      </c>
      <c r="R266" s="5">
        <v>7410</v>
      </c>
      <c r="S266" s="8">
        <v>6214</v>
      </c>
      <c r="T266" s="8">
        <v>7</v>
      </c>
      <c r="U266" s="8">
        <v>690</v>
      </c>
      <c r="V266" s="5">
        <f>R266+S266+T266+U266</f>
        <v>14321</v>
      </c>
      <c r="W266" s="5">
        <f>V266-Q266</f>
        <v>0</v>
      </c>
      <c r="X266" s="6">
        <f>(R266-S266)/Q266</f>
        <v>8.3513721108861114E-2</v>
      </c>
      <c r="Y266" s="4">
        <v>12</v>
      </c>
      <c r="Z266" s="5"/>
      <c r="AA266" s="5"/>
      <c r="AB266" s="5">
        <v>28732</v>
      </c>
      <c r="AC266" s="5">
        <v>16553</v>
      </c>
      <c r="AD266" s="8">
        <v>9455</v>
      </c>
      <c r="AE266" s="8"/>
      <c r="AF266" s="8">
        <v>2724</v>
      </c>
      <c r="AG266" s="5">
        <f>AC266+AD266+AE266+AF266</f>
        <v>28732</v>
      </c>
      <c r="AH266" s="5">
        <f>AG266-AB266</f>
        <v>0</v>
      </c>
      <c r="AI266" s="6">
        <f>(AC266-AD266)/AB266</f>
        <v>0.24704162606153418</v>
      </c>
    </row>
    <row r="267" spans="1:35" x14ac:dyDescent="0.2">
      <c r="A267">
        <v>480210</v>
      </c>
      <c r="B267" t="s">
        <v>344</v>
      </c>
      <c r="C267" t="s">
        <v>352</v>
      </c>
      <c r="D267" t="s">
        <v>353</v>
      </c>
      <c r="E267" s="4">
        <v>4</v>
      </c>
      <c r="F267" s="5" t="s">
        <v>400</v>
      </c>
      <c r="G267" s="5"/>
      <c r="H267" s="5">
        <v>23968</v>
      </c>
      <c r="I267" s="5">
        <v>9385</v>
      </c>
      <c r="J267" s="8">
        <v>13134</v>
      </c>
      <c r="K267" s="5">
        <f>1232+217</f>
        <v>1449</v>
      </c>
      <c r="L267" s="5">
        <f>I267+J267+K267</f>
        <v>23968</v>
      </c>
      <c r="M267" s="5">
        <f>L267-H267</f>
        <v>0</v>
      </c>
      <c r="N267" s="6">
        <f>(I267-J267)/H267</f>
        <v>-0.15641688918558078</v>
      </c>
      <c r="O267" s="4">
        <v>17</v>
      </c>
      <c r="P267" s="5"/>
      <c r="Q267" s="5">
        <v>37342</v>
      </c>
      <c r="R267" s="5">
        <v>18385</v>
      </c>
      <c r="S267" s="8">
        <v>17100</v>
      </c>
      <c r="T267" s="8">
        <v>39</v>
      </c>
      <c r="U267" s="8">
        <v>1818</v>
      </c>
      <c r="V267" s="5">
        <f>R267+S267+T267+U267</f>
        <v>37342</v>
      </c>
      <c r="W267" s="5">
        <f>V267-Q267</f>
        <v>0</v>
      </c>
      <c r="X267" s="6">
        <f>(R267-S267)/Q267</f>
        <v>3.4411654437362757E-2</v>
      </c>
      <c r="Y267" s="4">
        <v>12</v>
      </c>
      <c r="Z267" s="5"/>
      <c r="AA267" s="5"/>
      <c r="AB267" s="5">
        <v>56689</v>
      </c>
      <c r="AC267" s="5">
        <v>31410</v>
      </c>
      <c r="AD267" s="8">
        <v>21206</v>
      </c>
      <c r="AE267" s="8"/>
      <c r="AF267" s="8">
        <v>4073</v>
      </c>
      <c r="AG267" s="5">
        <f>AC267+AD267+AE267+AF267</f>
        <v>56689</v>
      </c>
      <c r="AH267" s="5">
        <f>AG267-AB267</f>
        <v>0</v>
      </c>
      <c r="AI267" s="6">
        <f>(AC267-AD267)/AB267</f>
        <v>0.17999964719786907</v>
      </c>
    </row>
    <row r="268" spans="1:35" x14ac:dyDescent="0.2">
      <c r="E268" s="4"/>
      <c r="F268" s="5"/>
      <c r="G268" s="5"/>
      <c r="H268" s="5"/>
      <c r="I268" s="5"/>
      <c r="J268" s="5"/>
      <c r="K268" s="5"/>
      <c r="L268" s="5"/>
      <c r="M268" s="5"/>
      <c r="N268" s="6"/>
      <c r="O268" s="4"/>
      <c r="P268" s="5"/>
      <c r="Q268" s="5"/>
      <c r="R268" s="5"/>
      <c r="S268" s="5"/>
      <c r="T268" s="5"/>
      <c r="U268" s="5"/>
      <c r="V268" s="5"/>
      <c r="W268" s="5"/>
      <c r="X268" s="6"/>
      <c r="Y268" s="4"/>
      <c r="Z268" s="5"/>
      <c r="AA268" s="5"/>
      <c r="AB268" s="5"/>
      <c r="AC268" s="5"/>
      <c r="AD268" s="5"/>
      <c r="AE268" s="5"/>
      <c r="AF268" s="5"/>
      <c r="AG268" s="5"/>
      <c r="AH268" s="5"/>
      <c r="AI268" s="6"/>
    </row>
    <row r="269" spans="1:35" x14ac:dyDescent="0.2">
      <c r="A269">
        <v>500460</v>
      </c>
      <c r="B269" t="s">
        <v>354</v>
      </c>
      <c r="C269" t="s">
        <v>147</v>
      </c>
      <c r="D269" t="s">
        <v>355</v>
      </c>
      <c r="E269" s="4">
        <v>5</v>
      </c>
      <c r="F269" s="5" t="s">
        <v>398</v>
      </c>
      <c r="G269" s="5"/>
      <c r="H269" s="8">
        <v>7480</v>
      </c>
      <c r="I269" s="8">
        <v>2722</v>
      </c>
      <c r="J269" s="8">
        <v>4416</v>
      </c>
      <c r="K269" s="5">
        <f>299+43</f>
        <v>342</v>
      </c>
      <c r="L269" s="5">
        <f>I269+J269+K269</f>
        <v>7480</v>
      </c>
      <c r="M269" s="5">
        <f>L269-H269</f>
        <v>0</v>
      </c>
      <c r="N269" s="6">
        <f>(I269-J269)/H269</f>
        <v>-0.22647058823529412</v>
      </c>
      <c r="O269" s="4">
        <v>17</v>
      </c>
      <c r="P269" s="5"/>
      <c r="Q269" s="8">
        <v>9145</v>
      </c>
      <c r="R269" s="8">
        <v>3683</v>
      </c>
      <c r="S269" s="8">
        <v>5121</v>
      </c>
      <c r="T269" s="8">
        <v>7</v>
      </c>
      <c r="U269" s="8">
        <v>334</v>
      </c>
      <c r="V269" s="5">
        <f>R269+S269+T269+U269</f>
        <v>9145</v>
      </c>
      <c r="W269" s="5">
        <f>V269-Q269</f>
        <v>0</v>
      </c>
      <c r="X269" s="6">
        <f>(R269-S269)/Q269</f>
        <v>-0.15724439584472388</v>
      </c>
      <c r="Y269" s="4">
        <v>18</v>
      </c>
      <c r="Z269" s="5"/>
      <c r="AA269" s="5"/>
      <c r="AB269" s="8">
        <v>10686</v>
      </c>
      <c r="AC269" s="8">
        <v>4874</v>
      </c>
      <c r="AD269" s="8">
        <v>5217</v>
      </c>
      <c r="AE269" s="8"/>
      <c r="AF269" s="8">
        <v>595</v>
      </c>
      <c r="AG269" s="5">
        <f>AC269+AD269+AE269+AF269</f>
        <v>10686</v>
      </c>
      <c r="AH269" s="5">
        <f>AG269-AB269</f>
        <v>0</v>
      </c>
      <c r="AI269" s="6">
        <f>(AC269-AD269)/AB269</f>
        <v>-3.2098072244057647E-2</v>
      </c>
    </row>
    <row r="270" spans="1:35" x14ac:dyDescent="0.2">
      <c r="E270" s="4"/>
      <c r="F270" s="5"/>
      <c r="G270" s="5"/>
      <c r="H270" s="5"/>
      <c r="I270" s="5"/>
      <c r="J270" s="5"/>
      <c r="K270" s="5"/>
      <c r="L270" s="5"/>
      <c r="M270" s="5"/>
      <c r="N270" s="6"/>
      <c r="O270" s="4"/>
      <c r="P270" s="5"/>
      <c r="Q270" s="5"/>
      <c r="R270" s="5"/>
      <c r="S270" s="5"/>
      <c r="T270" s="5"/>
      <c r="U270" s="5"/>
      <c r="V270" s="5"/>
      <c r="W270" s="5"/>
      <c r="X270" s="6"/>
      <c r="Y270" s="4"/>
      <c r="Z270" s="5"/>
      <c r="AA270" s="5"/>
      <c r="AB270" s="5"/>
      <c r="AC270" s="5"/>
      <c r="AD270" s="5"/>
      <c r="AE270" s="5"/>
      <c r="AF270" s="5"/>
      <c r="AG270" s="5"/>
      <c r="AH270" s="5"/>
      <c r="AI270" s="6"/>
    </row>
    <row r="271" spans="1:35" x14ac:dyDescent="0.2">
      <c r="B271" s="1" t="s">
        <v>356</v>
      </c>
      <c r="C271" s="1" t="s">
        <v>357</v>
      </c>
      <c r="E271" s="4"/>
      <c r="F271" s="5"/>
      <c r="G271" s="5"/>
      <c r="H271" s="5"/>
      <c r="I271" s="5"/>
      <c r="J271" s="5"/>
      <c r="K271" s="5"/>
      <c r="L271" s="5"/>
      <c r="M271" s="5"/>
      <c r="N271" s="6"/>
      <c r="O271" s="4"/>
      <c r="P271" s="5"/>
      <c r="Q271" s="5"/>
      <c r="R271" s="5"/>
      <c r="S271" s="5"/>
      <c r="T271" s="5"/>
      <c r="U271" s="5"/>
      <c r="V271" s="5"/>
      <c r="W271" s="5"/>
      <c r="X271" s="6"/>
      <c r="Y271" s="4"/>
      <c r="Z271" s="5"/>
      <c r="AA271" s="5"/>
      <c r="AB271" s="5"/>
      <c r="AC271" s="5"/>
      <c r="AD271" s="5"/>
      <c r="AE271" s="5"/>
      <c r="AF271" s="5"/>
      <c r="AG271" s="5"/>
      <c r="AH271" s="5"/>
      <c r="AI271" s="6"/>
    </row>
    <row r="272" spans="1:35" x14ac:dyDescent="0.2">
      <c r="B272" s="1" t="s">
        <v>356</v>
      </c>
      <c r="C272" s="1" t="s">
        <v>358</v>
      </c>
      <c r="E272" s="4"/>
      <c r="F272" s="5"/>
      <c r="G272" s="5"/>
      <c r="H272" s="5"/>
      <c r="I272" s="5"/>
      <c r="J272" s="5"/>
      <c r="K272" s="5"/>
      <c r="L272" s="5"/>
      <c r="M272" s="5"/>
      <c r="N272" s="6"/>
      <c r="O272" s="4"/>
      <c r="P272" s="5"/>
      <c r="Q272" s="5"/>
      <c r="R272" s="5"/>
      <c r="S272" s="5"/>
      <c r="T272" s="5"/>
      <c r="U272" s="5"/>
      <c r="V272" s="5"/>
      <c r="W272" s="5"/>
      <c r="X272" s="6"/>
      <c r="Y272" s="4"/>
      <c r="Z272" s="5"/>
      <c r="AA272" s="5"/>
      <c r="AB272" s="5"/>
      <c r="AC272" s="5"/>
      <c r="AD272" s="5"/>
      <c r="AE272" s="5"/>
      <c r="AF272" s="5"/>
      <c r="AG272" s="5"/>
      <c r="AH272" s="5"/>
      <c r="AI272" s="6"/>
    </row>
    <row r="273" spans="1:35" x14ac:dyDescent="0.2">
      <c r="E273" s="4"/>
      <c r="F273" s="5"/>
      <c r="G273" s="5"/>
      <c r="H273" s="5"/>
      <c r="I273" s="5"/>
      <c r="J273" s="5"/>
      <c r="K273" s="5"/>
      <c r="L273" s="5"/>
      <c r="M273" s="5"/>
      <c r="N273" s="6"/>
      <c r="O273" s="4"/>
      <c r="P273" s="5"/>
      <c r="Q273" s="5"/>
      <c r="R273" s="5"/>
      <c r="S273" s="5"/>
      <c r="T273" s="5"/>
      <c r="U273" s="5"/>
      <c r="V273" s="5"/>
      <c r="W273" s="5"/>
      <c r="X273" s="6"/>
      <c r="Y273" s="4"/>
      <c r="Z273" s="5"/>
      <c r="AA273" s="5"/>
      <c r="AB273" s="5"/>
      <c r="AC273" s="5"/>
      <c r="AD273" s="5"/>
      <c r="AE273" s="5"/>
      <c r="AF273" s="5"/>
      <c r="AG273" s="5"/>
      <c r="AH273" s="5"/>
      <c r="AI273" s="6"/>
    </row>
    <row r="274" spans="1:35" x14ac:dyDescent="0.2">
      <c r="A274">
        <v>510960</v>
      </c>
      <c r="B274" t="s">
        <v>359</v>
      </c>
      <c r="C274" t="s">
        <v>360</v>
      </c>
      <c r="D274" t="s">
        <v>361</v>
      </c>
      <c r="E274" s="4">
        <v>4</v>
      </c>
      <c r="F274" s="5" t="s">
        <v>391</v>
      </c>
      <c r="G274" s="5"/>
      <c r="H274" s="5">
        <v>8595</v>
      </c>
      <c r="I274" s="5">
        <v>2238</v>
      </c>
      <c r="J274" s="8">
        <v>5932</v>
      </c>
      <c r="K274" s="5">
        <f>389+36</f>
        <v>425</v>
      </c>
      <c r="L274" s="5">
        <f t="shared" ref="L274:L281" si="102">I274+J274+K274</f>
        <v>8595</v>
      </c>
      <c r="M274" s="5">
        <f t="shared" ref="M274:M281" si="103">L274-H274</f>
        <v>0</v>
      </c>
      <c r="N274" s="6">
        <f t="shared" ref="N274:N281" si="104">(I274-J274)/H274</f>
        <v>-0.42978475858057008</v>
      </c>
      <c r="O274" s="4">
        <v>17</v>
      </c>
      <c r="P274" s="5"/>
      <c r="Q274" s="5">
        <v>10264</v>
      </c>
      <c r="R274" s="5">
        <v>4283</v>
      </c>
      <c r="S274" s="8">
        <v>5702</v>
      </c>
      <c r="T274" s="8">
        <v>6</v>
      </c>
      <c r="U274" s="8">
        <v>273</v>
      </c>
      <c r="V274" s="5">
        <f t="shared" ref="V274:V281" si="105">R274+S274+T274+U274</f>
        <v>10264</v>
      </c>
      <c r="W274" s="5">
        <f t="shared" ref="W274:W281" si="106">V274-Q274</f>
        <v>0</v>
      </c>
      <c r="X274" s="6">
        <f t="shared" ref="X274:X281" si="107">(R274-S274)/Q274</f>
        <v>-0.1382501948558067</v>
      </c>
      <c r="Y274" s="4">
        <v>18</v>
      </c>
      <c r="Z274" s="5"/>
      <c r="AA274" s="5"/>
      <c r="AB274" s="5">
        <v>11769</v>
      </c>
      <c r="AC274" s="5">
        <v>5361</v>
      </c>
      <c r="AD274" s="8">
        <v>5442</v>
      </c>
      <c r="AE274" s="8"/>
      <c r="AF274" s="8">
        <v>966</v>
      </c>
      <c r="AG274" s="5">
        <f t="shared" ref="AG274:AG281" si="108">AC274+AD274+AE274+AF274</f>
        <v>11769</v>
      </c>
      <c r="AH274" s="5">
        <f t="shared" ref="AH274:AH281" si="109">AG274-AB274</f>
        <v>0</v>
      </c>
      <c r="AI274" s="6">
        <f t="shared" ref="AI274:AI281" si="110">(AC274-AD274)/AB274</f>
        <v>-6.8824878919194494E-3</v>
      </c>
    </row>
    <row r="275" spans="1:35" x14ac:dyDescent="0.2">
      <c r="A275">
        <v>510242</v>
      </c>
      <c r="B275" t="s">
        <v>359</v>
      </c>
      <c r="C275" s="2" t="s">
        <v>362</v>
      </c>
      <c r="D275" t="s">
        <v>162</v>
      </c>
      <c r="E275" s="4">
        <v>5</v>
      </c>
      <c r="F275" s="5" t="s">
        <v>620</v>
      </c>
      <c r="G275" s="5">
        <v>1</v>
      </c>
      <c r="H275" s="5">
        <v>9172</v>
      </c>
      <c r="I275" s="5">
        <v>4994</v>
      </c>
      <c r="J275" s="8">
        <v>3918</v>
      </c>
      <c r="K275" s="5">
        <f>240+20</f>
        <v>260</v>
      </c>
      <c r="L275" s="5">
        <f t="shared" si="102"/>
        <v>9172</v>
      </c>
      <c r="M275" s="5">
        <f t="shared" si="103"/>
        <v>0</v>
      </c>
      <c r="N275" s="6">
        <f t="shared" si="104"/>
        <v>0.11731356301788051</v>
      </c>
      <c r="O275" s="4">
        <v>26</v>
      </c>
      <c r="P275" s="5">
        <v>1</v>
      </c>
      <c r="Q275" s="5">
        <v>28079</v>
      </c>
      <c r="R275" s="5">
        <v>14009</v>
      </c>
      <c r="S275" s="8">
        <v>12580</v>
      </c>
      <c r="T275" s="8">
        <v>47</v>
      </c>
      <c r="U275" s="8">
        <v>1443</v>
      </c>
      <c r="V275" s="5">
        <f t="shared" si="105"/>
        <v>28079</v>
      </c>
      <c r="W275" s="5">
        <f t="shared" si="106"/>
        <v>0</v>
      </c>
      <c r="X275" s="6">
        <f t="shared" si="107"/>
        <v>5.0892125787955413E-2</v>
      </c>
      <c r="Y275" s="4">
        <v>12</v>
      </c>
      <c r="Z275" s="5"/>
      <c r="AA275" s="5">
        <v>1</v>
      </c>
      <c r="AB275" s="5">
        <v>13921</v>
      </c>
      <c r="AC275" s="5">
        <v>10063</v>
      </c>
      <c r="AD275" s="8">
        <v>3029</v>
      </c>
      <c r="AE275" s="8"/>
      <c r="AF275" s="8">
        <v>829</v>
      </c>
      <c r="AG275" s="5">
        <f t="shared" si="108"/>
        <v>13921</v>
      </c>
      <c r="AH275" s="5">
        <f t="shared" si="109"/>
        <v>0</v>
      </c>
      <c r="AI275" s="6">
        <f t="shared" si="110"/>
        <v>0.50527979311831051</v>
      </c>
    </row>
    <row r="276" spans="1:35" x14ac:dyDescent="0.2">
      <c r="A276">
        <v>510875</v>
      </c>
      <c r="B276" t="s">
        <v>359</v>
      </c>
      <c r="C276" t="s">
        <v>162</v>
      </c>
      <c r="D276" t="s">
        <v>162</v>
      </c>
      <c r="E276" s="4">
        <v>4</v>
      </c>
      <c r="F276" s="5" t="s">
        <v>392</v>
      </c>
      <c r="G276" s="5"/>
      <c r="H276" s="5">
        <v>38753</v>
      </c>
      <c r="I276" s="5">
        <v>10625</v>
      </c>
      <c r="J276" s="8">
        <v>26778</v>
      </c>
      <c r="K276" s="5">
        <f>1156+194</f>
        <v>1350</v>
      </c>
      <c r="L276" s="5">
        <f t="shared" si="102"/>
        <v>38753</v>
      </c>
      <c r="M276" s="5">
        <f t="shared" si="103"/>
        <v>0</v>
      </c>
      <c r="N276" s="6">
        <f t="shared" si="104"/>
        <v>-0.41681934301860502</v>
      </c>
      <c r="O276" s="4">
        <v>17</v>
      </c>
      <c r="P276" s="5"/>
      <c r="Q276" s="5">
        <v>56122</v>
      </c>
      <c r="R276" s="5">
        <v>19303</v>
      </c>
      <c r="S276" s="8">
        <v>34731</v>
      </c>
      <c r="T276" s="8">
        <v>37</v>
      </c>
      <c r="U276" s="8">
        <v>2051</v>
      </c>
      <c r="V276" s="5">
        <f t="shared" si="105"/>
        <v>56122</v>
      </c>
      <c r="W276" s="5">
        <f t="shared" si="106"/>
        <v>0</v>
      </c>
      <c r="X276" s="6">
        <f t="shared" si="107"/>
        <v>-0.27490110829977549</v>
      </c>
      <c r="Y276" s="4">
        <v>12</v>
      </c>
      <c r="Z276" s="5"/>
      <c r="AA276" s="5"/>
      <c r="AB276" s="5">
        <v>87560</v>
      </c>
      <c r="AC276" s="5">
        <v>38122</v>
      </c>
      <c r="AD276" s="8">
        <v>43709</v>
      </c>
      <c r="AE276" s="8"/>
      <c r="AF276" s="8">
        <v>5729</v>
      </c>
      <c r="AG276" s="5">
        <f t="shared" si="108"/>
        <v>87560</v>
      </c>
      <c r="AH276" s="5">
        <f t="shared" si="109"/>
        <v>0</v>
      </c>
      <c r="AI276" s="6">
        <f t="shared" si="110"/>
        <v>-6.3807674737322975E-2</v>
      </c>
    </row>
    <row r="277" spans="1:35" x14ac:dyDescent="0.2">
      <c r="A277">
        <v>511200</v>
      </c>
      <c r="B277" t="s">
        <v>359</v>
      </c>
      <c r="C277" t="s">
        <v>172</v>
      </c>
      <c r="D277" t="s">
        <v>363</v>
      </c>
      <c r="E277" s="4">
        <v>4</v>
      </c>
      <c r="F277" s="5" t="s">
        <v>393</v>
      </c>
      <c r="G277" s="5"/>
      <c r="H277" s="5">
        <v>3026</v>
      </c>
      <c r="I277" s="5">
        <v>897</v>
      </c>
      <c r="J277" s="8">
        <v>2081</v>
      </c>
      <c r="K277" s="5">
        <f>45+3</f>
        <v>48</v>
      </c>
      <c r="L277" s="5">
        <f t="shared" si="102"/>
        <v>3026</v>
      </c>
      <c r="M277" s="5">
        <f t="shared" si="103"/>
        <v>0</v>
      </c>
      <c r="N277" s="6">
        <f t="shared" si="104"/>
        <v>-0.39127561136814276</v>
      </c>
      <c r="O277" s="4">
        <v>17</v>
      </c>
      <c r="P277" s="5"/>
      <c r="Q277" s="5">
        <v>3664</v>
      </c>
      <c r="R277" s="5">
        <v>1394</v>
      </c>
      <c r="S277" s="8">
        <v>2171</v>
      </c>
      <c r="T277" s="8">
        <v>1</v>
      </c>
      <c r="U277" s="8">
        <v>98</v>
      </c>
      <c r="V277" s="5">
        <f t="shared" si="105"/>
        <v>3664</v>
      </c>
      <c r="W277" s="5">
        <f t="shared" si="106"/>
        <v>0</v>
      </c>
      <c r="X277" s="6">
        <f t="shared" si="107"/>
        <v>-0.21206331877729256</v>
      </c>
      <c r="Y277" s="4">
        <v>28</v>
      </c>
      <c r="Z277" s="5"/>
      <c r="AA277" s="5">
        <v>1</v>
      </c>
      <c r="AB277" s="8">
        <v>8648</v>
      </c>
      <c r="AC277" s="8">
        <v>4431</v>
      </c>
      <c r="AD277" s="8">
        <v>3440</v>
      </c>
      <c r="AE277" s="8"/>
      <c r="AF277" s="8">
        <v>777</v>
      </c>
      <c r="AG277" s="5">
        <f t="shared" si="108"/>
        <v>8648</v>
      </c>
      <c r="AH277" s="5">
        <f t="shared" si="109"/>
        <v>0</v>
      </c>
      <c r="AI277" s="6">
        <f t="shared" si="110"/>
        <v>0.11459296947271046</v>
      </c>
    </row>
    <row r="278" spans="1:35" x14ac:dyDescent="0.2">
      <c r="A278">
        <v>510860</v>
      </c>
      <c r="B278" t="s">
        <v>359</v>
      </c>
      <c r="C278" t="s">
        <v>364</v>
      </c>
      <c r="D278" t="s">
        <v>365</v>
      </c>
      <c r="E278" s="4">
        <v>4</v>
      </c>
      <c r="F278" s="5" t="s">
        <v>394</v>
      </c>
      <c r="G278" s="5"/>
      <c r="H278" s="5">
        <v>10004</v>
      </c>
      <c r="I278" s="5">
        <v>2908</v>
      </c>
      <c r="J278" s="8">
        <v>6816</v>
      </c>
      <c r="K278" s="5">
        <f>260+20</f>
        <v>280</v>
      </c>
      <c r="L278" s="5">
        <f t="shared" si="102"/>
        <v>10004</v>
      </c>
      <c r="M278" s="5">
        <f t="shared" si="103"/>
        <v>0</v>
      </c>
      <c r="N278" s="6">
        <f t="shared" si="104"/>
        <v>-0.39064374250299883</v>
      </c>
      <c r="O278" s="4">
        <v>17</v>
      </c>
      <c r="P278" s="5"/>
      <c r="Q278" s="5">
        <v>12350</v>
      </c>
      <c r="R278" s="5">
        <v>4389</v>
      </c>
      <c r="S278" s="8">
        <v>7338</v>
      </c>
      <c r="T278" s="8">
        <v>17</v>
      </c>
      <c r="U278" s="8">
        <v>606</v>
      </c>
      <c r="V278" s="5">
        <f t="shared" si="105"/>
        <v>12350</v>
      </c>
      <c r="W278" s="5">
        <f t="shared" si="106"/>
        <v>0</v>
      </c>
      <c r="X278" s="6">
        <f t="shared" si="107"/>
        <v>-0.23878542510121459</v>
      </c>
      <c r="Y278" s="4">
        <v>12</v>
      </c>
      <c r="Z278" s="5"/>
      <c r="AA278" s="5"/>
      <c r="AB278" s="5">
        <v>31946</v>
      </c>
      <c r="AC278" s="5">
        <v>14623</v>
      </c>
      <c r="AD278" s="8">
        <v>15346</v>
      </c>
      <c r="AE278" s="8"/>
      <c r="AF278" s="8">
        <v>1977</v>
      </c>
      <c r="AG278" s="5">
        <f t="shared" si="108"/>
        <v>31946</v>
      </c>
      <c r="AH278" s="5">
        <f t="shared" si="109"/>
        <v>0</v>
      </c>
      <c r="AI278" s="6">
        <f t="shared" si="110"/>
        <v>-2.263194140111438E-2</v>
      </c>
    </row>
    <row r="279" spans="1:35" x14ac:dyDescent="0.2">
      <c r="A279">
        <v>510760</v>
      </c>
      <c r="B279" t="s">
        <v>359</v>
      </c>
      <c r="C279" t="s">
        <v>366</v>
      </c>
      <c r="E279" s="4">
        <v>4</v>
      </c>
      <c r="F279" s="5" t="s">
        <v>395</v>
      </c>
      <c r="G279" s="5"/>
      <c r="H279" s="5">
        <v>11887</v>
      </c>
      <c r="I279" s="5">
        <v>4422</v>
      </c>
      <c r="J279" s="8">
        <v>7006</v>
      </c>
      <c r="K279" s="5">
        <f>445+14</f>
        <v>459</v>
      </c>
      <c r="L279" s="5">
        <f t="shared" si="102"/>
        <v>11887</v>
      </c>
      <c r="M279" s="5">
        <f t="shared" si="103"/>
        <v>0</v>
      </c>
      <c r="N279" s="6">
        <f t="shared" si="104"/>
        <v>-0.21738033145453015</v>
      </c>
      <c r="O279" s="4">
        <v>17</v>
      </c>
      <c r="P279" s="5"/>
      <c r="Q279" s="5">
        <v>13831</v>
      </c>
      <c r="R279" s="5">
        <v>6825</v>
      </c>
      <c r="S279" s="8">
        <v>6641</v>
      </c>
      <c r="T279" s="8">
        <v>6</v>
      </c>
      <c r="U279" s="8">
        <v>359</v>
      </c>
      <c r="V279" s="5">
        <f t="shared" si="105"/>
        <v>13831</v>
      </c>
      <c r="W279" s="5">
        <f t="shared" si="106"/>
        <v>0</v>
      </c>
      <c r="X279" s="6">
        <f t="shared" si="107"/>
        <v>1.3303448774492082E-2</v>
      </c>
      <c r="Y279" s="4">
        <v>12</v>
      </c>
      <c r="Z279" s="5"/>
      <c r="AA279" s="5"/>
      <c r="AB279" s="8">
        <v>18143</v>
      </c>
      <c r="AC279" s="8">
        <v>10392</v>
      </c>
      <c r="AD279" s="8">
        <v>7010</v>
      </c>
      <c r="AE279" s="8"/>
      <c r="AF279" s="8">
        <v>741</v>
      </c>
      <c r="AG279" s="5">
        <f t="shared" si="108"/>
        <v>18143</v>
      </c>
      <c r="AH279" s="5">
        <f t="shared" si="109"/>
        <v>0</v>
      </c>
      <c r="AI279" s="6">
        <f t="shared" si="110"/>
        <v>0.18640798103951936</v>
      </c>
    </row>
    <row r="280" spans="1:35" x14ac:dyDescent="0.2">
      <c r="A280">
        <v>510990</v>
      </c>
      <c r="B280" t="s">
        <v>359</v>
      </c>
      <c r="C280" t="s">
        <v>212</v>
      </c>
      <c r="E280" s="4">
        <v>4</v>
      </c>
      <c r="F280" s="5" t="s">
        <v>396</v>
      </c>
      <c r="G280" s="5"/>
      <c r="H280" s="8">
        <v>13611</v>
      </c>
      <c r="I280" s="8">
        <v>4068</v>
      </c>
      <c r="J280" s="8">
        <v>9157</v>
      </c>
      <c r="K280" s="5">
        <f>358+28</f>
        <v>386</v>
      </c>
      <c r="L280" s="5">
        <f t="shared" si="102"/>
        <v>13611</v>
      </c>
      <c r="M280" s="5">
        <f t="shared" si="103"/>
        <v>0</v>
      </c>
      <c r="N280" s="6">
        <f t="shared" si="104"/>
        <v>-0.37388876643890973</v>
      </c>
      <c r="O280" s="4">
        <v>17</v>
      </c>
      <c r="P280" s="5"/>
      <c r="Q280" s="8">
        <v>20796</v>
      </c>
      <c r="R280" s="8">
        <v>8540</v>
      </c>
      <c r="S280" s="8">
        <v>11529</v>
      </c>
      <c r="T280" s="8">
        <v>25</v>
      </c>
      <c r="U280" s="8">
        <v>702</v>
      </c>
      <c r="V280" s="5">
        <f t="shared" si="105"/>
        <v>20796</v>
      </c>
      <c r="W280" s="5">
        <f t="shared" si="106"/>
        <v>0</v>
      </c>
      <c r="X280" s="6">
        <f t="shared" si="107"/>
        <v>-0.14372956337757262</v>
      </c>
      <c r="Y280" s="4">
        <v>12</v>
      </c>
      <c r="Z280" s="5"/>
      <c r="AA280" s="5"/>
      <c r="AB280" s="8">
        <v>33349</v>
      </c>
      <c r="AC280" s="8">
        <v>15213</v>
      </c>
      <c r="AD280" s="8">
        <v>15406</v>
      </c>
      <c r="AE280" s="8"/>
      <c r="AF280" s="8">
        <v>2730</v>
      </c>
      <c r="AG280" s="5">
        <f t="shared" si="108"/>
        <v>33349</v>
      </c>
      <c r="AH280" s="5">
        <f t="shared" si="109"/>
        <v>0</v>
      </c>
      <c r="AI280" s="6">
        <f t="shared" si="110"/>
        <v>-5.7872799784101474E-3</v>
      </c>
    </row>
    <row r="281" spans="1:35" x14ac:dyDescent="0.2">
      <c r="A281">
        <v>511035</v>
      </c>
      <c r="B281" t="s">
        <v>359</v>
      </c>
      <c r="C281" t="s">
        <v>367</v>
      </c>
      <c r="E281" s="4">
        <v>4</v>
      </c>
      <c r="F281" s="5" t="s">
        <v>397</v>
      </c>
      <c r="G281" s="5"/>
      <c r="H281" s="8">
        <v>52440</v>
      </c>
      <c r="I281" s="8">
        <v>14814</v>
      </c>
      <c r="J281" s="8">
        <v>36103</v>
      </c>
      <c r="K281" s="5">
        <f>1421+102</f>
        <v>1523</v>
      </c>
      <c r="L281" s="5">
        <f t="shared" si="102"/>
        <v>52440</v>
      </c>
      <c r="M281" s="5">
        <f t="shared" si="103"/>
        <v>0</v>
      </c>
      <c r="N281" s="6">
        <f t="shared" si="104"/>
        <v>-0.40596872616323415</v>
      </c>
      <c r="O281" s="4">
        <v>17</v>
      </c>
      <c r="P281" s="5"/>
      <c r="Q281" s="8">
        <v>66434</v>
      </c>
      <c r="R281" s="8">
        <v>30463</v>
      </c>
      <c r="S281" s="8">
        <v>34586</v>
      </c>
      <c r="T281" s="8">
        <v>27</v>
      </c>
      <c r="U281" s="8">
        <v>1358</v>
      </c>
      <c r="V281" s="5">
        <f t="shared" si="105"/>
        <v>66434</v>
      </c>
      <c r="W281" s="5">
        <f t="shared" si="106"/>
        <v>0</v>
      </c>
      <c r="X281" s="6">
        <f t="shared" si="107"/>
        <v>-6.2061594966432848E-2</v>
      </c>
      <c r="Y281" s="4">
        <v>12</v>
      </c>
      <c r="Z281" s="5"/>
      <c r="AA281" s="5"/>
      <c r="AB281" s="8">
        <v>102638</v>
      </c>
      <c r="AC281" s="8">
        <v>58411</v>
      </c>
      <c r="AD281" s="8">
        <v>40634</v>
      </c>
      <c r="AE281" s="8"/>
      <c r="AF281" s="8">
        <v>3593</v>
      </c>
      <c r="AG281" s="5">
        <f t="shared" si="108"/>
        <v>102638</v>
      </c>
      <c r="AH281" s="5">
        <f t="shared" si="109"/>
        <v>0</v>
      </c>
      <c r="AI281" s="6">
        <f t="shared" si="110"/>
        <v>0.17320095870924998</v>
      </c>
    </row>
    <row r="282" spans="1:35" x14ac:dyDescent="0.2">
      <c r="E282" s="4"/>
      <c r="F282" s="5"/>
      <c r="G282" s="5"/>
      <c r="H282" s="5"/>
      <c r="I282" s="5"/>
      <c r="J282" s="5"/>
      <c r="K282" s="5"/>
      <c r="L282" s="5"/>
      <c r="M282" s="5"/>
      <c r="N282" s="6"/>
      <c r="O282" s="4"/>
      <c r="P282" s="5"/>
      <c r="Q282" s="5"/>
      <c r="R282" s="5"/>
      <c r="S282" s="5"/>
      <c r="T282" s="5"/>
      <c r="U282" s="5"/>
      <c r="V282" s="5"/>
      <c r="W282" s="5"/>
      <c r="X282" s="6"/>
      <c r="Y282" s="4"/>
      <c r="Z282" s="5"/>
      <c r="AA282" s="5"/>
      <c r="AB282" s="5"/>
      <c r="AC282" s="5"/>
      <c r="AD282" s="5"/>
      <c r="AE282" s="5"/>
      <c r="AF282" s="5"/>
      <c r="AG282" s="5"/>
      <c r="AH282" s="5"/>
      <c r="AI282" s="6"/>
    </row>
    <row r="283" spans="1:35" x14ac:dyDescent="0.2">
      <c r="A283">
        <v>540280</v>
      </c>
      <c r="B283" t="s">
        <v>368</v>
      </c>
      <c r="C283" t="s">
        <v>323</v>
      </c>
      <c r="D283" t="s">
        <v>369</v>
      </c>
      <c r="E283" s="4">
        <v>4</v>
      </c>
      <c r="F283" s="5" t="s">
        <v>386</v>
      </c>
      <c r="G283" s="5"/>
      <c r="H283" s="8">
        <v>18517</v>
      </c>
      <c r="I283" s="8">
        <v>5487</v>
      </c>
      <c r="J283" s="8">
        <v>12463</v>
      </c>
      <c r="K283" s="5">
        <f>560+7</f>
        <v>567</v>
      </c>
      <c r="L283" s="5">
        <f>I283+J283+K283</f>
        <v>18517</v>
      </c>
      <c r="M283" s="5">
        <f>L283-H283</f>
        <v>0</v>
      </c>
      <c r="N283" s="6">
        <f>(I283-J283)/H283</f>
        <v>-0.37673489226116541</v>
      </c>
      <c r="O283" s="4">
        <v>17</v>
      </c>
      <c r="P283" s="5"/>
      <c r="Q283" s="8">
        <v>39372</v>
      </c>
      <c r="R283" s="8">
        <v>18139</v>
      </c>
      <c r="S283" s="8">
        <v>20209</v>
      </c>
      <c r="T283" s="8">
        <v>30</v>
      </c>
      <c r="U283" s="8">
        <v>994</v>
      </c>
      <c r="V283" s="5">
        <f>R283+S283+T283+U283</f>
        <v>39372</v>
      </c>
      <c r="W283" s="5">
        <f>V283-Q283</f>
        <v>0</v>
      </c>
      <c r="X283" s="6">
        <f>(R283-S283)/Q283</f>
        <v>-5.2575434318805243E-2</v>
      </c>
      <c r="Y283" s="4">
        <v>12</v>
      </c>
      <c r="Z283" s="5"/>
      <c r="AA283" s="5"/>
      <c r="AB283" s="8">
        <v>28603</v>
      </c>
      <c r="AC283" s="8">
        <v>13080</v>
      </c>
      <c r="AD283" s="8">
        <v>14206</v>
      </c>
      <c r="AE283" s="8"/>
      <c r="AF283" s="8">
        <v>1317</v>
      </c>
      <c r="AG283" s="5">
        <f>AC283+AD283+AE283+AF283</f>
        <v>28603</v>
      </c>
      <c r="AH283" s="5">
        <f>AG283-AB283</f>
        <v>0</v>
      </c>
      <c r="AI283" s="6">
        <f>(AC283-AD283)/AB283</f>
        <v>-3.9366500017480682E-2</v>
      </c>
    </row>
    <row r="284" spans="1:35" x14ac:dyDescent="0.2">
      <c r="A284">
        <v>541640</v>
      </c>
      <c r="B284" t="s">
        <v>368</v>
      </c>
      <c r="C284" t="s">
        <v>370</v>
      </c>
      <c r="D284" t="s">
        <v>371</v>
      </c>
      <c r="E284" s="4">
        <v>4</v>
      </c>
      <c r="F284" s="5" t="s">
        <v>370</v>
      </c>
      <c r="G284" s="5"/>
      <c r="H284" s="8">
        <v>1495</v>
      </c>
      <c r="I284" s="8">
        <v>359</v>
      </c>
      <c r="J284" s="8">
        <v>1128</v>
      </c>
      <c r="K284" s="5">
        <f>7+1</f>
        <v>8</v>
      </c>
      <c r="L284" s="5">
        <f>I284+J284+K284</f>
        <v>1495</v>
      </c>
      <c r="M284" s="5">
        <f>L284-H284</f>
        <v>0</v>
      </c>
      <c r="N284" s="6">
        <f>(I284-J284)/H284</f>
        <v>-0.51438127090301</v>
      </c>
      <c r="O284" s="4">
        <v>22</v>
      </c>
      <c r="P284" s="5"/>
      <c r="Q284" s="8">
        <v>1834</v>
      </c>
      <c r="R284" s="8">
        <v>603</v>
      </c>
      <c r="S284" s="8">
        <v>1195</v>
      </c>
      <c r="T284" s="8">
        <v>1</v>
      </c>
      <c r="U284" s="8">
        <v>35</v>
      </c>
      <c r="V284" s="5">
        <f>R284+S284+T284+U284</f>
        <v>1834</v>
      </c>
      <c r="W284" s="5">
        <f>V284-Q284</f>
        <v>0</v>
      </c>
      <c r="X284" s="6">
        <f>(R284-S284)/Q284</f>
        <v>-0.32279171210468921</v>
      </c>
      <c r="Y284" s="4">
        <v>25</v>
      </c>
      <c r="Z284" s="5"/>
      <c r="AA284" s="5"/>
      <c r="AB284" s="8">
        <v>1872</v>
      </c>
      <c r="AC284" s="8">
        <v>810</v>
      </c>
      <c r="AD284" s="8">
        <v>894</v>
      </c>
      <c r="AE284" s="8"/>
      <c r="AF284" s="8">
        <f>116+52</f>
        <v>168</v>
      </c>
      <c r="AG284" s="5">
        <f>AC284+AD284+AE284+AF284</f>
        <v>1872</v>
      </c>
      <c r="AH284" s="5">
        <f>AG284-AB284</f>
        <v>0</v>
      </c>
      <c r="AI284" s="6">
        <f>(AC284-AD284)/AB284</f>
        <v>-4.4871794871794872E-2</v>
      </c>
    </row>
    <row r="285" spans="1:35" x14ac:dyDescent="0.2">
      <c r="A285">
        <v>541690</v>
      </c>
      <c r="B285" t="s">
        <v>368</v>
      </c>
      <c r="C285" t="s">
        <v>372</v>
      </c>
      <c r="D285" t="s">
        <v>373</v>
      </c>
      <c r="E285" s="4">
        <v>4</v>
      </c>
      <c r="F285" s="5" t="s">
        <v>390</v>
      </c>
      <c r="G285" s="5"/>
      <c r="H285" s="8">
        <v>16917</v>
      </c>
      <c r="I285" s="8">
        <v>6524</v>
      </c>
      <c r="J285" s="8">
        <v>10031</v>
      </c>
      <c r="K285" s="5">
        <f>344+18</f>
        <v>362</v>
      </c>
      <c r="L285" s="5">
        <f>I285+J285+K285</f>
        <v>16917</v>
      </c>
      <c r="M285" s="5">
        <f>L285-H285</f>
        <v>0</v>
      </c>
      <c r="N285" s="6">
        <f>(I285-J285)/H285</f>
        <v>-0.20730625997517291</v>
      </c>
      <c r="O285" s="4">
        <v>17</v>
      </c>
      <c r="P285" s="5"/>
      <c r="Q285" s="8">
        <v>18380</v>
      </c>
      <c r="R285" s="8">
        <v>8474</v>
      </c>
      <c r="S285" s="8">
        <v>9507</v>
      </c>
      <c r="T285" s="8">
        <v>8</v>
      </c>
      <c r="U285" s="8">
        <v>391</v>
      </c>
      <c r="V285" s="5">
        <f>R285+S285+T285+U285</f>
        <v>18380</v>
      </c>
      <c r="W285" s="5">
        <f>V285-Q285</f>
        <v>0</v>
      </c>
      <c r="X285" s="6">
        <f>(R285-S285)/Q285</f>
        <v>-5.6202393906420019E-2</v>
      </c>
      <c r="Y285" s="4">
        <v>12</v>
      </c>
      <c r="Z285" s="5"/>
      <c r="AA285" s="5"/>
      <c r="AB285" s="8">
        <v>18902</v>
      </c>
      <c r="AC285" s="8">
        <v>9455</v>
      </c>
      <c r="AD285" s="8">
        <v>8235</v>
      </c>
      <c r="AE285" s="8"/>
      <c r="AF285" s="8">
        <v>1212</v>
      </c>
      <c r="AG285" s="5">
        <f>AC285+AD285+AE285+AF285</f>
        <v>18902</v>
      </c>
      <c r="AH285" s="5">
        <f>AG285-AB285</f>
        <v>0</v>
      </c>
      <c r="AI285" s="6">
        <f>(AC285-AD285)/AB285</f>
        <v>6.4543434557189722E-2</v>
      </c>
    </row>
    <row r="286" spans="1:35" x14ac:dyDescent="0.2">
      <c r="E286" s="4"/>
      <c r="F286" s="5"/>
      <c r="G286" s="5"/>
      <c r="H286" s="5"/>
      <c r="I286" s="5"/>
      <c r="J286" s="5"/>
      <c r="K286" s="5"/>
      <c r="L286" s="5"/>
      <c r="M286" s="5"/>
      <c r="N286" s="6"/>
      <c r="O286" s="4"/>
      <c r="P286" s="5"/>
      <c r="Q286" s="5"/>
      <c r="R286" s="5"/>
      <c r="S286" s="5"/>
      <c r="T286" s="5"/>
      <c r="U286" s="5"/>
      <c r="V286" s="5"/>
      <c r="W286" s="5"/>
      <c r="X286" s="6"/>
      <c r="Y286" s="4"/>
      <c r="Z286" s="5"/>
      <c r="AA286" s="5"/>
      <c r="AB286" s="5"/>
      <c r="AC286" s="5"/>
      <c r="AD286" s="5"/>
      <c r="AE286" s="5"/>
      <c r="AF286" s="5"/>
      <c r="AG286" s="5"/>
      <c r="AH286" s="5"/>
      <c r="AI286" s="6"/>
    </row>
    <row r="287" spans="1:35" x14ac:dyDescent="0.2">
      <c r="A287">
        <v>550810</v>
      </c>
      <c r="B287" t="s">
        <v>374</v>
      </c>
      <c r="C287" t="s">
        <v>375</v>
      </c>
      <c r="D287" t="s">
        <v>376</v>
      </c>
      <c r="E287" s="4">
        <v>5</v>
      </c>
      <c r="F287" s="5" t="s">
        <v>385</v>
      </c>
      <c r="G287" s="5"/>
      <c r="H287" s="8">
        <v>751</v>
      </c>
      <c r="I287" s="8">
        <v>462</v>
      </c>
      <c r="J287" s="8">
        <v>274</v>
      </c>
      <c r="K287" s="5">
        <f>11+4</f>
        <v>15</v>
      </c>
      <c r="L287" s="5">
        <f>I287+J287+K287</f>
        <v>751</v>
      </c>
      <c r="M287" s="5">
        <f>L287-H287</f>
        <v>0</v>
      </c>
      <c r="N287" s="6">
        <f>(I287-J287)/H287</f>
        <v>0.25033288948069243</v>
      </c>
      <c r="O287" s="4">
        <v>22</v>
      </c>
      <c r="P287" s="5"/>
      <c r="Q287" s="8">
        <v>994</v>
      </c>
      <c r="R287" s="8">
        <v>636</v>
      </c>
      <c r="S287" s="8">
        <v>328</v>
      </c>
      <c r="T287" s="8">
        <v>1</v>
      </c>
      <c r="U287" s="8">
        <v>29</v>
      </c>
      <c r="V287" s="5">
        <f>R287+S287+T287+U287</f>
        <v>994</v>
      </c>
      <c r="W287" s="5">
        <f>V287-Q287</f>
        <v>0</v>
      </c>
      <c r="X287" s="6">
        <f>(R287-S287)/Q287</f>
        <v>0.30985915492957744</v>
      </c>
      <c r="Y287" s="4">
        <v>25</v>
      </c>
      <c r="Z287" s="5"/>
      <c r="AA287" s="5"/>
      <c r="AB287" s="8">
        <v>1217</v>
      </c>
      <c r="AC287" s="8">
        <v>828</v>
      </c>
      <c r="AD287" s="8">
        <v>362</v>
      </c>
      <c r="AE287" s="8"/>
      <c r="AF287" s="8">
        <f>13+14</f>
        <v>27</v>
      </c>
      <c r="AG287" s="5">
        <f>AC287+AD287+AE287+AF287</f>
        <v>1217</v>
      </c>
      <c r="AH287" s="5">
        <f>AG287-AB287</f>
        <v>0</v>
      </c>
      <c r="AI287" s="6">
        <f>(AC287-AD287)/AB287</f>
        <v>0.38290879211175022</v>
      </c>
    </row>
    <row r="289" spans="5:25" x14ac:dyDescent="0.2">
      <c r="E289" s="10" t="s">
        <v>647</v>
      </c>
      <c r="O289" s="10" t="s">
        <v>665</v>
      </c>
      <c r="Y289" s="10" t="s">
        <v>670</v>
      </c>
    </row>
    <row r="290" spans="5:25" x14ac:dyDescent="0.2">
      <c r="E290" s="10" t="s">
        <v>648</v>
      </c>
      <c r="O290" s="10" t="s">
        <v>664</v>
      </c>
      <c r="Y290" s="10" t="s">
        <v>671</v>
      </c>
    </row>
    <row r="291" spans="5:25" x14ac:dyDescent="0.2">
      <c r="E291" s="10" t="s">
        <v>649</v>
      </c>
      <c r="O291" s="3" t="s">
        <v>663</v>
      </c>
      <c r="Y291" s="10" t="s">
        <v>672</v>
      </c>
    </row>
    <row r="292" spans="5:25" x14ac:dyDescent="0.2">
      <c r="Y292" s="10" t="s">
        <v>673</v>
      </c>
    </row>
    <row r="293" spans="5:25" x14ac:dyDescent="0.2">
      <c r="Y293" s="10" t="s">
        <v>674</v>
      </c>
    </row>
  </sheetData>
  <mergeCells count="3">
    <mergeCell ref="E1:N1"/>
    <mergeCell ref="O1:X1"/>
    <mergeCell ref="Y1:AI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1940,1950,1960_RACE</vt:lpstr>
      <vt:lpstr>1940,1950,1960_OCC</vt:lpstr>
      <vt:lpstr>'1940,1950,1960_OCC'!Print_Area</vt:lpstr>
      <vt:lpstr>'1940,1950,1960_RACE'!Print_Area</vt:lpstr>
      <vt:lpstr>'1940,1950,1960_OCC'!Print_Titles</vt:lpstr>
      <vt:lpstr>'1940,1950,1960_RACE'!Print_Titles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</dc:creator>
  <cp:lastModifiedBy>Microsoft Office User</cp:lastModifiedBy>
  <cp:lastPrinted>2020-02-11T22:25:13Z</cp:lastPrinted>
  <dcterms:created xsi:type="dcterms:W3CDTF">2019-11-20T19:33:01Z</dcterms:created>
  <dcterms:modified xsi:type="dcterms:W3CDTF">2021-11-23T14:56:46Z</dcterms:modified>
</cp:coreProperties>
</file>