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" windowWidth="27977" windowHeight="12514" activeTab="1"/>
  </bookViews>
  <sheets>
    <sheet name="MarketData" sheetId="4" r:id="rId1"/>
    <sheet name="Sensitivity" sheetId="2" r:id="rId2"/>
    <sheet name="DeltaCapital" sheetId="3" r:id="rId3"/>
  </sheets>
  <definedNames>
    <definedName name="d_r">Sensitivity!$G$3</definedName>
  </definedNames>
  <calcPr calcId="124519"/>
</workbook>
</file>

<file path=xl/calcChain.xml><?xml version="1.0" encoding="utf-8"?>
<calcChain xmlns="http://schemas.openxmlformats.org/spreadsheetml/2006/main">
  <c r="E14" i="2"/>
  <c r="G16" l="1"/>
  <c r="E16"/>
  <c r="E15"/>
  <c r="E13"/>
  <c r="E12"/>
  <c r="E11"/>
  <c r="E10"/>
  <c r="E9"/>
  <c r="E8"/>
  <c r="E7"/>
  <c r="D29"/>
  <c r="D3" i="4"/>
  <c r="H31" i="2" l="1"/>
  <c r="H26" l="1"/>
  <c r="H20"/>
  <c r="C7" l="1"/>
  <c r="C8"/>
  <c r="C9"/>
  <c r="C10"/>
  <c r="C11"/>
  <c r="C12"/>
  <c r="C13"/>
  <c r="C14"/>
  <c r="C15"/>
  <c r="C16"/>
  <c r="C6"/>
  <c r="D2"/>
  <c r="D3"/>
  <c r="C68" i="4" l="1"/>
  <c r="G68" s="1"/>
  <c r="C67"/>
  <c r="F67" s="1"/>
  <c r="C66"/>
  <c r="G66" s="1"/>
  <c r="C65"/>
  <c r="F65" s="1"/>
  <c r="C64"/>
  <c r="G64" s="1"/>
  <c r="C63"/>
  <c r="F63" s="1"/>
  <c r="C62"/>
  <c r="G62" s="1"/>
  <c r="C61"/>
  <c r="G61" s="1"/>
  <c r="C60"/>
  <c r="G60" s="1"/>
  <c r="C59"/>
  <c r="F59" s="1"/>
  <c r="C58"/>
  <c r="G58" s="1"/>
  <c r="C57"/>
  <c r="G57" s="1"/>
  <c r="C56"/>
  <c r="G56" s="1"/>
  <c r="C55"/>
  <c r="F55" s="1"/>
  <c r="C54"/>
  <c r="G54" s="1"/>
  <c r="C53"/>
  <c r="F53" s="1"/>
  <c r="C52"/>
  <c r="G52" s="1"/>
  <c r="C51"/>
  <c r="F51" s="1"/>
  <c r="C50"/>
  <c r="G50" s="1"/>
  <c r="C49"/>
  <c r="G49" s="1"/>
  <c r="C48"/>
  <c r="G48" s="1"/>
  <c r="C47"/>
  <c r="F47" s="1"/>
  <c r="C46"/>
  <c r="G46" s="1"/>
  <c r="C45"/>
  <c r="G45" s="1"/>
  <c r="C44"/>
  <c r="G44" s="1"/>
  <c r="C43"/>
  <c r="F43" s="1"/>
  <c r="C42"/>
  <c r="G42" s="1"/>
  <c r="C41"/>
  <c r="F41" s="1"/>
  <c r="C40"/>
  <c r="G40" s="1"/>
  <c r="C39"/>
  <c r="F39" s="1"/>
  <c r="C38"/>
  <c r="G38" s="1"/>
  <c r="C37"/>
  <c r="G37" s="1"/>
  <c r="C36"/>
  <c r="G36" s="1"/>
  <c r="C35"/>
  <c r="F35" s="1"/>
  <c r="C34"/>
  <c r="G34" s="1"/>
  <c r="C33"/>
  <c r="G33" s="1"/>
  <c r="C32"/>
  <c r="G32" s="1"/>
  <c r="C31"/>
  <c r="F31" s="1"/>
  <c r="C30"/>
  <c r="G30" s="1"/>
  <c r="C29"/>
  <c r="F29" s="1"/>
  <c r="C28"/>
  <c r="G28" s="1"/>
  <c r="L27"/>
  <c r="C27"/>
  <c r="F27" s="1"/>
  <c r="L26"/>
  <c r="C26"/>
  <c r="G26" s="1"/>
  <c r="L25"/>
  <c r="C25"/>
  <c r="G25" s="1"/>
  <c r="L24"/>
  <c r="C24"/>
  <c r="G24" s="1"/>
  <c r="L23"/>
  <c r="C23"/>
  <c r="F23" s="1"/>
  <c r="L22"/>
  <c r="C22"/>
  <c r="F22" s="1"/>
  <c r="L21"/>
  <c r="C21"/>
  <c r="G21" s="1"/>
  <c r="L20"/>
  <c r="C20"/>
  <c r="F20" s="1"/>
  <c r="L19"/>
  <c r="C19"/>
  <c r="G19" s="1"/>
  <c r="L18"/>
  <c r="C18"/>
  <c r="F18" s="1"/>
  <c r="L17"/>
  <c r="C17"/>
  <c r="G17" s="1"/>
  <c r="C16"/>
  <c r="G16" s="1"/>
  <c r="C15"/>
  <c r="F15" s="1"/>
  <c r="F14"/>
  <c r="C14"/>
  <c r="G14" s="1"/>
  <c r="C13"/>
  <c r="F13" s="1"/>
  <c r="C12"/>
  <c r="G12" s="1"/>
  <c r="C11"/>
  <c r="F11" s="1"/>
  <c r="C10"/>
  <c r="G10" s="1"/>
  <c r="C9"/>
  <c r="F9" s="1"/>
  <c r="C8"/>
  <c r="G8" s="1"/>
  <c r="C7"/>
  <c r="G7" s="1"/>
  <c r="C6"/>
  <c r="G63" l="1"/>
  <c r="F68"/>
  <c r="F24"/>
  <c r="F57"/>
  <c r="G39"/>
  <c r="G13"/>
  <c r="F17"/>
  <c r="F32"/>
  <c r="F7"/>
  <c r="F19"/>
  <c r="G27"/>
  <c r="G9"/>
  <c r="F12"/>
  <c r="F26"/>
  <c r="F28"/>
  <c r="G53"/>
  <c r="G11"/>
  <c r="F46"/>
  <c r="F61"/>
  <c r="F64"/>
  <c r="F16"/>
  <c r="F34"/>
  <c r="G41"/>
  <c r="F45"/>
  <c r="F49"/>
  <c r="F52"/>
  <c r="F56"/>
  <c r="F8"/>
  <c r="G15"/>
  <c r="G29"/>
  <c r="F33"/>
  <c r="F37"/>
  <c r="F40"/>
  <c r="F44"/>
  <c r="G51"/>
  <c r="F58"/>
  <c r="G65"/>
  <c r="F10"/>
  <c r="G20"/>
  <c r="G22"/>
  <c r="G31"/>
  <c r="F36"/>
  <c r="G43"/>
  <c r="F48"/>
  <c r="G55"/>
  <c r="F60"/>
  <c r="G67"/>
  <c r="F25"/>
  <c r="F38"/>
  <c r="F50"/>
  <c r="F62"/>
  <c r="G23"/>
  <c r="G35"/>
  <c r="G47"/>
  <c r="G59"/>
  <c r="F30"/>
  <c r="F42"/>
  <c r="F54"/>
  <c r="F66"/>
  <c r="G18"/>
  <c r="F21"/>
  <c r="J2" i="3" l="1"/>
  <c r="L4" s="1"/>
  <c r="R9"/>
  <c r="Q9"/>
  <c r="W8" i="2"/>
  <c r="W27" s="1"/>
  <c r="X8"/>
  <c r="X46" s="1"/>
  <c r="Y8"/>
  <c r="Y27" s="1"/>
  <c r="Z8"/>
  <c r="Z27" s="1"/>
  <c r="AA8"/>
  <c r="AA27" s="1"/>
  <c r="AB8"/>
  <c r="AB46" s="1"/>
  <c r="AC8"/>
  <c r="AC27" s="1"/>
  <c r="AD8"/>
  <c r="AD27" s="1"/>
  <c r="AE8"/>
  <c r="AE27" s="1"/>
  <c r="AF8"/>
  <c r="AF27" s="1"/>
  <c r="W9"/>
  <c r="W47" s="1"/>
  <c r="X9"/>
  <c r="X47" s="1"/>
  <c r="Y9"/>
  <c r="Y28" s="1"/>
  <c r="Z9"/>
  <c r="Z28" s="1"/>
  <c r="AA9"/>
  <c r="AA28" s="1"/>
  <c r="AB9"/>
  <c r="AB28" s="1"/>
  <c r="AC9"/>
  <c r="AC47" s="1"/>
  <c r="AD9"/>
  <c r="AD47" s="1"/>
  <c r="AE9"/>
  <c r="AE28" s="1"/>
  <c r="AF9"/>
  <c r="AF47" s="1"/>
  <c r="W10"/>
  <c r="W29" s="1"/>
  <c r="X10"/>
  <c r="X29" s="1"/>
  <c r="Y10"/>
  <c r="Y29" s="1"/>
  <c r="Z10"/>
  <c r="Z48" s="1"/>
  <c r="AA10"/>
  <c r="AA29" s="1"/>
  <c r="AB10"/>
  <c r="AB29" s="1"/>
  <c r="AC10"/>
  <c r="AC29" s="1"/>
  <c r="AD10"/>
  <c r="AD29" s="1"/>
  <c r="AE10"/>
  <c r="AE48" s="1"/>
  <c r="AF10"/>
  <c r="AF48" s="1"/>
  <c r="W11"/>
  <c r="W30" s="1"/>
  <c r="X11"/>
  <c r="X30" s="1"/>
  <c r="Y11"/>
  <c r="Y30" s="1"/>
  <c r="Z11"/>
  <c r="Z30" s="1"/>
  <c r="AA11"/>
  <c r="AA49" s="1"/>
  <c r="AB11"/>
  <c r="AB49" s="1"/>
  <c r="AC11"/>
  <c r="AC30" s="1"/>
  <c r="AD11"/>
  <c r="AD49" s="1"/>
  <c r="AE11"/>
  <c r="AE30" s="1"/>
  <c r="AF11"/>
  <c r="AF30" s="1"/>
  <c r="W12"/>
  <c r="W31" s="1"/>
  <c r="X12"/>
  <c r="X50" s="1"/>
  <c r="Y12"/>
  <c r="Y31" s="1"/>
  <c r="Z12"/>
  <c r="Z31" s="1"/>
  <c r="AA12"/>
  <c r="AA31" s="1"/>
  <c r="AB12"/>
  <c r="AB31" s="1"/>
  <c r="AC12"/>
  <c r="AC50" s="1"/>
  <c r="AD12"/>
  <c r="AD50" s="1"/>
  <c r="AE12"/>
  <c r="AE31" s="1"/>
  <c r="AF12"/>
  <c r="AF31" s="1"/>
  <c r="W13"/>
  <c r="W32" s="1"/>
  <c r="X13"/>
  <c r="X32" s="1"/>
  <c r="Y13"/>
  <c r="Y51" s="1"/>
  <c r="Z13"/>
  <c r="Z51" s="1"/>
  <c r="AA13"/>
  <c r="AA32" s="1"/>
  <c r="AB13"/>
  <c r="AB51" s="1"/>
  <c r="AC13"/>
  <c r="AC32" s="1"/>
  <c r="AD13"/>
  <c r="AD32" s="1"/>
  <c r="AE13"/>
  <c r="AE32" s="1"/>
  <c r="AF13"/>
  <c r="AF51" s="1"/>
  <c r="W14"/>
  <c r="W33" s="1"/>
  <c r="X14"/>
  <c r="X33" s="1"/>
  <c r="Y14"/>
  <c r="Y33" s="1"/>
  <c r="Z14"/>
  <c r="Z33" s="1"/>
  <c r="AA14"/>
  <c r="AA52" s="1"/>
  <c r="AB14"/>
  <c r="AB52" s="1"/>
  <c r="AC14"/>
  <c r="AC33" s="1"/>
  <c r="AD14"/>
  <c r="AD33" s="1"/>
  <c r="AE14"/>
  <c r="AE33" s="1"/>
  <c r="AF14"/>
  <c r="AF33" s="1"/>
  <c r="W15"/>
  <c r="W53" s="1"/>
  <c r="X15"/>
  <c r="X53" s="1"/>
  <c r="Y15"/>
  <c r="Y34" s="1"/>
  <c r="Z15"/>
  <c r="Z34" s="1"/>
  <c r="AA15"/>
  <c r="AA34" s="1"/>
  <c r="AB15"/>
  <c r="AB34" s="1"/>
  <c r="AC15"/>
  <c r="AC34" s="1"/>
  <c r="AD15"/>
  <c r="AD53" s="1"/>
  <c r="AE15"/>
  <c r="AE34" s="1"/>
  <c r="AF15"/>
  <c r="AF34" s="1"/>
  <c r="W16"/>
  <c r="W35" s="1"/>
  <c r="X16"/>
  <c r="X35" s="1"/>
  <c r="Y16"/>
  <c r="Y35" s="1"/>
  <c r="Z16"/>
  <c r="Z54" s="1"/>
  <c r="AA16"/>
  <c r="AA35" s="1"/>
  <c r="AB16"/>
  <c r="AB35" s="1"/>
  <c r="AC16"/>
  <c r="AC35" s="1"/>
  <c r="AD16"/>
  <c r="AD35" s="1"/>
  <c r="AE16"/>
  <c r="AE35" s="1"/>
  <c r="AF16"/>
  <c r="AF54" s="1"/>
  <c r="X7"/>
  <c r="X26" s="1"/>
  <c r="Y7"/>
  <c r="Y26" s="1"/>
  <c r="Z7"/>
  <c r="Z26" s="1"/>
  <c r="AA7"/>
  <c r="AA26" s="1"/>
  <c r="AB7"/>
  <c r="AB45" s="1"/>
  <c r="AC7"/>
  <c r="AC45" s="1"/>
  <c r="AD7"/>
  <c r="AD26" s="1"/>
  <c r="AE7"/>
  <c r="AE45" s="1"/>
  <c r="AF7"/>
  <c r="AF26" s="1"/>
  <c r="W7"/>
  <c r="W26" s="1"/>
  <c r="G8"/>
  <c r="H8" s="1"/>
  <c r="J8" s="1"/>
  <c r="M7" s="1"/>
  <c r="G9"/>
  <c r="H9" s="1"/>
  <c r="J9" s="1"/>
  <c r="N7" s="1"/>
  <c r="G10"/>
  <c r="H10" s="1"/>
  <c r="J10" s="1"/>
  <c r="O7" s="1"/>
  <c r="G11"/>
  <c r="H11" s="1"/>
  <c r="J11" s="1"/>
  <c r="P7" s="1"/>
  <c r="G12"/>
  <c r="H12" s="1"/>
  <c r="J12" s="1"/>
  <c r="Q7" s="1"/>
  <c r="G13"/>
  <c r="H13" s="1"/>
  <c r="J13" s="1"/>
  <c r="R7" s="1"/>
  <c r="G14"/>
  <c r="H14" s="1"/>
  <c r="J14" s="1"/>
  <c r="S7" s="1"/>
  <c r="G15"/>
  <c r="H15" s="1"/>
  <c r="J15" s="1"/>
  <c r="T7" s="1"/>
  <c r="G7"/>
  <c r="H7" s="1"/>
  <c r="J7" s="1"/>
  <c r="L7" s="1"/>
  <c r="H16"/>
  <c r="J16" s="1"/>
  <c r="U7" s="1"/>
  <c r="AG13" l="1"/>
  <c r="R26"/>
  <c r="AG14"/>
  <c r="S26"/>
  <c r="AG8"/>
  <c r="M26"/>
  <c r="AG15"/>
  <c r="T26"/>
  <c r="AG9"/>
  <c r="N26"/>
  <c r="AG7"/>
  <c r="L26"/>
  <c r="AG10"/>
  <c r="O26"/>
  <c r="AG16"/>
  <c r="U26"/>
  <c r="AG11"/>
  <c r="P26"/>
  <c r="AG12"/>
  <c r="Q26"/>
  <c r="AA30"/>
  <c r="AC53"/>
  <c r="AD54"/>
  <c r="Y48"/>
  <c r="Y32"/>
  <c r="AE54"/>
  <c r="AF49"/>
  <c r="AD51"/>
  <c r="Z46"/>
  <c r="AE51"/>
  <c r="AA46"/>
  <c r="AC28"/>
  <c r="X48"/>
  <c r="W34"/>
  <c r="W50"/>
  <c r="AD52"/>
  <c r="AF50"/>
  <c r="Z47"/>
  <c r="X27"/>
  <c r="Y45"/>
  <c r="AF53"/>
  <c r="AF52"/>
  <c r="W52"/>
  <c r="X51"/>
  <c r="Y50"/>
  <c r="Z49"/>
  <c r="AA48"/>
  <c r="AB47"/>
  <c r="AC46"/>
  <c r="AB26"/>
  <c r="AC52"/>
  <c r="AD30"/>
  <c r="AA45"/>
  <c r="X54"/>
  <c r="X52"/>
  <c r="Z50"/>
  <c r="AB48"/>
  <c r="AD46"/>
  <c r="AE26"/>
  <c r="W49"/>
  <c r="X49"/>
  <c r="AF28"/>
  <c r="Y54"/>
  <c r="Z53"/>
  <c r="Z52"/>
  <c r="AA51"/>
  <c r="AB50"/>
  <c r="AC49"/>
  <c r="AD48"/>
  <c r="AE47"/>
  <c r="AF46"/>
  <c r="W46"/>
  <c r="AA33"/>
  <c r="AC31"/>
  <c r="AE29"/>
  <c r="W28"/>
  <c r="AE50"/>
  <c r="Y47"/>
  <c r="AE53"/>
  <c r="AB32"/>
  <c r="W45"/>
  <c r="AB54"/>
  <c r="AB53"/>
  <c r="K6" i="3"/>
  <c r="J5"/>
  <c r="K4"/>
  <c r="J6"/>
  <c r="L5"/>
  <c r="J18" i="2"/>
  <c r="B4" i="3" s="1"/>
  <c r="C4" s="1"/>
  <c r="G4" s="1"/>
  <c r="M5" s="1"/>
  <c r="AD45" i="2"/>
  <c r="X45"/>
  <c r="AA54"/>
  <c r="Y53"/>
  <c r="AC26"/>
  <c r="AF35"/>
  <c r="Z35"/>
  <c r="AD34"/>
  <c r="X34"/>
  <c r="AB33"/>
  <c r="AF32"/>
  <c r="Z32"/>
  <c r="AD31"/>
  <c r="X31"/>
  <c r="AB30"/>
  <c r="AF29"/>
  <c r="Z29"/>
  <c r="AD28"/>
  <c r="X28"/>
  <c r="AB27"/>
  <c r="AF45"/>
  <c r="Z45"/>
  <c r="AC54"/>
  <c r="W54"/>
  <c r="AA53"/>
  <c r="AE52"/>
  <c r="Y52"/>
  <c r="AC51"/>
  <c r="W51"/>
  <c r="AA50"/>
  <c r="AE49"/>
  <c r="Y49"/>
  <c r="AC48"/>
  <c r="W48"/>
  <c r="AA47"/>
  <c r="AE46"/>
  <c r="Y46"/>
  <c r="W18" a="1"/>
  <c r="AA18" s="1"/>
  <c r="AG31" l="1"/>
  <c r="Q45"/>
  <c r="AG50" s="1"/>
  <c r="O45"/>
  <c r="AG48" s="1"/>
  <c r="AG29"/>
  <c r="U45"/>
  <c r="AG54" s="1"/>
  <c r="AG35"/>
  <c r="N45"/>
  <c r="AG47" s="1"/>
  <c r="AG28"/>
  <c r="AG33"/>
  <c r="S45"/>
  <c r="AG52" s="1"/>
  <c r="T45"/>
  <c r="AG53" s="1"/>
  <c r="AG34"/>
  <c r="AG32"/>
  <c r="R45"/>
  <c r="AG51" s="1"/>
  <c r="P45"/>
  <c r="AG49" s="1"/>
  <c r="AG30"/>
  <c r="AG26"/>
  <c r="L45"/>
  <c r="AG45" s="1"/>
  <c r="AG27"/>
  <c r="M45"/>
  <c r="AG46" s="1"/>
  <c r="F4" i="3"/>
  <c r="M4" s="1"/>
  <c r="D4"/>
  <c r="H4" s="1"/>
  <c r="M6" s="1"/>
  <c r="AE18" i="2"/>
  <c r="W18"/>
  <c r="W37" a="1"/>
  <c r="AD37" s="1"/>
  <c r="Y18"/>
  <c r="AF18"/>
  <c r="AC18"/>
  <c r="AD18"/>
  <c r="Z18"/>
  <c r="AB18"/>
  <c r="X18"/>
  <c r="W56" l="1" a="1"/>
  <c r="AD56" s="1"/>
  <c r="AG19" a="1"/>
  <c r="AG19" s="1"/>
  <c r="AG20" s="1"/>
  <c r="B5" i="3" s="1"/>
  <c r="J8" a="1"/>
  <c r="J8" s="1"/>
  <c r="AF37" i="2"/>
  <c r="AB37"/>
  <c r="AC37"/>
  <c r="W37"/>
  <c r="X37"/>
  <c r="AE37"/>
  <c r="AA37"/>
  <c r="Y37"/>
  <c r="Z37"/>
  <c r="X56" l="1"/>
  <c r="AE56"/>
  <c r="AC56"/>
  <c r="AB56"/>
  <c r="W56"/>
  <c r="AF56"/>
  <c r="Z56"/>
  <c r="AA56"/>
  <c r="Y56"/>
  <c r="AG38" a="1"/>
  <c r="AG38" s="1"/>
  <c r="AG39" s="1"/>
  <c r="B6" i="3" s="1"/>
  <c r="L8"/>
  <c r="K8"/>
  <c r="D5"/>
  <c r="H11" s="1"/>
  <c r="M13" s="1"/>
  <c r="F11"/>
  <c r="C5"/>
  <c r="G11" s="1"/>
  <c r="M12" s="1"/>
  <c r="AG57" i="2" l="1" a="1"/>
  <c r="AG57" s="1"/>
  <c r="AG58" s="1"/>
  <c r="B7" i="3" s="1"/>
  <c r="C7" s="1"/>
  <c r="M9" a="1"/>
  <c r="M9" s="1"/>
  <c r="C6"/>
  <c r="D6"/>
  <c r="J15" a="1"/>
  <c r="M11"/>
  <c r="D7" l="1"/>
  <c r="AJ5" i="2"/>
  <c r="AJ6" s="1"/>
  <c r="L15" i="3"/>
  <c r="J15"/>
  <c r="K15"/>
  <c r="M16" l="1"/>
  <c r="M18" s="1"/>
  <c r="M19" s="1"/>
  <c r="M21" s="1"/>
  <c r="D12" i="2" l="1"/>
  <c r="D7"/>
  <c r="D14"/>
  <c r="D11"/>
  <c r="D13"/>
  <c r="D8"/>
  <c r="D10"/>
  <c r="D15"/>
  <c r="D16"/>
  <c r="D6"/>
  <c r="D9"/>
  <c r="E6"/>
  <c r="J20"/>
  <c r="K5" i="4"/>
  <c r="J17" l="1"/>
  <c r="J23"/>
  <c r="M17" a="1"/>
  <c r="N17" a="1"/>
  <c r="M21" l="1"/>
  <c r="M17"/>
  <c r="M25"/>
  <c r="M19"/>
  <c r="M27"/>
  <c r="M18"/>
  <c r="M26"/>
  <c r="M20"/>
  <c r="M23"/>
  <c r="M22"/>
  <c r="M24"/>
  <c r="N17"/>
  <c r="N25"/>
  <c r="N26"/>
  <c r="N19"/>
  <c r="N23"/>
  <c r="N20"/>
  <c r="N24"/>
  <c r="N27"/>
  <c r="N22"/>
  <c r="N18"/>
  <c r="N21"/>
  <c r="D20" i="2"/>
  <c r="J29"/>
  <c r="J27"/>
  <c r="J34"/>
  <c r="J35"/>
</calcChain>
</file>

<file path=xl/sharedStrings.xml><?xml version="1.0" encoding="utf-8"?>
<sst xmlns="http://schemas.openxmlformats.org/spreadsheetml/2006/main" count="217" uniqueCount="156">
  <si>
    <t>Evaluation Date</t>
    <phoneticPr fontId="4" type="noConversion"/>
  </si>
  <si>
    <t>SetEvaluationDate</t>
    <phoneticPr fontId="4" type="noConversion"/>
  </si>
  <si>
    <t>Date</t>
    <phoneticPr fontId="4" type="noConversion"/>
  </si>
  <si>
    <t>DiscountFunc</t>
    <phoneticPr fontId="4" type="noConversion"/>
  </si>
  <si>
    <t>ZeroRate</t>
    <phoneticPr fontId="4" type="noConversion"/>
  </si>
  <si>
    <t>string</t>
    <phoneticPr fontId="4" type="noConversion"/>
  </si>
  <si>
    <t>ObjectId</t>
    <phoneticPr fontId="4" type="noConversion"/>
  </si>
  <si>
    <t>vec&lt;long&gt;</t>
    <phoneticPr fontId="4" type="noConversion"/>
  </si>
  <si>
    <t>RateDates</t>
    <phoneticPr fontId="4" type="noConversion"/>
  </si>
  <si>
    <t>vec&lt;double&gt;</t>
    <phoneticPr fontId="4" type="noConversion"/>
  </si>
  <si>
    <t>DayCounter</t>
    <phoneticPr fontId="4" type="noConversion"/>
  </si>
  <si>
    <t>bool</t>
    <phoneticPr fontId="4" type="noConversion"/>
  </si>
  <si>
    <t>Permanent</t>
    <phoneticPr fontId="4" type="noConversion"/>
  </si>
  <si>
    <t>any</t>
    <phoneticPr fontId="4" type="noConversion"/>
  </si>
  <si>
    <t>Trigger</t>
    <phoneticPr fontId="4" type="noConversion"/>
  </si>
  <si>
    <t>Overwrite</t>
    <phoneticPr fontId="4" type="noConversion"/>
  </si>
  <si>
    <t>ZeroCurve</t>
    <phoneticPr fontId="4" type="noConversion"/>
  </si>
  <si>
    <t>RateYields</t>
    <phoneticPr fontId="4" type="noConversion"/>
  </si>
  <si>
    <t>A/365F</t>
    <phoneticPr fontId="4" type="noConversion"/>
  </si>
  <si>
    <t>ObjectID</t>
  </si>
  <si>
    <t>YieldCurve</t>
  </si>
  <si>
    <t>Permanent</t>
  </si>
  <si>
    <t>Trigger</t>
  </si>
  <si>
    <t>SetPricingEngine</t>
  </si>
  <si>
    <t>NPV</t>
  </si>
  <si>
    <t>Annual</t>
    <phoneticPr fontId="4" type="noConversion"/>
  </si>
  <si>
    <t>V1</t>
    <phoneticPr fontId="2" type="noConversion"/>
  </si>
  <si>
    <t>ZeroCurve1</t>
    <phoneticPr fontId="4" type="noConversion"/>
  </si>
  <si>
    <t>dV</t>
    <phoneticPr fontId="2" type="noConversion"/>
  </si>
  <si>
    <t>s</t>
    <phoneticPr fontId="2" type="noConversion"/>
  </si>
  <si>
    <t>RW</t>
    <phoneticPr fontId="2" type="noConversion"/>
  </si>
  <si>
    <t>WS</t>
    <phoneticPr fontId="2" type="noConversion"/>
  </si>
  <si>
    <t>stress</t>
    <phoneticPr fontId="2" type="noConversion"/>
  </si>
  <si>
    <t>theta</t>
    <phoneticPr fontId="2" type="noConversion"/>
  </si>
  <si>
    <t>Kb</t>
    <phoneticPr fontId="2" type="noConversion"/>
  </si>
  <si>
    <t>Kb+</t>
    <phoneticPr fontId="2" type="noConversion"/>
  </si>
  <si>
    <t>Kb-</t>
    <phoneticPr fontId="2" type="noConversion"/>
  </si>
  <si>
    <t>Delta</t>
    <phoneticPr fontId="2" type="noConversion"/>
  </si>
  <si>
    <t>Risk Assets</t>
    <phoneticPr fontId="2" type="noConversion"/>
  </si>
  <si>
    <t>USD</t>
    <phoneticPr fontId="2" type="noConversion"/>
  </si>
  <si>
    <t>MNs</t>
    <phoneticPr fontId="2" type="noConversion"/>
  </si>
  <si>
    <t>RW/2^0.5*s</t>
    <phoneticPr fontId="2" type="noConversion"/>
  </si>
  <si>
    <t>TWD</t>
    <phoneticPr fontId="2" type="noConversion"/>
  </si>
  <si>
    <t>WS</t>
    <phoneticPr fontId="2" type="noConversion"/>
  </si>
  <si>
    <t>Kb</t>
    <phoneticPr fontId="2" type="noConversion"/>
  </si>
  <si>
    <t>Kb+</t>
    <phoneticPr fontId="2" type="noConversion"/>
  </si>
  <si>
    <t>Kb-</t>
    <phoneticPr fontId="2" type="noConversion"/>
  </si>
  <si>
    <t>Delta</t>
    <phoneticPr fontId="2" type="noConversion"/>
  </si>
  <si>
    <t>Risk Assets</t>
    <phoneticPr fontId="2" type="noConversion"/>
  </si>
  <si>
    <t>rbc</t>
    <phoneticPr fontId="2" type="noConversion"/>
  </si>
  <si>
    <t>corr</t>
    <phoneticPr fontId="2" type="noConversion"/>
  </si>
  <si>
    <t>TWD</t>
    <phoneticPr fontId="2" type="noConversion"/>
  </si>
  <si>
    <t>JPY</t>
    <phoneticPr fontId="2" type="noConversion"/>
  </si>
  <si>
    <t>TWD</t>
    <phoneticPr fontId="2" type="noConversion"/>
  </si>
  <si>
    <t>USD</t>
    <phoneticPr fontId="2" type="noConversion"/>
  </si>
  <si>
    <t>JPY</t>
    <phoneticPr fontId="2" type="noConversion"/>
  </si>
  <si>
    <t>Kb^2</t>
    <phoneticPr fontId="2" type="noConversion"/>
  </si>
  <si>
    <t>Stress</t>
    <phoneticPr fontId="2" type="noConversion"/>
  </si>
  <si>
    <t>Delta Capital</t>
    <phoneticPr fontId="2" type="noConversion"/>
  </si>
  <si>
    <t>Risk Asset</t>
    <phoneticPr fontId="2" type="noConversion"/>
  </si>
  <si>
    <t>Delta</t>
    <phoneticPr fontId="2" type="noConversion"/>
  </si>
  <si>
    <t>RA</t>
    <phoneticPr fontId="2" type="noConversion"/>
  </si>
  <si>
    <t>Sb</t>
    <phoneticPr fontId="2" type="noConversion"/>
  </si>
  <si>
    <t>Evaluation Date</t>
  </si>
  <si>
    <t>SetEvaluationDate</t>
  </si>
  <si>
    <t>Months</t>
    <phoneticPr fontId="4" type="noConversion"/>
  </si>
  <si>
    <t>Date</t>
    <phoneticPr fontId="2" type="noConversion"/>
  </si>
  <si>
    <t>Cubic-S Spot Rate</t>
    <phoneticPr fontId="4" type="noConversion"/>
  </si>
  <si>
    <t>Svensson Spot Rate</t>
    <phoneticPr fontId="4" type="noConversion"/>
  </si>
  <si>
    <t>Cubic DF</t>
    <phoneticPr fontId="2" type="noConversion"/>
  </si>
  <si>
    <t>Svensson DF</t>
    <phoneticPr fontId="2" type="noConversion"/>
  </si>
  <si>
    <t>DiscountCurve</t>
  </si>
  <si>
    <t>string</t>
  </si>
  <si>
    <t>ObjectId</t>
  </si>
  <si>
    <t>DFCurve</t>
    <phoneticPr fontId="4" type="noConversion"/>
  </si>
  <si>
    <t>vec&lt;long&gt;</t>
  </si>
  <si>
    <t>RateDates</t>
  </si>
  <si>
    <t>vec&lt;double&gt;</t>
  </si>
  <si>
    <t>CurveDiscounts</t>
  </si>
  <si>
    <t>DayCounter</t>
  </si>
  <si>
    <t>A/365F</t>
  </si>
  <si>
    <t>bool</t>
  </si>
  <si>
    <t>any</t>
  </si>
  <si>
    <t>Overwrite</t>
  </si>
  <si>
    <t>YieldTSDiscount</t>
  </si>
  <si>
    <t>Date</t>
  </si>
  <si>
    <t>DF</t>
    <phoneticPr fontId="2" type="noConversion"/>
  </si>
  <si>
    <t>ZeroRate</t>
  </si>
  <si>
    <t>vector&lt;long&gt;</t>
  </si>
  <si>
    <t>YieldTSZeroRate</t>
  </si>
  <si>
    <t>Continuous</t>
    <phoneticPr fontId="4" type="noConversion"/>
  </si>
  <si>
    <t>Today</t>
    <phoneticPr fontId="2" type="noConversion"/>
  </si>
  <si>
    <t>R3M</t>
    <phoneticPr fontId="2" type="noConversion"/>
  </si>
  <si>
    <t>R6M</t>
    <phoneticPr fontId="2" type="noConversion"/>
  </si>
  <si>
    <t>R1Y</t>
    <phoneticPr fontId="2" type="noConversion"/>
  </si>
  <si>
    <t>R2Y</t>
    <phoneticPr fontId="2" type="noConversion"/>
  </si>
  <si>
    <t>R3Y</t>
    <phoneticPr fontId="2" type="noConversion"/>
  </si>
  <si>
    <t>R5Y</t>
    <phoneticPr fontId="2" type="noConversion"/>
  </si>
  <si>
    <t>R10Y</t>
    <phoneticPr fontId="2" type="noConversion"/>
  </si>
  <si>
    <t>R15Y</t>
    <phoneticPr fontId="2" type="noConversion"/>
  </si>
  <si>
    <t>R20Y</t>
    <phoneticPr fontId="2" type="noConversion"/>
  </si>
  <si>
    <t>R30Y</t>
    <phoneticPr fontId="2" type="noConversion"/>
  </si>
  <si>
    <t>Schedule</t>
    <phoneticPr fontId="4" type="noConversion"/>
  </si>
  <si>
    <t>string</t>
    <phoneticPr fontId="4" type="noConversion"/>
  </si>
  <si>
    <t>ObjectId</t>
    <phoneticPr fontId="4" type="noConversion"/>
  </si>
  <si>
    <t>Sch</t>
    <phoneticPr fontId="4" type="noConversion"/>
  </si>
  <si>
    <t>long</t>
    <phoneticPr fontId="4" type="noConversion"/>
  </si>
  <si>
    <t>EffectiveDate</t>
    <phoneticPr fontId="4" type="noConversion"/>
  </si>
  <si>
    <t>TerminationDate</t>
    <phoneticPr fontId="4" type="noConversion"/>
  </si>
  <si>
    <t>Tenor</t>
    <phoneticPr fontId="4" type="noConversion"/>
  </si>
  <si>
    <t>1Y</t>
    <phoneticPr fontId="4" type="noConversion"/>
  </si>
  <si>
    <t>Calendar</t>
    <phoneticPr fontId="4" type="noConversion"/>
  </si>
  <si>
    <t>Null</t>
    <phoneticPr fontId="4" type="noConversion"/>
  </si>
  <si>
    <t>Convention</t>
    <phoneticPr fontId="4" type="noConversion"/>
  </si>
  <si>
    <t>F</t>
    <phoneticPr fontId="4" type="noConversion"/>
  </si>
  <si>
    <t>TermDateConv</t>
    <phoneticPr fontId="4" type="noConversion"/>
  </si>
  <si>
    <t>GenRule</t>
    <phoneticPr fontId="4" type="noConversion"/>
  </si>
  <si>
    <t>Forward</t>
    <phoneticPr fontId="4" type="noConversion"/>
  </si>
  <si>
    <t>bool</t>
    <phoneticPr fontId="4" type="noConversion"/>
  </si>
  <si>
    <t>EndOfMonth</t>
    <phoneticPr fontId="4" type="noConversion"/>
  </si>
  <si>
    <t>FirstDate</t>
    <phoneticPr fontId="4" type="noConversion"/>
  </si>
  <si>
    <t>NextToLastDate</t>
    <phoneticPr fontId="4" type="noConversion"/>
  </si>
  <si>
    <t>Permanent</t>
    <phoneticPr fontId="4" type="noConversion"/>
  </si>
  <si>
    <t>any</t>
    <phoneticPr fontId="4" type="noConversion"/>
  </si>
  <si>
    <t>Trigger</t>
    <phoneticPr fontId="4" type="noConversion"/>
  </si>
  <si>
    <t>Overwrite</t>
    <phoneticPr fontId="4" type="noConversion"/>
  </si>
  <si>
    <t>FixedRateBond</t>
    <phoneticPr fontId="4" type="noConversion"/>
  </si>
  <si>
    <t>FixedBond1</t>
    <phoneticPr fontId="4" type="noConversion"/>
  </si>
  <si>
    <t>Description</t>
    <phoneticPr fontId="4" type="noConversion"/>
  </si>
  <si>
    <t>Issue_Test</t>
    <phoneticPr fontId="4" type="noConversion"/>
  </si>
  <si>
    <t>Currency</t>
    <phoneticPr fontId="4" type="noConversion"/>
  </si>
  <si>
    <t>TWD</t>
    <phoneticPr fontId="4" type="noConversion"/>
  </si>
  <si>
    <t>SettlementDays</t>
    <phoneticPr fontId="4" type="noConversion"/>
  </si>
  <si>
    <t>double</t>
    <phoneticPr fontId="4" type="noConversion"/>
  </si>
  <si>
    <t>FaceAmount</t>
    <phoneticPr fontId="4" type="noConversion"/>
  </si>
  <si>
    <t>ScheduleID</t>
    <phoneticPr fontId="4" type="noConversion"/>
  </si>
  <si>
    <t>Coupons</t>
    <phoneticPr fontId="4" type="noConversion"/>
  </si>
  <si>
    <t>DayCounter</t>
    <phoneticPr fontId="4" type="noConversion"/>
  </si>
  <si>
    <t>A/365F</t>
    <phoneticPr fontId="4" type="noConversion"/>
  </si>
  <si>
    <t>PaymentBDC</t>
    <phoneticPr fontId="4" type="noConversion"/>
  </si>
  <si>
    <t>Following</t>
    <phoneticPr fontId="4" type="noConversion"/>
  </si>
  <si>
    <t>Redemption</t>
    <phoneticPr fontId="4" type="noConversion"/>
  </si>
  <si>
    <t>IssueDate</t>
    <phoneticPr fontId="4" type="noConversion"/>
  </si>
  <si>
    <t>PaymentCalendar</t>
    <phoneticPr fontId="4" type="noConversion"/>
  </si>
  <si>
    <t>BondEngine</t>
  </si>
  <si>
    <t>C6:C16</t>
    <phoneticPr fontId="4" type="noConversion"/>
  </si>
  <si>
    <t>E6:E16</t>
    <phoneticPr fontId="4" type="noConversion"/>
  </si>
  <si>
    <t>BondEng1</t>
    <phoneticPr fontId="2" type="noConversion"/>
  </si>
  <si>
    <t>dr</t>
    <phoneticPr fontId="2" type="noConversion"/>
  </si>
  <si>
    <t>Range</t>
    <phoneticPr fontId="2" type="noConversion"/>
  </si>
  <si>
    <t>String</t>
    <phoneticPr fontId="2" type="noConversion"/>
  </si>
  <si>
    <t>RateRange</t>
    <phoneticPr fontId="2" type="noConversion"/>
  </si>
  <si>
    <t>Permanent</t>
    <phoneticPr fontId="2" type="noConversion"/>
  </si>
  <si>
    <t>Trigger</t>
    <phoneticPr fontId="2" type="noConversion"/>
  </si>
  <si>
    <t>Overwrite</t>
    <phoneticPr fontId="2" type="noConversion"/>
  </si>
  <si>
    <t>E6:E16</t>
    <phoneticPr fontId="2" type="noConversion"/>
  </si>
</sst>
</file>

<file path=xl/styles.xml><?xml version="1.0" encoding="utf-8"?>
<styleSheet xmlns="http://schemas.openxmlformats.org/spreadsheetml/2006/main">
  <numFmts count="16">
    <numFmt numFmtId="43" formatCode="_-* #,##0.00_-;\-* #,##0.00_-;_-* &quot;-&quot;??_-;_-@_-"/>
    <numFmt numFmtId="176" formatCode="0.000000_ "/>
    <numFmt numFmtId="177" formatCode="0.0000%"/>
    <numFmt numFmtId="178" formatCode="_-* #,##0_-;\-* #,##0_-;_-* &quot;-&quot;??_-;_-@_-"/>
    <numFmt numFmtId="179" formatCode="0_ "/>
    <numFmt numFmtId="180" formatCode="0_);[Red]\(0\)"/>
    <numFmt numFmtId="181" formatCode="#,##0.00_);[Red]\(#,##0.00\)"/>
    <numFmt numFmtId="182" formatCode="0.00_ "/>
    <numFmt numFmtId="183" formatCode="#,##0.00_ "/>
    <numFmt numFmtId="184" formatCode="#,##0_ "/>
    <numFmt numFmtId="185" formatCode="#,##0.0000_ "/>
    <numFmt numFmtId="186" formatCode="0.000%"/>
    <numFmt numFmtId="187" formatCode="0.0%"/>
    <numFmt numFmtId="188" formatCode="0.0_ "/>
    <numFmt numFmtId="189" formatCode="0.00000%"/>
    <numFmt numFmtId="190" formatCode="0.00000000_ "/>
  </numFmts>
  <fonts count="3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1"/>
      <charset val="136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indexed="16"/>
      <name val="Arial"/>
      <family val="2"/>
    </font>
    <font>
      <sz val="12"/>
      <color theme="1"/>
      <name val="Arial"/>
      <family val="2"/>
    </font>
    <font>
      <sz val="12"/>
      <color indexed="16"/>
      <name val="新細明體"/>
      <family val="1"/>
      <charset val="136"/>
    </font>
    <font>
      <b/>
      <sz val="12"/>
      <color rgb="FF0000CC"/>
      <name val="Arial"/>
      <family val="2"/>
    </font>
    <font>
      <b/>
      <sz val="12"/>
      <color theme="1"/>
      <name val="Arial"/>
      <family val="2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sz val="12"/>
      <color rgb="FF0000CC"/>
      <name val="Arial"/>
      <family val="2"/>
    </font>
    <font>
      <b/>
      <sz val="12"/>
      <color rgb="FFFF0000"/>
      <name val="Arial"/>
      <family val="2"/>
    </font>
    <font>
      <sz val="12"/>
      <color theme="1"/>
      <name val="Consolas"/>
      <family val="3"/>
    </font>
    <font>
      <sz val="12"/>
      <color rgb="FF0000CC"/>
      <name val="Consolas"/>
      <family val="3"/>
    </font>
    <font>
      <sz val="12"/>
      <color rgb="FFFF0000"/>
      <name val="Consolas"/>
      <family val="3"/>
    </font>
    <font>
      <sz val="12"/>
      <color rgb="FFC00000"/>
      <name val="Consolas"/>
      <family val="3"/>
    </font>
    <font>
      <sz val="12"/>
      <name val="Consolas"/>
      <family val="3"/>
    </font>
    <font>
      <sz val="12"/>
      <color rgb="FFC00000"/>
      <name val="Arial Unicode MS"/>
      <family val="2"/>
      <charset val="136"/>
    </font>
    <font>
      <b/>
      <sz val="12"/>
      <color rgb="FF006600"/>
      <name val="Arial Unicode MS"/>
      <family val="2"/>
      <charset val="136"/>
    </font>
    <font>
      <b/>
      <sz val="12"/>
      <color rgb="FFFF0000"/>
      <name val="Consolas"/>
      <family val="3"/>
    </font>
    <font>
      <b/>
      <sz val="12"/>
      <name val="Consolas"/>
      <family val="3"/>
    </font>
    <font>
      <b/>
      <sz val="12"/>
      <color indexed="12"/>
      <name val="Consolas"/>
      <family val="3"/>
    </font>
    <font>
      <b/>
      <sz val="12"/>
      <color indexed="10"/>
      <name val="Consolas"/>
      <family val="3"/>
    </font>
    <font>
      <b/>
      <sz val="12"/>
      <color rgb="FF0000CC"/>
      <name val="Consolas"/>
      <family val="3"/>
    </font>
    <font>
      <sz val="10"/>
      <name val="Arial"/>
      <family val="2"/>
    </font>
    <font>
      <sz val="12"/>
      <name val="新細明體"/>
      <family val="1"/>
      <charset val="136"/>
    </font>
    <font>
      <b/>
      <sz val="12"/>
      <color theme="1"/>
      <name val="Consolas"/>
      <family val="3"/>
    </font>
    <font>
      <b/>
      <sz val="12"/>
      <color rgb="FF8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2" fillId="0" borderId="0"/>
    <xf numFmtId="0" fontId="32" fillId="0" borderId="0"/>
    <xf numFmtId="0" fontId="33" fillId="0" borderId="0">
      <alignment vertical="center"/>
    </xf>
  </cellStyleXfs>
  <cellXfs count="303">
    <xf numFmtId="0" fontId="0" fillId="0" borderId="0" xfId="0">
      <alignment vertical="center"/>
    </xf>
    <xf numFmtId="0" fontId="3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14" fontId="7" fillId="0" borderId="5" xfId="0" applyNumberFormat="1" applyFont="1" applyBorder="1">
      <alignment vertical="center"/>
    </xf>
    <xf numFmtId="14" fontId="7" fillId="0" borderId="12" xfId="0" applyNumberFormat="1" applyFont="1" applyBorder="1">
      <alignment vertical="center"/>
    </xf>
    <xf numFmtId="14" fontId="7" fillId="0" borderId="13" xfId="0" applyNumberFormat="1" applyFont="1" applyBorder="1">
      <alignment vertical="center"/>
    </xf>
    <xf numFmtId="177" fontId="8" fillId="0" borderId="9" xfId="2" applyNumberFormat="1" applyFont="1" applyBorder="1">
      <alignment vertical="center"/>
    </xf>
    <xf numFmtId="177" fontId="8" fillId="0" borderId="10" xfId="2" applyNumberFormat="1" applyFont="1" applyBorder="1">
      <alignment vertical="center"/>
    </xf>
    <xf numFmtId="0" fontId="3" fillId="0" borderId="0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11" fillId="0" borderId="12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5" borderId="13" xfId="0" applyFont="1" applyFill="1" applyBorder="1">
      <alignment vertical="center"/>
    </xf>
    <xf numFmtId="0" fontId="11" fillId="0" borderId="13" xfId="0" applyFont="1" applyFill="1" applyBorder="1">
      <alignment vertical="center"/>
    </xf>
    <xf numFmtId="10" fontId="11" fillId="0" borderId="12" xfId="0" applyNumberFormat="1" applyFont="1" applyFill="1" applyBorder="1">
      <alignment vertical="center"/>
    </xf>
    <xf numFmtId="14" fontId="7" fillId="0" borderId="0" xfId="0" applyNumberFormat="1" applyFont="1" applyBorder="1">
      <alignment vertical="center"/>
    </xf>
    <xf numFmtId="176" fontId="8" fillId="0" borderId="0" xfId="0" applyNumberFormat="1" applyFont="1" applyBorder="1">
      <alignment vertical="center"/>
    </xf>
    <xf numFmtId="10" fontId="8" fillId="0" borderId="0" xfId="2" applyNumberFormat="1" applyFont="1" applyBorder="1">
      <alignment vertical="center"/>
    </xf>
    <xf numFmtId="177" fontId="8" fillId="0" borderId="11" xfId="2" applyNumberFormat="1" applyFont="1" applyBorder="1">
      <alignment vertical="center"/>
    </xf>
    <xf numFmtId="176" fontId="8" fillId="0" borderId="5" xfId="0" applyNumberFormat="1" applyFont="1" applyBorder="1">
      <alignment vertical="center"/>
    </xf>
    <xf numFmtId="176" fontId="8" fillId="0" borderId="12" xfId="0" applyNumberFormat="1" applyFont="1" applyBorder="1">
      <alignment vertical="center"/>
    </xf>
    <xf numFmtId="176" fontId="8" fillId="0" borderId="13" xfId="0" applyNumberFormat="1" applyFont="1" applyBorder="1">
      <alignment vertical="center"/>
    </xf>
    <xf numFmtId="0" fontId="9" fillId="0" borderId="0" xfId="0" applyFont="1">
      <alignment vertical="center"/>
    </xf>
    <xf numFmtId="14" fontId="11" fillId="0" borderId="12" xfId="0" applyNumberFormat="1" applyFont="1" applyFill="1" applyBorder="1">
      <alignment vertical="center"/>
    </xf>
    <xf numFmtId="14" fontId="11" fillId="0" borderId="12" xfId="0" applyNumberFormat="1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2" fillId="0" borderId="9" xfId="0" applyFont="1" applyBorder="1">
      <alignment vertical="center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179" fontId="11" fillId="0" borderId="12" xfId="0" quotePrefix="1" applyNumberFormat="1" applyFont="1" applyFill="1" applyBorder="1" applyAlignment="1">
      <alignment horizontal="left" vertical="center"/>
    </xf>
    <xf numFmtId="178" fontId="11" fillId="0" borderId="12" xfId="1" applyNumberFormat="1" applyFont="1" applyFill="1" applyBorder="1" applyAlignment="1">
      <alignment horizontal="left" vertical="center"/>
    </xf>
    <xf numFmtId="14" fontId="11" fillId="0" borderId="12" xfId="0" applyNumberFormat="1" applyFont="1" applyFill="1" applyBorder="1" applyAlignment="1">
      <alignment horizontal="left" vertical="center"/>
    </xf>
    <xf numFmtId="178" fontId="11" fillId="0" borderId="12" xfId="1" applyNumberFormat="1" applyFont="1" applyBorder="1">
      <alignment vertical="center"/>
    </xf>
    <xf numFmtId="0" fontId="3" fillId="5" borderId="12" xfId="0" applyFont="1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184" fontId="8" fillId="0" borderId="0" xfId="2" applyNumberFormat="1" applyFont="1" applyBorder="1">
      <alignment vertical="center"/>
    </xf>
    <xf numFmtId="0" fontId="9" fillId="0" borderId="0" xfId="0" applyFont="1" applyFill="1" applyBorder="1">
      <alignment vertical="center"/>
    </xf>
    <xf numFmtId="177" fontId="6" fillId="0" borderId="0" xfId="2" applyNumberFormat="1" applyFont="1" applyFill="1" applyBorder="1">
      <alignment vertical="center"/>
    </xf>
    <xf numFmtId="0" fontId="11" fillId="0" borderId="0" xfId="0" applyFont="1" applyFill="1" applyBorder="1">
      <alignment vertical="center"/>
    </xf>
    <xf numFmtId="183" fontId="11" fillId="0" borderId="0" xfId="0" applyNumberFormat="1" applyFont="1" applyFill="1" applyBorder="1">
      <alignment vertical="center"/>
    </xf>
    <xf numFmtId="14" fontId="11" fillId="0" borderId="0" xfId="0" applyNumberFormat="1" applyFont="1" applyFill="1" applyBorder="1">
      <alignment vertical="center"/>
    </xf>
    <xf numFmtId="180" fontId="11" fillId="0" borderId="0" xfId="0" applyNumberFormat="1" applyFont="1" applyFill="1" applyBorder="1">
      <alignment vertical="center"/>
    </xf>
    <xf numFmtId="9" fontId="11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182" fontId="6" fillId="0" borderId="0" xfId="2" applyNumberFormat="1" applyFont="1" applyFill="1" applyBorder="1">
      <alignment vertical="center"/>
    </xf>
    <xf numFmtId="177" fontId="11" fillId="0" borderId="0" xfId="0" applyNumberFormat="1" applyFont="1" applyFill="1" applyBorder="1">
      <alignment vertical="center"/>
    </xf>
    <xf numFmtId="0" fontId="12" fillId="0" borderId="2" xfId="0" applyFont="1" applyBorder="1">
      <alignment vertical="center"/>
    </xf>
    <xf numFmtId="185" fontId="3" fillId="0" borderId="0" xfId="1" applyNumberFormat="1" applyFont="1" applyFill="1" applyBorder="1">
      <alignment vertical="center"/>
    </xf>
    <xf numFmtId="0" fontId="16" fillId="0" borderId="6" xfId="0" applyFont="1" applyBorder="1">
      <alignment vertical="center"/>
    </xf>
    <xf numFmtId="184" fontId="14" fillId="0" borderId="0" xfId="1" applyNumberFormat="1" applyFont="1" applyFill="1" applyBorder="1">
      <alignment vertical="center"/>
    </xf>
    <xf numFmtId="184" fontId="14" fillId="0" borderId="1" xfId="1" applyNumberFormat="1" applyFont="1" applyFill="1" applyBorder="1">
      <alignment vertical="center"/>
    </xf>
    <xf numFmtId="184" fontId="14" fillId="0" borderId="3" xfId="1" applyNumberFormat="1" applyFont="1" applyFill="1" applyBorder="1">
      <alignment vertical="center"/>
    </xf>
    <xf numFmtId="184" fontId="14" fillId="0" borderId="4" xfId="1" applyNumberFormat="1" applyFont="1" applyFill="1" applyBorder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178" fontId="12" fillId="0" borderId="0" xfId="0" applyNumberFormat="1" applyFont="1">
      <alignment vertical="center"/>
    </xf>
    <xf numFmtId="0" fontId="0" fillId="0" borderId="0" xfId="0" applyBorder="1">
      <alignment vertical="center"/>
    </xf>
    <xf numFmtId="0" fontId="17" fillId="0" borderId="0" xfId="0" applyFont="1" applyFill="1" applyBorder="1">
      <alignment vertical="center"/>
    </xf>
    <xf numFmtId="187" fontId="16" fillId="0" borderId="0" xfId="2" applyNumberFormat="1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20" fillId="0" borderId="0" xfId="0" applyFont="1">
      <alignment vertical="center"/>
    </xf>
    <xf numFmtId="184" fontId="14" fillId="0" borderId="9" xfId="1" applyNumberFormat="1" applyFont="1" applyFill="1" applyBorder="1">
      <alignment vertical="center"/>
    </xf>
    <xf numFmtId="184" fontId="14" fillId="0" borderId="10" xfId="1" applyNumberFormat="1" applyFont="1" applyFill="1" applyBorder="1">
      <alignment vertical="center"/>
    </xf>
    <xf numFmtId="184" fontId="14" fillId="0" borderId="11" xfId="1" applyNumberFormat="1" applyFont="1" applyFill="1" applyBorder="1">
      <alignment vertical="center"/>
    </xf>
    <xf numFmtId="0" fontId="19" fillId="0" borderId="4" xfId="0" applyFont="1" applyBorder="1">
      <alignment vertical="center"/>
    </xf>
    <xf numFmtId="0" fontId="14" fillId="3" borderId="1" xfId="0" applyFont="1" applyFill="1" applyBorder="1">
      <alignment vertical="center"/>
    </xf>
    <xf numFmtId="184" fontId="21" fillId="0" borderId="1" xfId="0" applyNumberFormat="1" applyFont="1" applyBorder="1">
      <alignment vertical="center"/>
    </xf>
    <xf numFmtId="184" fontId="21" fillId="0" borderId="3" xfId="0" applyNumberFormat="1" applyFont="1" applyBorder="1">
      <alignment vertical="center"/>
    </xf>
    <xf numFmtId="178" fontId="21" fillId="0" borderId="1" xfId="0" applyNumberFormat="1" applyFont="1" applyBorder="1">
      <alignment vertical="center"/>
    </xf>
    <xf numFmtId="178" fontId="21" fillId="0" borderId="3" xfId="0" applyNumberFormat="1" applyFont="1" applyBorder="1">
      <alignment vertical="center"/>
    </xf>
    <xf numFmtId="178" fontId="21" fillId="0" borderId="4" xfId="0" applyNumberFormat="1" applyFont="1" applyBorder="1">
      <alignment vertical="center"/>
    </xf>
    <xf numFmtId="178" fontId="21" fillId="0" borderId="5" xfId="0" applyNumberFormat="1" applyFont="1" applyBorder="1">
      <alignment vertical="center"/>
    </xf>
    <xf numFmtId="178" fontId="21" fillId="0" borderId="12" xfId="0" applyNumberFormat="1" applyFont="1" applyBorder="1">
      <alignment vertical="center"/>
    </xf>
    <xf numFmtId="178" fontId="21" fillId="0" borderId="13" xfId="0" applyNumberFormat="1" applyFont="1" applyBorder="1">
      <alignment vertical="center"/>
    </xf>
    <xf numFmtId="0" fontId="22" fillId="6" borderId="1" xfId="0" applyFont="1" applyFill="1" applyBorder="1">
      <alignment vertical="center"/>
    </xf>
    <xf numFmtId="178" fontId="22" fillId="6" borderId="4" xfId="1" applyNumberFormat="1" applyFont="1" applyFill="1" applyBorder="1">
      <alignment vertical="center"/>
    </xf>
    <xf numFmtId="178" fontId="22" fillId="6" borderId="4" xfId="0" applyNumberFormat="1" applyFont="1" applyFill="1" applyBorder="1">
      <alignment vertical="center"/>
    </xf>
    <xf numFmtId="0" fontId="21" fillId="3" borderId="5" xfId="0" applyFont="1" applyFill="1" applyBorder="1">
      <alignment vertical="center"/>
    </xf>
    <xf numFmtId="0" fontId="21" fillId="3" borderId="12" xfId="0" applyFont="1" applyFill="1" applyBorder="1">
      <alignment vertical="center"/>
    </xf>
    <xf numFmtId="0" fontId="21" fillId="3" borderId="13" xfId="0" applyFont="1" applyFill="1" applyBorder="1">
      <alignment vertical="center"/>
    </xf>
    <xf numFmtId="184" fontId="20" fillId="0" borderId="6" xfId="1" applyNumberFormat="1" applyFont="1" applyBorder="1">
      <alignment vertical="center"/>
    </xf>
    <xf numFmtId="184" fontId="20" fillId="0" borderId="14" xfId="1" applyNumberFormat="1" applyFont="1" applyBorder="1">
      <alignment vertical="center"/>
    </xf>
    <xf numFmtId="184" fontId="20" fillId="0" borderId="9" xfId="1" applyNumberFormat="1" applyFont="1" applyBorder="1">
      <alignment vertical="center"/>
    </xf>
    <xf numFmtId="184" fontId="20" fillId="0" borderId="7" xfId="1" applyNumberFormat="1" applyFont="1" applyBorder="1">
      <alignment vertical="center"/>
    </xf>
    <xf numFmtId="184" fontId="20" fillId="0" borderId="0" xfId="1" applyNumberFormat="1" applyFont="1" applyBorder="1">
      <alignment vertical="center"/>
    </xf>
    <xf numFmtId="184" fontId="20" fillId="0" borderId="10" xfId="1" applyNumberFormat="1" applyFont="1" applyBorder="1">
      <alignment vertical="center"/>
    </xf>
    <xf numFmtId="184" fontId="20" fillId="0" borderId="8" xfId="1" applyNumberFormat="1" applyFont="1" applyBorder="1">
      <alignment vertical="center"/>
    </xf>
    <xf numFmtId="184" fontId="20" fillId="0" borderId="15" xfId="1" applyNumberFormat="1" applyFont="1" applyBorder="1">
      <alignment vertical="center"/>
    </xf>
    <xf numFmtId="184" fontId="20" fillId="0" borderId="11" xfId="1" applyNumberFormat="1" applyFont="1" applyBorder="1">
      <alignment vertical="center"/>
    </xf>
    <xf numFmtId="0" fontId="20" fillId="0" borderId="1" xfId="0" applyFont="1" applyBorder="1">
      <alignment vertical="center"/>
    </xf>
    <xf numFmtId="0" fontId="20" fillId="0" borderId="3" xfId="0" applyFont="1" applyBorder="1">
      <alignment vertical="center"/>
    </xf>
    <xf numFmtId="0" fontId="20" fillId="0" borderId="4" xfId="0" applyFont="1" applyBorder="1">
      <alignment vertical="center"/>
    </xf>
    <xf numFmtId="178" fontId="22" fillId="0" borderId="2" xfId="1" applyNumberFormat="1" applyFont="1" applyBorder="1">
      <alignment vertical="center"/>
    </xf>
    <xf numFmtId="0" fontId="21" fillId="7" borderId="1" xfId="0" applyFont="1" applyFill="1" applyBorder="1">
      <alignment vertical="center"/>
    </xf>
    <xf numFmtId="0" fontId="21" fillId="7" borderId="4" xfId="0" applyFont="1" applyFill="1" applyBorder="1">
      <alignment vertical="center"/>
    </xf>
    <xf numFmtId="0" fontId="23" fillId="7" borderId="1" xfId="0" applyFont="1" applyFill="1" applyBorder="1">
      <alignment vertical="center"/>
    </xf>
    <xf numFmtId="0" fontId="23" fillId="7" borderId="3" xfId="0" applyFont="1" applyFill="1" applyBorder="1">
      <alignment vertical="center"/>
    </xf>
    <xf numFmtId="0" fontId="23" fillId="7" borderId="4" xfId="0" applyFont="1" applyFill="1" applyBorder="1">
      <alignment vertical="center"/>
    </xf>
    <xf numFmtId="0" fontId="23" fillId="3" borderId="14" xfId="0" applyFont="1" applyFill="1" applyBorder="1">
      <alignment vertical="center"/>
    </xf>
    <xf numFmtId="0" fontId="24" fillId="3" borderId="7" xfId="0" applyFont="1" applyFill="1" applyBorder="1">
      <alignment vertical="center"/>
    </xf>
    <xf numFmtId="0" fontId="24" fillId="3" borderId="8" xfId="0" applyFont="1" applyFill="1" applyBorder="1">
      <alignment vertical="center"/>
    </xf>
    <xf numFmtId="0" fontId="24" fillId="3" borderId="6" xfId="0" applyFont="1" applyFill="1" applyBorder="1">
      <alignment vertical="center"/>
    </xf>
    <xf numFmtId="9" fontId="23" fillId="0" borderId="9" xfId="0" applyNumberFormat="1" applyFont="1" applyBorder="1">
      <alignment vertical="center"/>
    </xf>
    <xf numFmtId="0" fontId="20" fillId="3" borderId="6" xfId="0" applyFont="1" applyFill="1" applyBorder="1">
      <alignment vertical="center"/>
    </xf>
    <xf numFmtId="0" fontId="20" fillId="3" borderId="8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178" fontId="19" fillId="6" borderId="9" xfId="0" applyNumberFormat="1" applyFont="1" applyFill="1" applyBorder="1">
      <alignment vertical="center"/>
    </xf>
    <xf numFmtId="178" fontId="19" fillId="6" borderId="11" xfId="0" applyNumberFormat="1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8" xfId="0" applyFont="1" applyFill="1" applyBorder="1">
      <alignment vertical="center"/>
    </xf>
    <xf numFmtId="178" fontId="19" fillId="6" borderId="11" xfId="1" applyNumberFormat="1" applyFont="1" applyFill="1" applyBorder="1">
      <alignment vertical="center"/>
    </xf>
    <xf numFmtId="0" fontId="10" fillId="6" borderId="9" xfId="0" applyFont="1" applyFill="1" applyBorder="1">
      <alignment vertical="center"/>
    </xf>
    <xf numFmtId="187" fontId="25" fillId="0" borderId="6" xfId="2" applyNumberFormat="1" applyFont="1" applyBorder="1">
      <alignment vertical="center"/>
    </xf>
    <xf numFmtId="187" fontId="25" fillId="0" borderId="14" xfId="2" applyNumberFormat="1" applyFont="1" applyBorder="1">
      <alignment vertical="center"/>
    </xf>
    <xf numFmtId="187" fontId="25" fillId="0" borderId="9" xfId="2" applyNumberFormat="1" applyFont="1" applyBorder="1">
      <alignment vertical="center"/>
    </xf>
    <xf numFmtId="187" fontId="25" fillId="0" borderId="7" xfId="2" applyNumberFormat="1" applyFont="1" applyBorder="1">
      <alignment vertical="center"/>
    </xf>
    <xf numFmtId="187" fontId="25" fillId="0" borderId="0" xfId="2" applyNumberFormat="1" applyFont="1" applyBorder="1">
      <alignment vertical="center"/>
    </xf>
    <xf numFmtId="187" fontId="25" fillId="0" borderId="10" xfId="2" applyNumberFormat="1" applyFont="1" applyBorder="1">
      <alignment vertical="center"/>
    </xf>
    <xf numFmtId="187" fontId="25" fillId="0" borderId="8" xfId="2" applyNumberFormat="1" applyFont="1" applyBorder="1">
      <alignment vertical="center"/>
    </xf>
    <xf numFmtId="187" fontId="25" fillId="0" borderId="15" xfId="2" applyNumberFormat="1" applyFont="1" applyBorder="1">
      <alignment vertical="center"/>
    </xf>
    <xf numFmtId="187" fontId="25" fillId="0" borderId="11" xfId="2" applyNumberFormat="1" applyFont="1" applyBorder="1">
      <alignment vertical="center"/>
    </xf>
    <xf numFmtId="0" fontId="26" fillId="3" borderId="14" xfId="0" applyFont="1" applyFill="1" applyBorder="1">
      <alignment vertical="center"/>
    </xf>
    <xf numFmtId="0" fontId="26" fillId="3" borderId="9" xfId="0" applyFont="1" applyFill="1" applyBorder="1">
      <alignment vertical="center"/>
    </xf>
    <xf numFmtId="183" fontId="26" fillId="3" borderId="0" xfId="1" applyNumberFormat="1" applyFont="1" applyFill="1" applyBorder="1">
      <alignment vertical="center"/>
    </xf>
    <xf numFmtId="182" fontId="26" fillId="3" borderId="0" xfId="1" applyNumberFormat="1" applyFont="1" applyFill="1" applyBorder="1">
      <alignment vertical="center"/>
    </xf>
    <xf numFmtId="188" fontId="26" fillId="3" borderId="7" xfId="0" applyNumberFormat="1" applyFont="1" applyFill="1" applyBorder="1">
      <alignment vertical="center"/>
    </xf>
    <xf numFmtId="179" fontId="26" fillId="3" borderId="7" xfId="0" applyNumberFormat="1" applyFont="1" applyFill="1" applyBorder="1">
      <alignment vertical="center"/>
    </xf>
    <xf numFmtId="179" fontId="26" fillId="3" borderId="8" xfId="0" applyNumberFormat="1" applyFont="1" applyFill="1" applyBorder="1">
      <alignment vertical="center"/>
    </xf>
    <xf numFmtId="0" fontId="19" fillId="6" borderId="8" xfId="0" applyFont="1" applyFill="1" applyBorder="1">
      <alignment vertical="center"/>
    </xf>
    <xf numFmtId="178" fontId="20" fillId="0" borderId="1" xfId="1" applyNumberFormat="1" applyFont="1" applyBorder="1">
      <alignment vertical="center"/>
    </xf>
    <xf numFmtId="178" fontId="20" fillId="0" borderId="3" xfId="1" applyNumberFormat="1" applyFont="1" applyBorder="1">
      <alignment vertical="center"/>
    </xf>
    <xf numFmtId="178" fontId="20" fillId="0" borderId="4" xfId="1" applyNumberFormat="1" applyFont="1" applyBorder="1">
      <alignment vertical="center"/>
    </xf>
    <xf numFmtId="178" fontId="22" fillId="0" borderId="2" xfId="0" applyNumberFormat="1" applyFont="1" applyBorder="1">
      <alignment vertical="center"/>
    </xf>
    <xf numFmtId="0" fontId="18" fillId="6" borderId="6" xfId="0" applyFont="1" applyFill="1" applyBorder="1">
      <alignment vertical="center"/>
    </xf>
    <xf numFmtId="0" fontId="18" fillId="6" borderId="7" xfId="0" applyFont="1" applyFill="1" applyBorder="1">
      <alignment vertical="center"/>
    </xf>
    <xf numFmtId="0" fontId="23" fillId="0" borderId="6" xfId="0" applyFont="1" applyBorder="1">
      <alignment vertical="center"/>
    </xf>
    <xf numFmtId="9" fontId="23" fillId="0" borderId="14" xfId="0" applyNumberFormat="1" applyFont="1" applyBorder="1">
      <alignment vertical="center"/>
    </xf>
    <xf numFmtId="9" fontId="23" fillId="0" borderId="7" xfId="0" applyNumberFormat="1" applyFont="1" applyBorder="1">
      <alignment vertical="center"/>
    </xf>
    <xf numFmtId="0" fontId="23" fillId="0" borderId="0" xfId="0" applyFont="1" applyBorder="1">
      <alignment vertical="center"/>
    </xf>
    <xf numFmtId="9" fontId="23" fillId="0" borderId="10" xfId="0" applyNumberFormat="1" applyFont="1" applyBorder="1">
      <alignment vertical="center"/>
    </xf>
    <xf numFmtId="9" fontId="23" fillId="0" borderId="8" xfId="0" applyNumberFormat="1" applyFont="1" applyBorder="1">
      <alignment vertical="center"/>
    </xf>
    <xf numFmtId="9" fontId="23" fillId="0" borderId="15" xfId="0" applyNumberFormat="1" applyFont="1" applyBorder="1">
      <alignment vertical="center"/>
    </xf>
    <xf numFmtId="0" fontId="23" fillId="0" borderId="11" xfId="0" applyFont="1" applyBorder="1">
      <alignment vertical="center"/>
    </xf>
    <xf numFmtId="0" fontId="23" fillId="0" borderId="14" xfId="0" applyFont="1" applyBorder="1">
      <alignment vertical="center"/>
    </xf>
    <xf numFmtId="0" fontId="23" fillId="0" borderId="9" xfId="0" applyFont="1" applyBorder="1">
      <alignment vertical="center"/>
    </xf>
    <xf numFmtId="0" fontId="23" fillId="0" borderId="7" xfId="0" applyFont="1" applyBorder="1">
      <alignment vertical="center"/>
    </xf>
    <xf numFmtId="0" fontId="23" fillId="0" borderId="10" xfId="0" applyFont="1" applyBorder="1">
      <alignment vertical="center"/>
    </xf>
    <xf numFmtId="0" fontId="23" fillId="0" borderId="8" xfId="0" applyFont="1" applyBorder="1">
      <alignment vertical="center"/>
    </xf>
    <xf numFmtId="0" fontId="23" fillId="0" borderId="15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20" fillId="3" borderId="5" xfId="0" applyFont="1" applyFill="1" applyBorder="1">
      <alignment vertical="center"/>
    </xf>
    <xf numFmtId="0" fontId="23" fillId="3" borderId="0" xfId="0" applyFont="1" applyFill="1" applyBorder="1">
      <alignment vertical="center"/>
    </xf>
    <xf numFmtId="0" fontId="23" fillId="3" borderId="15" xfId="0" applyFont="1" applyFill="1" applyBorder="1">
      <alignment vertical="center"/>
    </xf>
    <xf numFmtId="184" fontId="21" fillId="0" borderId="9" xfId="0" applyNumberFormat="1" applyFont="1" applyBorder="1">
      <alignment vertical="center"/>
    </xf>
    <xf numFmtId="184" fontId="21" fillId="0" borderId="10" xfId="0" applyNumberFormat="1" applyFont="1" applyBorder="1">
      <alignment vertical="center"/>
    </xf>
    <xf numFmtId="184" fontId="21" fillId="0" borderId="11" xfId="0" applyNumberFormat="1" applyFont="1" applyBorder="1">
      <alignment vertical="center"/>
    </xf>
    <xf numFmtId="0" fontId="21" fillId="0" borderId="0" xfId="0" applyFont="1" applyBorder="1">
      <alignment vertical="center"/>
    </xf>
    <xf numFmtId="0" fontId="24" fillId="7" borderId="3" xfId="0" applyFont="1" applyFill="1" applyBorder="1">
      <alignment vertical="center"/>
    </xf>
    <xf numFmtId="0" fontId="24" fillId="7" borderId="4" xfId="0" applyFont="1" applyFill="1" applyBorder="1">
      <alignment vertical="center"/>
    </xf>
    <xf numFmtId="0" fontId="24" fillId="3" borderId="5" xfId="0" applyFont="1" applyFill="1" applyBorder="1">
      <alignment vertical="center"/>
    </xf>
    <xf numFmtId="0" fontId="24" fillId="3" borderId="12" xfId="0" applyFont="1" applyFill="1" applyBorder="1">
      <alignment vertical="center"/>
    </xf>
    <xf numFmtId="0" fontId="24" fillId="3" borderId="13" xfId="0" applyFont="1" applyFill="1" applyBorder="1">
      <alignment vertical="center"/>
    </xf>
    <xf numFmtId="0" fontId="24" fillId="7" borderId="8" xfId="0" applyFont="1" applyFill="1" applyBorder="1">
      <alignment vertical="center"/>
    </xf>
    <xf numFmtId="43" fontId="23" fillId="0" borderId="7" xfId="1" applyFont="1" applyBorder="1">
      <alignment vertical="center"/>
    </xf>
    <xf numFmtId="43" fontId="23" fillId="0" borderId="10" xfId="1" applyFont="1" applyBorder="1">
      <alignment vertical="center"/>
    </xf>
    <xf numFmtId="43" fontId="23" fillId="0" borderId="8" xfId="1" applyFont="1" applyBorder="1">
      <alignment vertical="center"/>
    </xf>
    <xf numFmtId="43" fontId="23" fillId="0" borderId="11" xfId="1" applyFont="1" applyBorder="1">
      <alignment vertical="center"/>
    </xf>
    <xf numFmtId="9" fontId="22" fillId="6" borderId="11" xfId="0" applyNumberFormat="1" applyFont="1" applyFill="1" applyBorder="1">
      <alignment vertical="center"/>
    </xf>
    <xf numFmtId="178" fontId="27" fillId="6" borderId="8" xfId="0" applyNumberFormat="1" applyFont="1" applyFill="1" applyBorder="1">
      <alignment vertical="center"/>
    </xf>
    <xf numFmtId="178" fontId="27" fillId="6" borderId="11" xfId="0" applyNumberFormat="1" applyFont="1" applyFill="1" applyBorder="1">
      <alignment vertical="center"/>
    </xf>
    <xf numFmtId="0" fontId="21" fillId="6" borderId="1" xfId="0" applyFont="1" applyFill="1" applyBorder="1">
      <alignment vertical="center"/>
    </xf>
    <xf numFmtId="0" fontId="21" fillId="6" borderId="4" xfId="0" applyFont="1" applyFill="1" applyBorder="1">
      <alignment vertical="center"/>
    </xf>
    <xf numFmtId="0" fontId="28" fillId="0" borderId="0" xfId="0" applyFont="1">
      <alignment vertical="center"/>
    </xf>
    <xf numFmtId="14" fontId="29" fillId="0" borderId="0" xfId="0" applyNumberFormat="1" applyFont="1">
      <alignment vertical="center"/>
    </xf>
    <xf numFmtId="189" fontId="20" fillId="0" borderId="0" xfId="2" applyNumberFormat="1" applyFont="1">
      <alignment vertical="center"/>
    </xf>
    <xf numFmtId="0" fontId="29" fillId="2" borderId="1" xfId="0" applyFont="1" applyFill="1" applyBorder="1">
      <alignment vertical="center"/>
    </xf>
    <xf numFmtId="14" fontId="30" fillId="2" borderId="2" xfId="0" applyNumberFormat="1" applyFont="1" applyFill="1" applyBorder="1">
      <alignment vertical="center"/>
    </xf>
    <xf numFmtId="0" fontId="31" fillId="8" borderId="1" xfId="0" applyFont="1" applyFill="1" applyBorder="1" applyAlignment="1"/>
    <xf numFmtId="0" fontId="31" fillId="8" borderId="3" xfId="0" applyFont="1" applyFill="1" applyBorder="1">
      <alignment vertical="center"/>
    </xf>
    <xf numFmtId="186" fontId="31" fillId="8" borderId="3" xfId="0" applyNumberFormat="1" applyFont="1" applyFill="1" applyBorder="1" applyAlignment="1">
      <alignment horizontal="left"/>
    </xf>
    <xf numFmtId="0" fontId="31" fillId="8" borderId="4" xfId="0" applyFont="1" applyFill="1" applyBorder="1">
      <alignment vertical="center"/>
    </xf>
    <xf numFmtId="0" fontId="20" fillId="0" borderId="6" xfId="0" applyFont="1" applyBorder="1">
      <alignment vertical="center"/>
    </xf>
    <xf numFmtId="14" fontId="20" fillId="3" borderId="14" xfId="0" applyNumberFormat="1" applyFont="1" applyFill="1" applyBorder="1">
      <alignment vertical="center"/>
    </xf>
    <xf numFmtId="0" fontId="20" fillId="0" borderId="14" xfId="0" applyFont="1" applyBorder="1">
      <alignment vertical="center"/>
    </xf>
    <xf numFmtId="190" fontId="20" fillId="0" borderId="14" xfId="0" applyNumberFormat="1" applyFont="1" applyBorder="1">
      <alignment vertical="center"/>
    </xf>
    <xf numFmtId="190" fontId="20" fillId="0" borderId="9" xfId="0" applyNumberFormat="1" applyFont="1" applyBorder="1">
      <alignment vertical="center"/>
    </xf>
    <xf numFmtId="0" fontId="11" fillId="0" borderId="5" xfId="0" applyFont="1" applyFill="1" applyBorder="1" applyAlignment="1">
      <alignment horizontal="center" vertical="center"/>
    </xf>
    <xf numFmtId="0" fontId="24" fillId="0" borderId="7" xfId="3" applyFont="1" applyFill="1" applyBorder="1" applyAlignment="1">
      <alignment horizontal="right"/>
    </xf>
    <xf numFmtId="14" fontId="20" fillId="3" borderId="0" xfId="0" applyNumberFormat="1" applyFont="1" applyFill="1" applyBorder="1">
      <alignment vertical="center"/>
    </xf>
    <xf numFmtId="177" fontId="24" fillId="0" borderId="0" xfId="2" applyNumberFormat="1" applyFont="1" applyFill="1" applyBorder="1" applyAlignment="1"/>
    <xf numFmtId="177" fontId="24" fillId="0" borderId="0" xfId="4" applyNumberFormat="1" applyFont="1" applyFill="1" applyBorder="1" applyProtection="1">
      <protection locked="0"/>
    </xf>
    <xf numFmtId="190" fontId="20" fillId="0" borderId="0" xfId="0" applyNumberFormat="1" applyFont="1" applyBorder="1">
      <alignment vertical="center"/>
    </xf>
    <xf numFmtId="190" fontId="20" fillId="3" borderId="10" xfId="0" applyNumberFormat="1" applyFont="1" applyFill="1" applyBorder="1">
      <alignment vertical="center"/>
    </xf>
    <xf numFmtId="0" fontId="32" fillId="0" borderId="0" xfId="3" applyFont="1" applyFill="1" applyAlignment="1">
      <alignment horizontal="right"/>
    </xf>
    <xf numFmtId="0" fontId="24" fillId="0" borderId="0" xfId="3" applyFont="1" applyFill="1"/>
    <xf numFmtId="0" fontId="11" fillId="0" borderId="12" xfId="0" applyFont="1" applyFill="1" applyBorder="1" applyAlignment="1">
      <alignment horizontal="center" vertical="center"/>
    </xf>
    <xf numFmtId="0" fontId="20" fillId="0" borderId="7" xfId="0" applyFont="1" applyBorder="1">
      <alignment vertical="center"/>
    </xf>
    <xf numFmtId="0" fontId="32" fillId="0" borderId="0" xfId="3" applyFill="1"/>
    <xf numFmtId="0" fontId="0" fillId="9" borderId="6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7" xfId="0" applyFill="1" applyBorder="1">
      <alignment vertical="center"/>
    </xf>
    <xf numFmtId="14" fontId="9" fillId="9" borderId="0" xfId="0" applyNumberFormat="1" applyFont="1" applyFill="1" applyBorder="1">
      <alignment vertical="center"/>
    </xf>
    <xf numFmtId="14" fontId="5" fillId="8" borderId="2" xfId="0" applyNumberFormat="1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14" fontId="7" fillId="0" borderId="6" xfId="0" applyNumberFormat="1" applyFont="1" applyFill="1" applyBorder="1">
      <alignment vertical="center"/>
    </xf>
    <xf numFmtId="176" fontId="8" fillId="0" borderId="6" xfId="0" applyNumberFormat="1" applyFont="1" applyFill="1" applyBorder="1">
      <alignment vertical="center"/>
    </xf>
    <xf numFmtId="176" fontId="8" fillId="0" borderId="7" xfId="0" applyNumberFormat="1" applyFont="1" applyFill="1" applyBorder="1">
      <alignment vertical="center"/>
    </xf>
    <xf numFmtId="176" fontId="10" fillId="0" borderId="7" xfId="0" applyNumberFormat="1" applyFont="1" applyFill="1" applyBorder="1">
      <alignment vertical="center"/>
    </xf>
    <xf numFmtId="176" fontId="10" fillId="0" borderId="8" xfId="0" applyNumberFormat="1" applyFont="1" applyFill="1" applyBorder="1">
      <alignment vertical="center"/>
    </xf>
    <xf numFmtId="189" fontId="8" fillId="0" borderId="5" xfId="2" applyNumberFormat="1" applyFont="1" applyFill="1" applyBorder="1">
      <alignment vertical="center"/>
    </xf>
    <xf numFmtId="189" fontId="8" fillId="0" borderId="12" xfId="2" applyNumberFormat="1" applyFont="1" applyFill="1" applyBorder="1">
      <alignment vertical="center"/>
    </xf>
    <xf numFmtId="189" fontId="10" fillId="0" borderId="12" xfId="2" applyNumberFormat="1" applyFont="1" applyFill="1" applyBorder="1">
      <alignment vertical="center"/>
    </xf>
    <xf numFmtId="189" fontId="10" fillId="0" borderId="13" xfId="2" applyNumberFormat="1" applyFont="1" applyFill="1" applyBorder="1">
      <alignment vertical="center"/>
    </xf>
    <xf numFmtId="0" fontId="3" fillId="10" borderId="12" xfId="0" applyFont="1" applyFill="1" applyBorder="1">
      <alignment vertical="center"/>
    </xf>
    <xf numFmtId="0" fontId="3" fillId="3" borderId="7" xfId="0" applyFont="1" applyFill="1" applyBorder="1">
      <alignment vertical="center"/>
    </xf>
    <xf numFmtId="14" fontId="7" fillId="0" borderId="7" xfId="0" applyNumberFormat="1" applyFont="1" applyFill="1" applyBorder="1">
      <alignment vertical="center"/>
    </xf>
    <xf numFmtId="0" fontId="3" fillId="10" borderId="13" xfId="0" applyFont="1" applyFill="1" applyBorder="1">
      <alignment vertical="center"/>
    </xf>
    <xf numFmtId="0" fontId="3" fillId="3" borderId="8" xfId="0" quotePrefix="1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9" fillId="9" borderId="10" xfId="0" applyFont="1" applyFill="1" applyBorder="1">
      <alignment vertical="center"/>
    </xf>
    <xf numFmtId="14" fontId="7" fillId="0" borderId="8" xfId="0" applyNumberFormat="1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9" fillId="9" borderId="0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0" fillId="9" borderId="8" xfId="0" applyFill="1" applyBorder="1">
      <alignment vertical="center"/>
    </xf>
    <xf numFmtId="0" fontId="0" fillId="9" borderId="15" xfId="0" applyFill="1" applyBorder="1">
      <alignment vertical="center"/>
    </xf>
    <xf numFmtId="0" fontId="20" fillId="0" borderId="8" xfId="0" applyFont="1" applyBorder="1">
      <alignment vertical="center"/>
    </xf>
    <xf numFmtId="14" fontId="20" fillId="3" borderId="15" xfId="0" applyNumberFormat="1" applyFont="1" applyFill="1" applyBorder="1">
      <alignment vertical="center"/>
    </xf>
    <xf numFmtId="177" fontId="24" fillId="0" borderId="15" xfId="2" applyNumberFormat="1" applyFont="1" applyFill="1" applyBorder="1" applyAlignment="1"/>
    <xf numFmtId="177" fontId="24" fillId="0" borderId="15" xfId="4" applyNumberFormat="1" applyFont="1" applyFill="1" applyBorder="1" applyProtection="1">
      <protection locked="0"/>
    </xf>
    <xf numFmtId="190" fontId="20" fillId="0" borderId="15" xfId="0" applyNumberFormat="1" applyFont="1" applyBorder="1">
      <alignment vertical="center"/>
    </xf>
    <xf numFmtId="190" fontId="20" fillId="3" borderId="11" xfId="0" applyNumberFormat="1" applyFont="1" applyFill="1" applyBorder="1">
      <alignment vertical="center"/>
    </xf>
    <xf numFmtId="0" fontId="15" fillId="0" borderId="5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0" fillId="8" borderId="2" xfId="0" applyFill="1" applyBorder="1">
      <alignment vertical="center"/>
    </xf>
    <xf numFmtId="0" fontId="5" fillId="8" borderId="1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9" fillId="9" borderId="9" xfId="0" applyFont="1" applyFill="1" applyBorder="1">
      <alignment vertical="center"/>
    </xf>
    <xf numFmtId="0" fontId="9" fillId="9" borderId="11" xfId="0" applyFont="1" applyFill="1" applyBorder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5" fillId="3" borderId="14" xfId="0" applyFont="1" applyFill="1" applyBorder="1">
      <alignment vertical="center"/>
    </xf>
    <xf numFmtId="0" fontId="5" fillId="3" borderId="9" xfId="0" applyFont="1" applyFill="1" applyBorder="1">
      <alignment vertical="center"/>
    </xf>
    <xf numFmtId="178" fontId="8" fillId="0" borderId="0" xfId="1" applyNumberFormat="1" applyFont="1" applyBorder="1">
      <alignment vertical="center"/>
    </xf>
    <xf numFmtId="186" fontId="11" fillId="0" borderId="12" xfId="0" applyNumberFormat="1" applyFont="1" applyFill="1" applyBorder="1" applyAlignment="1">
      <alignment horizontal="right" vertical="center"/>
    </xf>
    <xf numFmtId="0" fontId="5" fillId="2" borderId="1" xfId="5" applyFont="1" applyFill="1" applyBorder="1" applyAlignment="1">
      <alignment horizontal="left"/>
    </xf>
    <xf numFmtId="0" fontId="6" fillId="2" borderId="4" xfId="5" applyFont="1" applyFill="1" applyBorder="1">
      <alignment vertical="center"/>
    </xf>
    <xf numFmtId="0" fontId="3" fillId="5" borderId="6" xfId="5" applyFont="1" applyFill="1" applyBorder="1" applyAlignment="1">
      <alignment horizontal="left"/>
    </xf>
    <xf numFmtId="0" fontId="11" fillId="0" borderId="5" xfId="5" applyFont="1" applyBorder="1">
      <alignment vertical="center"/>
    </xf>
    <xf numFmtId="0" fontId="3" fillId="5" borderId="7" xfId="5" applyFont="1" applyFill="1" applyBorder="1" applyAlignment="1">
      <alignment horizontal="left"/>
    </xf>
    <xf numFmtId="0" fontId="11" fillId="0" borderId="12" xfId="5" applyFont="1" applyBorder="1">
      <alignment vertical="center"/>
    </xf>
    <xf numFmtId="0" fontId="11" fillId="0" borderId="12" xfId="5" applyFont="1" applyBorder="1" applyAlignment="1">
      <alignment horizontal="left" vertical="center"/>
    </xf>
    <xf numFmtId="0" fontId="13" fillId="0" borderId="12" xfId="5" applyFont="1" applyBorder="1">
      <alignment vertical="center"/>
    </xf>
    <xf numFmtId="0" fontId="3" fillId="5" borderId="8" xfId="5" applyFont="1" applyFill="1" applyBorder="1" applyAlignment="1">
      <alignment horizontal="left" vertical="center"/>
    </xf>
    <xf numFmtId="0" fontId="11" fillId="0" borderId="13" xfId="5" applyFont="1" applyFill="1" applyBorder="1" applyAlignment="1">
      <alignment horizontal="left" vertical="center"/>
    </xf>
    <xf numFmtId="0" fontId="33" fillId="0" borderId="0" xfId="5">
      <alignment vertical="center"/>
    </xf>
    <xf numFmtId="0" fontId="5" fillId="2" borderId="5" xfId="5" applyFont="1" applyFill="1" applyBorder="1">
      <alignment vertical="center"/>
    </xf>
    <xf numFmtId="0" fontId="34" fillId="0" borderId="1" xfId="0" applyFont="1" applyBorder="1">
      <alignment vertical="center"/>
    </xf>
    <xf numFmtId="10" fontId="34" fillId="0" borderId="4" xfId="2" applyNumberFormat="1" applyFont="1" applyBorder="1">
      <alignment vertical="center"/>
    </xf>
    <xf numFmtId="0" fontId="14" fillId="8" borderId="1" xfId="0" applyFont="1" applyFill="1" applyBorder="1">
      <alignment vertical="center"/>
    </xf>
    <xf numFmtId="0" fontId="35" fillId="0" borderId="10" xfId="0" applyFont="1" applyBorder="1">
      <alignment vertical="center"/>
    </xf>
    <xf numFmtId="0" fontId="35" fillId="0" borderId="11" xfId="0" applyFont="1" applyBorder="1">
      <alignment vertical="center"/>
    </xf>
    <xf numFmtId="0" fontId="19" fillId="8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183" fontId="19" fillId="6" borderId="4" xfId="0" applyNumberFormat="1" applyFont="1" applyFill="1" applyBorder="1">
      <alignment vertical="center"/>
    </xf>
    <xf numFmtId="0" fontId="19" fillId="0" borderId="9" xfId="5" applyFont="1" applyBorder="1">
      <alignment vertical="center"/>
    </xf>
    <xf numFmtId="0" fontId="5" fillId="2" borderId="2" xfId="5" applyFont="1" applyFill="1" applyBorder="1">
      <alignment vertical="center"/>
    </xf>
    <xf numFmtId="181" fontId="19" fillId="8" borderId="4" xfId="5" applyNumberFormat="1" applyFont="1" applyFill="1" applyBorder="1">
      <alignment vertical="center"/>
    </xf>
    <xf numFmtId="43" fontId="31" fillId="0" borderId="10" xfId="1" applyFont="1" applyFill="1" applyBorder="1">
      <alignment vertical="center"/>
    </xf>
    <xf numFmtId="185" fontId="28" fillId="0" borderId="5" xfId="1" applyNumberFormat="1" applyFont="1" applyFill="1" applyBorder="1">
      <alignment vertical="center"/>
    </xf>
    <xf numFmtId="183" fontId="28" fillId="0" borderId="5" xfId="1" applyNumberFormat="1" applyFont="1" applyFill="1" applyBorder="1">
      <alignment vertical="center"/>
    </xf>
    <xf numFmtId="186" fontId="28" fillId="0" borderId="12" xfId="2" applyNumberFormat="1" applyFont="1" applyFill="1" applyBorder="1">
      <alignment vertical="center"/>
    </xf>
    <xf numFmtId="43" fontId="27" fillId="6" borderId="10" xfId="1" applyFont="1" applyFill="1" applyBorder="1">
      <alignment vertical="center"/>
    </xf>
    <xf numFmtId="185" fontId="27" fillId="6" borderId="12" xfId="1" applyNumberFormat="1" applyFont="1" applyFill="1" applyBorder="1">
      <alignment vertical="center"/>
    </xf>
    <xf numFmtId="183" fontId="27" fillId="6" borderId="12" xfId="1" applyNumberFormat="1" applyFont="1" applyFill="1" applyBorder="1">
      <alignment vertical="center"/>
    </xf>
    <xf numFmtId="186" fontId="27" fillId="6" borderId="12" xfId="2" applyNumberFormat="1" applyFont="1" applyFill="1" applyBorder="1">
      <alignment vertical="center"/>
    </xf>
    <xf numFmtId="43" fontId="27" fillId="6" borderId="11" xfId="1" applyFont="1" applyFill="1" applyBorder="1">
      <alignment vertical="center"/>
    </xf>
    <xf numFmtId="185" fontId="27" fillId="6" borderId="13" xfId="1" applyNumberFormat="1" applyFont="1" applyFill="1" applyBorder="1">
      <alignment vertical="center"/>
    </xf>
    <xf numFmtId="183" fontId="27" fillId="6" borderId="13" xfId="1" applyNumberFormat="1" applyFont="1" applyFill="1" applyBorder="1">
      <alignment vertical="center"/>
    </xf>
    <xf numFmtId="186" fontId="27" fillId="6" borderId="13" xfId="2" applyNumberFormat="1" applyFont="1" applyFill="1" applyBorder="1">
      <alignment vertical="center"/>
    </xf>
  </cellXfs>
  <cellStyles count="6">
    <cellStyle name="一般" xfId="0" builtinId="0"/>
    <cellStyle name="一般 4" xfId="5"/>
    <cellStyle name="一般_0726" xfId="3"/>
    <cellStyle name="一般_0902" xfId="4"/>
    <cellStyle name="千分位" xfId="1" builtinId="3"/>
    <cellStyle name="百分比" xfId="2" builtinId="5"/>
  </cellStyles>
  <dxfs count="0"/>
  <tableStyles count="0" defaultTableStyle="TableStyleMedium9" defaultPivotStyle="PivotStyleLight16"/>
  <colors>
    <mruColors>
      <color rgb="FFFFFFCC"/>
      <color rgb="FFFFFF99"/>
      <color rgb="FFCCFFFF"/>
      <color rgb="FF800000"/>
      <color rgb="FF0000CC"/>
      <color rgb="FFFFCCFF"/>
      <color rgb="FFFFCCCC"/>
      <color rgb="FFCCFFCC"/>
      <color rgb="FF006600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S26" sqref="S26"/>
    </sheetView>
  </sheetViews>
  <sheetFormatPr defaultRowHeight="16.75"/>
  <cols>
    <col min="1" max="1" width="3.61328125" customWidth="1"/>
    <col min="2" max="2" width="8.765625" customWidth="1"/>
    <col min="3" max="3" width="21.15234375" customWidth="1"/>
    <col min="4" max="4" width="20.3828125" customWidth="1"/>
    <col min="5" max="5" width="21.61328125" customWidth="1"/>
    <col min="6" max="6" width="18.15234375" customWidth="1"/>
    <col min="7" max="7" width="16.15234375" customWidth="1"/>
    <col min="8" max="8" width="5.3828125" customWidth="1"/>
    <col min="9" max="9" width="15.3828125" customWidth="1"/>
    <col min="10" max="10" width="18.3828125" customWidth="1"/>
    <col min="11" max="11" width="16.4609375" customWidth="1"/>
    <col min="12" max="12" width="11.84375" customWidth="1"/>
    <col min="13" max="13" width="13.23046875" customWidth="1"/>
    <col min="14" max="14" width="14.84375" customWidth="1"/>
    <col min="15" max="15" width="6.15234375" customWidth="1"/>
  </cols>
  <sheetData>
    <row r="1" spans="1:1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5" ht="17.149999999999999" thickBot="1">
      <c r="A2" s="76"/>
      <c r="B2" s="76"/>
      <c r="C2" s="191" t="s">
        <v>63</v>
      </c>
      <c r="D2" s="192">
        <v>44104</v>
      </c>
      <c r="E2" s="76"/>
      <c r="F2" s="76"/>
      <c r="G2" s="193"/>
      <c r="H2" s="76"/>
      <c r="I2" s="76"/>
      <c r="J2" s="76"/>
      <c r="K2" s="76"/>
      <c r="L2" s="76"/>
      <c r="M2" s="76"/>
      <c r="N2" s="76"/>
    </row>
    <row r="3" spans="1:15" ht="17.149999999999999" thickBot="1">
      <c r="A3" s="76"/>
      <c r="B3" s="76"/>
      <c r="C3" s="194" t="s">
        <v>64</v>
      </c>
      <c r="D3" s="195" t="b">
        <f>qlSettingsSetEvaluationDate(D2)</f>
        <v>1</v>
      </c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17.149999999999999" thickBo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</row>
    <row r="5" spans="1:15" ht="17.149999999999999" thickBot="1">
      <c r="A5" s="76"/>
      <c r="B5" s="196" t="s">
        <v>65</v>
      </c>
      <c r="C5" s="197" t="s">
        <v>66</v>
      </c>
      <c r="D5" s="198" t="s">
        <v>67</v>
      </c>
      <c r="E5" s="198" t="s">
        <v>68</v>
      </c>
      <c r="F5" s="197" t="s">
        <v>69</v>
      </c>
      <c r="G5" s="199" t="s">
        <v>70</v>
      </c>
      <c r="H5" s="76"/>
      <c r="I5" s="10"/>
      <c r="J5" s="3" t="s">
        <v>71</v>
      </c>
      <c r="K5" s="11" t="str">
        <f>qlDiscountCurve(K6,C6:C68,G6:G68,K9,K10,K11,K12)</f>
        <v>DFCurve#0000</v>
      </c>
      <c r="L5" s="76"/>
      <c r="M5" s="76"/>
      <c r="N5" s="76"/>
    </row>
    <row r="6" spans="1:15">
      <c r="A6" s="76"/>
      <c r="B6" s="200">
        <v>0</v>
      </c>
      <c r="C6" s="201">
        <f>D2</f>
        <v>44104</v>
      </c>
      <c r="D6" s="202"/>
      <c r="E6" s="202"/>
      <c r="F6" s="203">
        <v>1</v>
      </c>
      <c r="G6" s="204">
        <v>1</v>
      </c>
      <c r="H6" s="76"/>
      <c r="I6" s="12" t="s">
        <v>72</v>
      </c>
      <c r="J6" s="13" t="s">
        <v>73</v>
      </c>
      <c r="K6" s="205" t="s">
        <v>74</v>
      </c>
      <c r="L6" s="76"/>
      <c r="M6" s="76"/>
      <c r="N6" s="76"/>
    </row>
    <row r="7" spans="1:15">
      <c r="A7" s="76"/>
      <c r="B7" s="206">
        <v>1</v>
      </c>
      <c r="C7" s="207">
        <f>EDATE($D$2,B7)</f>
        <v>44134</v>
      </c>
      <c r="D7" s="208">
        <v>1.9419999999999999E-3</v>
      </c>
      <c r="E7" s="209">
        <v>1.9070000000000001E-3</v>
      </c>
      <c r="F7" s="210">
        <f>1/(1+D7*($C7-$D$2)/365)</f>
        <v>0.99984040903498528</v>
      </c>
      <c r="G7" s="211">
        <f>1/(1+E7*($C7-$D$2)/365)</f>
        <v>0.99984328483746432</v>
      </c>
      <c r="H7" s="76"/>
      <c r="I7" s="15" t="s">
        <v>75</v>
      </c>
      <c r="J7" s="16" t="s">
        <v>76</v>
      </c>
      <c r="K7" s="17"/>
      <c r="L7" s="212"/>
      <c r="M7" s="76"/>
      <c r="N7" s="76"/>
    </row>
    <row r="8" spans="1:15">
      <c r="A8" s="76"/>
      <c r="B8" s="206">
        <v>3</v>
      </c>
      <c r="C8" s="207">
        <f t="shared" ref="C8:C68" si="0">EDATE($D$2,B8)</f>
        <v>44195</v>
      </c>
      <c r="D8" s="208">
        <v>1.859E-3</v>
      </c>
      <c r="E8" s="209">
        <v>1.8760000000000001E-3</v>
      </c>
      <c r="F8" s="210">
        <f t="shared" ref="F8:F9" si="1">1/(1+D8*(C8-$D$2)/365)</f>
        <v>0.99953673799882048</v>
      </c>
      <c r="G8" s="211">
        <f t="shared" ref="G8:G9" si="2">1/(1+E8*(C8-$D$2)/365)</f>
        <v>0.99953250358662393</v>
      </c>
      <c r="H8" s="76"/>
      <c r="I8" s="15" t="s">
        <v>77</v>
      </c>
      <c r="J8" s="16" t="s">
        <v>78</v>
      </c>
      <c r="K8" s="17"/>
      <c r="L8" s="212"/>
      <c r="M8" s="76"/>
      <c r="N8" s="76"/>
    </row>
    <row r="9" spans="1:15">
      <c r="A9" s="213"/>
      <c r="B9" s="206">
        <v>6</v>
      </c>
      <c r="C9" s="207">
        <f t="shared" si="0"/>
        <v>44285</v>
      </c>
      <c r="D9" s="208">
        <v>1.769E-3</v>
      </c>
      <c r="E9" s="209">
        <v>1.8270000000000001E-3</v>
      </c>
      <c r="F9" s="210">
        <f t="shared" si="1"/>
        <v>0.99912353872126125</v>
      </c>
      <c r="G9" s="211">
        <f t="shared" si="2"/>
        <v>0.99909482829730101</v>
      </c>
      <c r="H9" s="76"/>
      <c r="I9" s="15" t="s">
        <v>72</v>
      </c>
      <c r="J9" s="16" t="s">
        <v>79</v>
      </c>
      <c r="K9" s="214" t="s">
        <v>80</v>
      </c>
      <c r="L9" s="212"/>
      <c r="M9" s="76"/>
      <c r="N9" s="76"/>
    </row>
    <row r="10" spans="1:15">
      <c r="A10" s="213"/>
      <c r="B10" s="215">
        <v>12</v>
      </c>
      <c r="C10" s="207">
        <f t="shared" si="0"/>
        <v>44469</v>
      </c>
      <c r="D10" s="208">
        <v>1.5809999999999999E-3</v>
      </c>
      <c r="E10" s="209">
        <v>1.7390000000000001E-3</v>
      </c>
      <c r="F10" s="210">
        <f>1/(1+D10*($C10-$D$2)/365)</f>
        <v>0.99842149561543192</v>
      </c>
      <c r="G10" s="211">
        <f>1/(1+E10*($C10-$D$2)/365)</f>
        <v>0.9982640188711831</v>
      </c>
      <c r="H10" s="76"/>
      <c r="I10" s="15" t="s">
        <v>81</v>
      </c>
      <c r="J10" s="16" t="s">
        <v>21</v>
      </c>
      <c r="K10" s="17" t="b">
        <v>0</v>
      </c>
      <c r="L10" s="216"/>
      <c r="M10" s="76"/>
      <c r="N10" s="76"/>
    </row>
    <row r="11" spans="1:15">
      <c r="A11" s="213"/>
      <c r="B11" s="215">
        <v>18</v>
      </c>
      <c r="C11" s="207">
        <f t="shared" si="0"/>
        <v>44650</v>
      </c>
      <c r="D11" s="208">
        <v>1.4120000000000001E-3</v>
      </c>
      <c r="E11" s="209">
        <v>1.6750000000000001E-3</v>
      </c>
      <c r="F11" s="210">
        <f>1/((1+D11)^(($C11-$D$2)/365))</f>
        <v>0.99789151852531821</v>
      </c>
      <c r="G11" s="211">
        <f>1/((1+E11)^(($C11-$D$2)/365))</f>
        <v>0.99749961086853867</v>
      </c>
      <c r="H11" s="76"/>
      <c r="I11" s="15" t="s">
        <v>82</v>
      </c>
      <c r="J11" s="16" t="s">
        <v>22</v>
      </c>
      <c r="K11" s="17"/>
      <c r="L11" s="216"/>
      <c r="M11" s="76"/>
      <c r="N11" s="76"/>
    </row>
    <row r="12" spans="1:15" ht="17.149999999999999" thickBot="1">
      <c r="A12" s="213"/>
      <c r="B12" s="215">
        <v>24</v>
      </c>
      <c r="C12" s="207">
        <f t="shared" si="0"/>
        <v>44834</v>
      </c>
      <c r="D12" s="208">
        <v>1.403E-3</v>
      </c>
      <c r="E12" s="209">
        <v>1.639E-3</v>
      </c>
      <c r="F12" s="210">
        <f t="shared" ref="F12:F68" si="3">1/((1+D12)^((C12-$D$2)/365))</f>
        <v>0.99719989419962918</v>
      </c>
      <c r="G12" s="211">
        <f t="shared" ref="G12:G68" si="4">1/((1+E12)^((C12-$D$2)/365))</f>
        <v>0.99673004138749033</v>
      </c>
      <c r="H12" s="76"/>
      <c r="I12" s="18" t="s">
        <v>81</v>
      </c>
      <c r="J12" s="19" t="s">
        <v>83</v>
      </c>
      <c r="K12" s="20" t="b">
        <v>1</v>
      </c>
      <c r="L12" s="216"/>
      <c r="M12" s="76"/>
      <c r="N12" s="76"/>
    </row>
    <row r="13" spans="1:15">
      <c r="A13" s="213"/>
      <c r="B13" s="215">
        <v>30</v>
      </c>
      <c r="C13" s="207">
        <f t="shared" si="0"/>
        <v>45015</v>
      </c>
      <c r="D13" s="208">
        <v>1.5679999999999999E-3</v>
      </c>
      <c r="E13" s="209">
        <v>1.6329999999999999E-3</v>
      </c>
      <c r="F13" s="210">
        <f t="shared" si="3"/>
        <v>0.99609714487380885</v>
      </c>
      <c r="G13" s="211">
        <f t="shared" si="4"/>
        <v>0.99593581646131801</v>
      </c>
      <c r="H13" s="76"/>
      <c r="I13" s="76"/>
      <c r="J13" s="76"/>
      <c r="K13" s="76"/>
      <c r="L13" s="216"/>
      <c r="M13" s="76"/>
      <c r="N13" s="76"/>
    </row>
    <row r="14" spans="1:15" ht="17.149999999999999" thickBot="1">
      <c r="A14" s="213"/>
      <c r="B14" s="215">
        <v>36</v>
      </c>
      <c r="C14" s="207">
        <f t="shared" si="0"/>
        <v>45199</v>
      </c>
      <c r="D14" s="208">
        <v>1.748E-3</v>
      </c>
      <c r="E14" s="209">
        <v>1.65E-3</v>
      </c>
      <c r="F14" s="210">
        <f t="shared" si="3"/>
        <v>0.99477427975348942</v>
      </c>
      <c r="G14" s="211">
        <f t="shared" si="4"/>
        <v>0.99506629018967385</v>
      </c>
      <c r="H14" s="76"/>
      <c r="I14" s="76"/>
      <c r="J14" s="76"/>
      <c r="K14" s="76"/>
      <c r="L14" s="216"/>
      <c r="M14" s="76"/>
      <c r="N14" s="76"/>
    </row>
    <row r="15" spans="1:15" ht="17.149999999999999" thickBot="1">
      <c r="A15" s="213"/>
      <c r="B15" s="215">
        <v>42</v>
      </c>
      <c r="C15" s="207">
        <f t="shared" si="0"/>
        <v>45381</v>
      </c>
      <c r="D15" s="208">
        <v>1.841E-3</v>
      </c>
      <c r="E15" s="209">
        <v>1.688E-3</v>
      </c>
      <c r="F15" s="210">
        <f t="shared" si="3"/>
        <v>0.99358560420581898</v>
      </c>
      <c r="G15" s="211">
        <f t="shared" si="4"/>
        <v>0.99411666611802363</v>
      </c>
      <c r="H15" s="217"/>
      <c r="I15" s="218"/>
      <c r="J15" s="218"/>
      <c r="K15" s="218"/>
      <c r="L15" s="218"/>
      <c r="M15" s="218"/>
      <c r="N15" s="218"/>
      <c r="O15" s="260"/>
    </row>
    <row r="16" spans="1:15" ht="17.149999999999999" thickBot="1">
      <c r="A16" s="213"/>
      <c r="B16" s="215">
        <v>48</v>
      </c>
      <c r="C16" s="207">
        <f t="shared" si="0"/>
        <v>45565</v>
      </c>
      <c r="D16" s="208">
        <v>1.856E-3</v>
      </c>
      <c r="E16" s="209">
        <v>1.7409999999999999E-3</v>
      </c>
      <c r="F16" s="210">
        <f t="shared" si="3"/>
        <v>0.99260527724096415</v>
      </c>
      <c r="G16" s="211">
        <f t="shared" si="4"/>
        <v>0.99306147292853597</v>
      </c>
      <c r="H16" s="219"/>
      <c r="I16" s="220"/>
      <c r="J16" s="221" t="s">
        <v>84</v>
      </c>
      <c r="K16" s="257"/>
      <c r="L16" s="222" t="s">
        <v>85</v>
      </c>
      <c r="M16" s="258" t="s">
        <v>86</v>
      </c>
      <c r="N16" s="259" t="s">
        <v>87</v>
      </c>
      <c r="O16" s="241"/>
    </row>
    <row r="17" spans="1:15">
      <c r="A17" s="213"/>
      <c r="B17" s="215">
        <v>54</v>
      </c>
      <c r="C17" s="207">
        <f t="shared" si="0"/>
        <v>45746</v>
      </c>
      <c r="D17" s="208">
        <v>1.861E-3</v>
      </c>
      <c r="E17" s="209">
        <v>1.805E-3</v>
      </c>
      <c r="F17" s="210">
        <f t="shared" si="3"/>
        <v>0.99167071211388291</v>
      </c>
      <c r="G17" s="211">
        <f t="shared" si="4"/>
        <v>0.99192011132469471</v>
      </c>
      <c r="H17" s="219"/>
      <c r="I17" s="223" t="s">
        <v>72</v>
      </c>
      <c r="J17" s="224" t="str">
        <f>K5</f>
        <v>DFCurve#0000</v>
      </c>
      <c r="K17" s="254" t="s">
        <v>91</v>
      </c>
      <c r="L17" s="225">
        <f>$D$2</f>
        <v>44104</v>
      </c>
      <c r="M17" s="226">
        <f t="array" ref="M17:M27">qlYieldTSDiscount(J17,L17:L27,J19,J20)</f>
        <v>1</v>
      </c>
      <c r="N17" s="230">
        <f t="array" ref="N17:N27">qlYieldTSZeroRate(J23,L17:L27,J25,J26,J27,J28,J29)</f>
        <v>1.9068505643877139E-3</v>
      </c>
      <c r="O17" s="241"/>
    </row>
    <row r="18" spans="1:15">
      <c r="A18" s="213"/>
      <c r="B18" s="215">
        <v>60</v>
      </c>
      <c r="C18" s="207">
        <f t="shared" si="0"/>
        <v>45930</v>
      </c>
      <c r="D18" s="208">
        <v>1.9009999999999999E-3</v>
      </c>
      <c r="E18" s="209">
        <v>1.8749999999999999E-3</v>
      </c>
      <c r="F18" s="210">
        <f t="shared" si="3"/>
        <v>0.99054381339650155</v>
      </c>
      <c r="G18" s="211">
        <f t="shared" si="4"/>
        <v>0.99067242020572133</v>
      </c>
      <c r="H18" s="219"/>
      <c r="I18" s="234" t="s">
        <v>88</v>
      </c>
      <c r="J18" s="235"/>
      <c r="K18" s="255" t="s">
        <v>92</v>
      </c>
      <c r="L18" s="236">
        <f>EDATE($D$2,3)</f>
        <v>44195</v>
      </c>
      <c r="M18" s="227">
        <v>0.99953250358662393</v>
      </c>
      <c r="N18" s="231">
        <v>1.8755614200137857E-3</v>
      </c>
      <c r="O18" s="241"/>
    </row>
    <row r="19" spans="1:15">
      <c r="A19" s="213"/>
      <c r="B19" s="215">
        <v>66</v>
      </c>
      <c r="C19" s="207">
        <f t="shared" si="0"/>
        <v>46111</v>
      </c>
      <c r="D19" s="208">
        <v>2.003E-3</v>
      </c>
      <c r="E19" s="209">
        <v>1.949E-3</v>
      </c>
      <c r="F19" s="210">
        <f t="shared" si="3"/>
        <v>0.98905756816583423</v>
      </c>
      <c r="G19" s="211">
        <f t="shared" si="4"/>
        <v>0.98935070937194203</v>
      </c>
      <c r="H19" s="219"/>
      <c r="I19" s="234" t="s">
        <v>81</v>
      </c>
      <c r="J19" s="235" t="b">
        <v>1</v>
      </c>
      <c r="K19" s="255" t="s">
        <v>93</v>
      </c>
      <c r="L19" s="236">
        <f>EDATE($D$2,6)</f>
        <v>44285</v>
      </c>
      <c r="M19" s="227">
        <v>0.99909482829730101</v>
      </c>
      <c r="N19" s="231">
        <v>1.8261728760487102E-3</v>
      </c>
      <c r="O19" s="241"/>
    </row>
    <row r="20" spans="1:15" ht="17.149999999999999" thickBot="1">
      <c r="A20" s="213"/>
      <c r="B20" s="215">
        <v>72</v>
      </c>
      <c r="C20" s="207">
        <f t="shared" si="0"/>
        <v>46295</v>
      </c>
      <c r="D20" s="208">
        <v>2.16E-3</v>
      </c>
      <c r="E20" s="209">
        <v>2.0249999999999999E-3</v>
      </c>
      <c r="F20" s="210">
        <f t="shared" si="3"/>
        <v>0.98713158060725692</v>
      </c>
      <c r="G20" s="211">
        <f t="shared" si="4"/>
        <v>0.98793017476864664</v>
      </c>
      <c r="H20" s="219"/>
      <c r="I20" s="237" t="s">
        <v>82</v>
      </c>
      <c r="J20" s="238"/>
      <c r="K20" s="255" t="s">
        <v>94</v>
      </c>
      <c r="L20" s="236">
        <f>EDATE($D$2, 12)</f>
        <v>44469</v>
      </c>
      <c r="M20" s="227">
        <v>0.9982640188711831</v>
      </c>
      <c r="N20" s="231">
        <v>1.7374896901989241E-3</v>
      </c>
      <c r="O20" s="241"/>
    </row>
    <row r="21" spans="1:15" ht="17.149999999999999" thickBot="1">
      <c r="A21" s="213"/>
      <c r="B21" s="215">
        <v>78</v>
      </c>
      <c r="C21" s="207">
        <f t="shared" si="0"/>
        <v>46476</v>
      </c>
      <c r="D21" s="208">
        <v>2.3110000000000001E-3</v>
      </c>
      <c r="E21" s="209">
        <v>2.0999999999999999E-3</v>
      </c>
      <c r="F21" s="210">
        <f t="shared" si="3"/>
        <v>0.9851109473482389</v>
      </c>
      <c r="G21" s="211">
        <f t="shared" si="4"/>
        <v>0.98645969211932161</v>
      </c>
      <c r="H21" s="219"/>
      <c r="I21" s="239"/>
      <c r="J21" s="239"/>
      <c r="K21" s="255" t="s">
        <v>95</v>
      </c>
      <c r="L21" s="236">
        <f>EDATE($D$2,24)</f>
        <v>44834</v>
      </c>
      <c r="M21" s="227">
        <v>0.99673004138749033</v>
      </c>
      <c r="N21" s="231">
        <v>1.6376583053249792E-3</v>
      </c>
      <c r="O21" s="241"/>
    </row>
    <row r="22" spans="1:15" ht="17.149999999999999" thickBot="1">
      <c r="A22" s="213"/>
      <c r="B22" s="215">
        <v>84</v>
      </c>
      <c r="C22" s="207">
        <f t="shared" si="0"/>
        <v>46660</v>
      </c>
      <c r="D22" s="208">
        <v>2.4099999999999998E-3</v>
      </c>
      <c r="E22" s="209">
        <v>2.173E-3</v>
      </c>
      <c r="F22" s="210">
        <f t="shared" si="3"/>
        <v>0.98328497346962762</v>
      </c>
      <c r="G22" s="211">
        <f t="shared" si="4"/>
        <v>0.98491449949877685</v>
      </c>
      <c r="H22" s="219"/>
      <c r="I22" s="239"/>
      <c r="J22" s="240" t="s">
        <v>89</v>
      </c>
      <c r="K22" s="255" t="s">
        <v>96</v>
      </c>
      <c r="L22" s="236">
        <f>EDATE($D$2,36)</f>
        <v>45199</v>
      </c>
      <c r="M22" s="227">
        <v>0.99506629018967385</v>
      </c>
      <c r="N22" s="231">
        <v>1.6486402455244426E-3</v>
      </c>
      <c r="O22" s="241"/>
    </row>
    <row r="23" spans="1:15">
      <c r="A23" s="213"/>
      <c r="B23" s="215">
        <v>90</v>
      </c>
      <c r="C23" s="207">
        <f t="shared" si="0"/>
        <v>46842</v>
      </c>
      <c r="D23" s="208">
        <v>2.4199999999999998E-3</v>
      </c>
      <c r="E23" s="209">
        <v>2.2430000000000002E-3</v>
      </c>
      <c r="F23" s="210">
        <f t="shared" si="3"/>
        <v>0.98203199967573263</v>
      </c>
      <c r="G23" s="211">
        <f t="shared" si="4"/>
        <v>0.9833337143002796</v>
      </c>
      <c r="H23" s="219"/>
      <c r="I23" s="223" t="s">
        <v>72</v>
      </c>
      <c r="J23" s="224" t="str">
        <f>K5</f>
        <v>DFCurve#0000</v>
      </c>
      <c r="K23" s="255" t="s">
        <v>97</v>
      </c>
      <c r="L23" s="236">
        <f>EDATE($D$2,60)</f>
        <v>45930</v>
      </c>
      <c r="M23" s="227">
        <v>0.99067242020572133</v>
      </c>
      <c r="N23" s="231">
        <v>1.8732443816804195E-3</v>
      </c>
      <c r="O23" s="241"/>
    </row>
    <row r="24" spans="1:15">
      <c r="A24" s="213"/>
      <c r="B24" s="215">
        <v>96</v>
      </c>
      <c r="C24" s="207">
        <f t="shared" si="0"/>
        <v>47026</v>
      </c>
      <c r="D24" s="208">
        <v>2.3389999999999999E-3</v>
      </c>
      <c r="E24" s="209">
        <v>2.3110000000000001E-3</v>
      </c>
      <c r="F24" s="210">
        <f t="shared" si="3"/>
        <v>0.981470863046908</v>
      </c>
      <c r="G24" s="211">
        <f t="shared" si="4"/>
        <v>0.98169037733288445</v>
      </c>
      <c r="H24" s="219"/>
      <c r="I24" s="234" t="s">
        <v>88</v>
      </c>
      <c r="J24" s="235"/>
      <c r="K24" s="255" t="s">
        <v>98</v>
      </c>
      <c r="L24" s="236">
        <f>EDATE($D$2,120)</f>
        <v>47756</v>
      </c>
      <c r="M24" s="227">
        <v>0.97489879134379376</v>
      </c>
      <c r="N24" s="231">
        <v>2.5407695097516181E-3</v>
      </c>
      <c r="O24" s="241"/>
    </row>
    <row r="25" spans="1:15">
      <c r="A25" s="213"/>
      <c r="B25" s="215">
        <v>102</v>
      </c>
      <c r="C25" s="207">
        <f t="shared" si="0"/>
        <v>47207</v>
      </c>
      <c r="D25" s="208">
        <v>2.2279999999999999E-3</v>
      </c>
      <c r="E25" s="209">
        <v>2.3749999999999999E-3</v>
      </c>
      <c r="F25" s="210">
        <f t="shared" si="3"/>
        <v>0.98125787640169004</v>
      </c>
      <c r="G25" s="211">
        <f t="shared" si="4"/>
        <v>0.98003517529814055</v>
      </c>
      <c r="H25" s="219"/>
      <c r="I25" s="234" t="s">
        <v>72</v>
      </c>
      <c r="J25" s="235" t="s">
        <v>80</v>
      </c>
      <c r="K25" s="255" t="s">
        <v>99</v>
      </c>
      <c r="L25" s="236">
        <f>EDATE($D$2,180)</f>
        <v>49582</v>
      </c>
      <c r="M25" s="227">
        <v>0.95725514062204387</v>
      </c>
      <c r="N25" s="231">
        <v>2.9107596259615805E-3</v>
      </c>
      <c r="O25" s="241"/>
    </row>
    <row r="26" spans="1:15">
      <c r="A26" s="213"/>
      <c r="B26" s="215">
        <v>108</v>
      </c>
      <c r="C26" s="207">
        <f t="shared" si="0"/>
        <v>47391</v>
      </c>
      <c r="D26" s="208">
        <v>2.1440000000000001E-3</v>
      </c>
      <c r="E26" s="209">
        <v>2.4350000000000001E-3</v>
      </c>
      <c r="F26" s="210">
        <f t="shared" si="3"/>
        <v>0.98089772611531578</v>
      </c>
      <c r="G26" s="211">
        <f t="shared" si="4"/>
        <v>0.97833641256298809</v>
      </c>
      <c r="H26" s="219"/>
      <c r="I26" s="234" t="s">
        <v>72</v>
      </c>
      <c r="J26" s="235" t="s">
        <v>90</v>
      </c>
      <c r="K26" s="255" t="s">
        <v>100</v>
      </c>
      <c r="L26" s="236">
        <f>EDATE($D$2,240)</f>
        <v>51409</v>
      </c>
      <c r="M26" s="228">
        <v>0.93968941249529592</v>
      </c>
      <c r="N26" s="232">
        <v>3.1081646478684564E-3</v>
      </c>
      <c r="O26" s="241"/>
    </row>
    <row r="27" spans="1:15" ht="17.149999999999999" thickBot="1">
      <c r="A27" s="213"/>
      <c r="B27" s="215">
        <v>114</v>
      </c>
      <c r="C27" s="207">
        <f t="shared" si="0"/>
        <v>47572</v>
      </c>
      <c r="D27" s="208">
        <v>2.1320000000000002E-3</v>
      </c>
      <c r="E27" s="209">
        <v>2.4919999999999999E-3</v>
      </c>
      <c r="F27" s="210">
        <f t="shared" si="3"/>
        <v>0.97996800352604341</v>
      </c>
      <c r="G27" s="211">
        <f t="shared" si="4"/>
        <v>0.97662946133352702</v>
      </c>
      <c r="H27" s="219"/>
      <c r="I27" s="234" t="s">
        <v>72</v>
      </c>
      <c r="J27" s="235" t="s">
        <v>25</v>
      </c>
      <c r="K27" s="256" t="s">
        <v>101</v>
      </c>
      <c r="L27" s="242">
        <f>EDATE($D$2,360)</f>
        <v>55061</v>
      </c>
      <c r="M27" s="229">
        <v>0.90553503144583625</v>
      </c>
      <c r="N27" s="233">
        <v>3.3055307087238588E-3</v>
      </c>
      <c r="O27" s="241"/>
    </row>
    <row r="28" spans="1:15">
      <c r="A28" s="213"/>
      <c r="B28" s="215">
        <v>120</v>
      </c>
      <c r="C28" s="207">
        <f t="shared" si="0"/>
        <v>47756</v>
      </c>
      <c r="D28" s="208">
        <v>2.209E-3</v>
      </c>
      <c r="E28" s="209">
        <v>2.5439999999999998E-3</v>
      </c>
      <c r="F28" s="210">
        <f t="shared" si="3"/>
        <v>0.97816420112762981</v>
      </c>
      <c r="G28" s="211">
        <f t="shared" si="4"/>
        <v>0.97489879134379376</v>
      </c>
      <c r="H28" s="219"/>
      <c r="I28" s="234" t="s">
        <v>81</v>
      </c>
      <c r="J28" s="243" t="b">
        <v>1</v>
      </c>
      <c r="K28" s="244"/>
      <c r="L28" s="244"/>
      <c r="M28" s="244"/>
      <c r="N28" s="244"/>
      <c r="O28" s="241"/>
    </row>
    <row r="29" spans="1:15" ht="17.149999999999999" thickBot="1">
      <c r="A29" s="213"/>
      <c r="B29" s="215">
        <v>126</v>
      </c>
      <c r="C29" s="207">
        <f t="shared" si="0"/>
        <v>47937</v>
      </c>
      <c r="D29" s="208">
        <v>2.343E-3</v>
      </c>
      <c r="E29" s="209">
        <v>2.594E-3</v>
      </c>
      <c r="F29" s="210">
        <f t="shared" si="3"/>
        <v>0.97572359929903307</v>
      </c>
      <c r="G29" s="211">
        <f t="shared" si="4"/>
        <v>0.97316144712006736</v>
      </c>
      <c r="H29" s="219"/>
      <c r="I29" s="237" t="s">
        <v>82</v>
      </c>
      <c r="J29" s="245"/>
      <c r="K29" s="244"/>
      <c r="L29" s="244"/>
      <c r="M29" s="244"/>
      <c r="N29" s="244"/>
      <c r="O29" s="241"/>
    </row>
    <row r="30" spans="1:15" ht="17.149999999999999" thickBot="1">
      <c r="A30" s="213"/>
      <c r="B30" s="215">
        <v>132</v>
      </c>
      <c r="C30" s="207">
        <f t="shared" si="0"/>
        <v>48121</v>
      </c>
      <c r="D30" s="208">
        <v>2.4989999999999999E-3</v>
      </c>
      <c r="E30" s="209">
        <v>2.64E-3</v>
      </c>
      <c r="F30" s="210">
        <f t="shared" si="3"/>
        <v>0.97290543981121635</v>
      </c>
      <c r="G30" s="211">
        <f t="shared" si="4"/>
        <v>0.97140074588578873</v>
      </c>
      <c r="H30" s="246"/>
      <c r="I30" s="247"/>
      <c r="J30" s="247"/>
      <c r="K30" s="247"/>
      <c r="L30" s="247"/>
      <c r="M30" s="247"/>
      <c r="N30" s="247"/>
      <c r="O30" s="261"/>
    </row>
    <row r="31" spans="1:15">
      <c r="A31" s="213"/>
      <c r="B31" s="215">
        <v>138</v>
      </c>
      <c r="C31" s="207">
        <f t="shared" si="0"/>
        <v>48303</v>
      </c>
      <c r="D31" s="208">
        <v>2.6510000000000001E-3</v>
      </c>
      <c r="E31" s="209">
        <v>2.6830000000000001E-3</v>
      </c>
      <c r="F31" s="210">
        <f t="shared" si="3"/>
        <v>0.97000210098263895</v>
      </c>
      <c r="G31" s="211">
        <f t="shared" si="4"/>
        <v>0.96964602783948128</v>
      </c>
      <c r="H31" s="76"/>
      <c r="I31" s="76"/>
      <c r="J31" s="76"/>
      <c r="K31" s="76"/>
      <c r="L31" s="216"/>
      <c r="M31" s="76"/>
      <c r="N31" s="76"/>
    </row>
    <row r="32" spans="1:15">
      <c r="A32" s="213"/>
      <c r="B32" s="215">
        <v>144</v>
      </c>
      <c r="C32" s="207">
        <f t="shared" si="0"/>
        <v>48487</v>
      </c>
      <c r="D32" s="208">
        <v>2.7789999999999998E-3</v>
      </c>
      <c r="E32" s="209">
        <v>2.7239999999999999E-3</v>
      </c>
      <c r="F32" s="210">
        <f t="shared" si="3"/>
        <v>0.96722458812479029</v>
      </c>
      <c r="G32" s="211">
        <f t="shared" si="4"/>
        <v>0.96786185058152574</v>
      </c>
      <c r="H32" s="76"/>
      <c r="I32" s="76"/>
      <c r="J32" s="76"/>
      <c r="K32" s="76"/>
      <c r="L32" s="216"/>
      <c r="M32" s="76"/>
      <c r="N32" s="76"/>
    </row>
    <row r="33" spans="1:14">
      <c r="A33" s="213"/>
      <c r="B33" s="215">
        <v>150</v>
      </c>
      <c r="C33" s="207">
        <f t="shared" si="0"/>
        <v>48668</v>
      </c>
      <c r="D33" s="208">
        <v>2.8809999999999999E-3</v>
      </c>
      <c r="E33" s="209">
        <v>2.761E-3</v>
      </c>
      <c r="F33" s="210">
        <f t="shared" si="3"/>
        <v>0.96466677696642666</v>
      </c>
      <c r="G33" s="211">
        <f t="shared" si="4"/>
        <v>0.9661112614183035</v>
      </c>
      <c r="H33" s="76"/>
      <c r="I33" s="76"/>
      <c r="J33" s="76"/>
      <c r="K33" s="76"/>
      <c r="L33" s="216"/>
      <c r="M33" s="76"/>
      <c r="N33" s="76"/>
    </row>
    <row r="34" spans="1:14">
      <c r="A34" s="213"/>
      <c r="B34" s="215">
        <v>156</v>
      </c>
      <c r="C34" s="207">
        <f t="shared" si="0"/>
        <v>48852</v>
      </c>
      <c r="D34" s="208">
        <v>2.9619999999999998E-3</v>
      </c>
      <c r="E34" s="209">
        <v>2.7959999999999999E-3</v>
      </c>
      <c r="F34" s="210">
        <f t="shared" si="3"/>
        <v>0.96225730602874338</v>
      </c>
      <c r="G34" s="211">
        <f t="shared" si="4"/>
        <v>0.96433143736287152</v>
      </c>
      <c r="H34" s="76"/>
      <c r="I34" s="76"/>
      <c r="J34" s="76"/>
      <c r="K34" s="76"/>
      <c r="L34" s="216"/>
      <c r="M34" s="76"/>
      <c r="N34" s="76"/>
    </row>
    <row r="35" spans="1:14">
      <c r="A35" s="213"/>
      <c r="B35" s="215">
        <v>162</v>
      </c>
      <c r="C35" s="207">
        <f t="shared" si="0"/>
        <v>49033</v>
      </c>
      <c r="D35" s="208">
        <v>3.0249999999999999E-3</v>
      </c>
      <c r="E35" s="209">
        <v>2.8289999999999999E-3</v>
      </c>
      <c r="F35" s="210">
        <f t="shared" si="3"/>
        <v>0.96003237579329381</v>
      </c>
      <c r="G35" s="211">
        <f t="shared" si="4"/>
        <v>0.96256932503250059</v>
      </c>
      <c r="H35" s="76"/>
      <c r="I35" s="76"/>
      <c r="J35" s="76"/>
      <c r="K35" s="76"/>
      <c r="L35" s="216"/>
      <c r="M35" s="76"/>
      <c r="N35" s="76"/>
    </row>
    <row r="36" spans="1:14">
      <c r="A36" s="213"/>
      <c r="B36" s="215">
        <v>168</v>
      </c>
      <c r="C36" s="207">
        <f t="shared" si="0"/>
        <v>49217</v>
      </c>
      <c r="D36" s="208">
        <v>3.0720000000000001E-3</v>
      </c>
      <c r="E36" s="209">
        <v>2.8600000000000001E-3</v>
      </c>
      <c r="F36" s="210">
        <f t="shared" si="3"/>
        <v>0.95794272835966821</v>
      </c>
      <c r="G36" s="211">
        <f t="shared" si="4"/>
        <v>0.96078336214448534</v>
      </c>
      <c r="H36" s="76"/>
      <c r="I36" s="76"/>
      <c r="J36" s="76"/>
      <c r="K36" s="76"/>
      <c r="L36" s="216"/>
      <c r="M36" s="76"/>
      <c r="N36" s="76"/>
    </row>
    <row r="37" spans="1:14">
      <c r="A37" s="213"/>
      <c r="B37" s="215">
        <v>174</v>
      </c>
      <c r="C37" s="207">
        <f t="shared" si="0"/>
        <v>49398</v>
      </c>
      <c r="D37" s="208">
        <v>3.1059999999999998E-3</v>
      </c>
      <c r="E37" s="209">
        <v>2.8879999999999999E-3</v>
      </c>
      <c r="F37" s="210">
        <f t="shared" si="3"/>
        <v>0.95601665299519722</v>
      </c>
      <c r="G37" s="211">
        <f t="shared" si="4"/>
        <v>0.95903520120465757</v>
      </c>
      <c r="H37" s="76"/>
      <c r="I37" s="76"/>
      <c r="J37" s="76"/>
      <c r="K37" s="76"/>
      <c r="L37" s="216"/>
      <c r="M37" s="76"/>
      <c r="N37" s="76"/>
    </row>
    <row r="38" spans="1:14">
      <c r="A38" s="213"/>
      <c r="B38" s="215">
        <v>180</v>
      </c>
      <c r="C38" s="207">
        <f t="shared" si="0"/>
        <v>49582</v>
      </c>
      <c r="D38" s="208">
        <v>3.1289999999999998E-3</v>
      </c>
      <c r="E38" s="209">
        <v>2.9150000000000001E-3</v>
      </c>
      <c r="F38" s="210">
        <f t="shared" si="3"/>
        <v>0.95419483324539212</v>
      </c>
      <c r="G38" s="211">
        <f t="shared" si="4"/>
        <v>0.95725514062204387</v>
      </c>
      <c r="H38" s="76"/>
      <c r="I38" s="76"/>
      <c r="J38" s="76"/>
      <c r="K38" s="76"/>
      <c r="L38" s="216"/>
      <c r="M38" s="76"/>
      <c r="N38" s="76"/>
    </row>
    <row r="39" spans="1:14">
      <c r="A39" s="213"/>
      <c r="B39" s="215">
        <v>186</v>
      </c>
      <c r="C39" s="207">
        <f t="shared" si="0"/>
        <v>49764</v>
      </c>
      <c r="D39" s="208">
        <v>3.143E-3</v>
      </c>
      <c r="E39" s="209">
        <v>2.9399999999999999E-3</v>
      </c>
      <c r="F39" s="210">
        <f t="shared" si="3"/>
        <v>0.95250340641856313</v>
      </c>
      <c r="G39" s="211">
        <f t="shared" si="4"/>
        <v>0.95549738647366378</v>
      </c>
      <c r="H39" s="76"/>
      <c r="I39" s="76"/>
      <c r="J39" s="76"/>
      <c r="K39" s="76"/>
      <c r="L39" s="216"/>
      <c r="M39" s="76"/>
      <c r="N39" s="76"/>
    </row>
    <row r="40" spans="1:14">
      <c r="A40" s="213"/>
      <c r="B40" s="215">
        <v>192</v>
      </c>
      <c r="C40" s="207">
        <f t="shared" si="0"/>
        <v>49948</v>
      </c>
      <c r="D40" s="208">
        <v>3.1489999999999999E-3</v>
      </c>
      <c r="E40" s="209">
        <v>2.9640000000000001E-3</v>
      </c>
      <c r="F40" s="210">
        <f t="shared" si="3"/>
        <v>0.95090673480190302</v>
      </c>
      <c r="G40" s="211">
        <f t="shared" si="4"/>
        <v>0.95371891401098829</v>
      </c>
      <c r="H40" s="76"/>
      <c r="I40" s="76"/>
      <c r="J40" s="76"/>
      <c r="K40" s="76"/>
      <c r="L40" s="216"/>
      <c r="M40" s="76"/>
      <c r="N40" s="76"/>
    </row>
    <row r="41" spans="1:14">
      <c r="A41" s="213"/>
      <c r="B41" s="215">
        <v>198</v>
      </c>
      <c r="C41" s="207">
        <f t="shared" si="0"/>
        <v>50129</v>
      </c>
      <c r="D41" s="208">
        <v>3.1480000000000002E-3</v>
      </c>
      <c r="E41" s="209">
        <v>2.9870000000000001E-3</v>
      </c>
      <c r="F41" s="210">
        <f t="shared" si="3"/>
        <v>0.94944094909375909</v>
      </c>
      <c r="G41" s="211">
        <f t="shared" si="4"/>
        <v>0.95195980495746935</v>
      </c>
      <c r="H41" s="76"/>
      <c r="I41" s="76"/>
      <c r="J41" s="76"/>
      <c r="K41" s="76"/>
      <c r="L41" s="216"/>
      <c r="M41" s="76"/>
      <c r="N41" s="76"/>
    </row>
    <row r="42" spans="1:14">
      <c r="A42" s="213"/>
      <c r="B42" s="215">
        <v>204</v>
      </c>
      <c r="C42" s="207">
        <f t="shared" si="0"/>
        <v>50313</v>
      </c>
      <c r="D42" s="208">
        <v>3.143E-3</v>
      </c>
      <c r="E42" s="209">
        <v>3.0079999999999998E-3</v>
      </c>
      <c r="F42" s="210">
        <f t="shared" si="3"/>
        <v>0.94801818110657388</v>
      </c>
      <c r="G42" s="211">
        <f t="shared" si="4"/>
        <v>0.95019109665709489</v>
      </c>
      <c r="H42" s="76"/>
      <c r="I42" s="76"/>
      <c r="J42" s="76"/>
      <c r="K42" s="76"/>
      <c r="L42" s="216"/>
      <c r="M42" s="76"/>
      <c r="N42" s="76"/>
    </row>
    <row r="43" spans="1:14">
      <c r="A43" s="213"/>
      <c r="B43" s="215">
        <v>210</v>
      </c>
      <c r="C43" s="207">
        <f t="shared" si="0"/>
        <v>50494</v>
      </c>
      <c r="D43" s="208">
        <v>3.1340000000000001E-3</v>
      </c>
      <c r="E43" s="209">
        <v>3.0279999999999999E-3</v>
      </c>
      <c r="F43" s="210">
        <f t="shared" si="3"/>
        <v>0.94669276405388303</v>
      </c>
      <c r="G43" s="211">
        <f t="shared" si="4"/>
        <v>0.94844579144806884</v>
      </c>
      <c r="H43" s="76"/>
      <c r="I43" s="76"/>
      <c r="J43" s="76"/>
      <c r="K43" s="76"/>
      <c r="L43" s="216"/>
      <c r="M43" s="76"/>
      <c r="N43" s="76"/>
    </row>
    <row r="44" spans="1:14">
      <c r="A44" s="213"/>
      <c r="B44" s="215">
        <v>216</v>
      </c>
      <c r="C44" s="207">
        <f t="shared" si="0"/>
        <v>50678</v>
      </c>
      <c r="D44" s="208">
        <v>3.1220000000000002E-3</v>
      </c>
      <c r="E44" s="209">
        <v>3.0469999999999998E-3</v>
      </c>
      <c r="F44" s="210">
        <f t="shared" si="3"/>
        <v>0.94540429214925115</v>
      </c>
      <c r="G44" s="211">
        <f t="shared" si="4"/>
        <v>0.94667829560797268</v>
      </c>
      <c r="H44" s="76"/>
      <c r="I44" s="76"/>
      <c r="J44" s="76"/>
      <c r="K44" s="76"/>
      <c r="L44" s="216"/>
      <c r="M44" s="76"/>
      <c r="N44" s="76"/>
    </row>
    <row r="45" spans="1:14">
      <c r="A45" s="213"/>
      <c r="B45" s="215">
        <v>222</v>
      </c>
      <c r="C45" s="207">
        <f t="shared" si="0"/>
        <v>50859</v>
      </c>
      <c r="D45" s="208">
        <v>3.1080000000000001E-3</v>
      </c>
      <c r="E45" s="209">
        <v>3.0639999999999999E-3</v>
      </c>
      <c r="F45" s="210">
        <f t="shared" si="3"/>
        <v>0.94418789864074804</v>
      </c>
      <c r="G45" s="211">
        <f t="shared" si="4"/>
        <v>0.94495469795807829</v>
      </c>
      <c r="H45" s="76"/>
      <c r="I45" s="76"/>
      <c r="J45" s="76"/>
      <c r="K45" s="76"/>
      <c r="L45" s="216"/>
      <c r="M45" s="76"/>
      <c r="N45" s="76"/>
    </row>
    <row r="46" spans="1:14">
      <c r="A46" s="213"/>
      <c r="B46" s="215">
        <v>228</v>
      </c>
      <c r="C46" s="207">
        <f t="shared" si="0"/>
        <v>51043</v>
      </c>
      <c r="D46" s="208">
        <v>3.0920000000000001E-3</v>
      </c>
      <c r="E46" s="209">
        <v>3.081E-3</v>
      </c>
      <c r="F46" s="210">
        <f t="shared" si="3"/>
        <v>0.94299792664444648</v>
      </c>
      <c r="G46" s="211">
        <f t="shared" si="4"/>
        <v>0.94319454059591634</v>
      </c>
      <c r="H46" s="76"/>
      <c r="I46" s="76"/>
      <c r="J46" s="76"/>
      <c r="K46" s="76"/>
      <c r="L46" s="216"/>
      <c r="M46" s="76"/>
      <c r="N46" s="76"/>
    </row>
    <row r="47" spans="1:14">
      <c r="A47" s="213"/>
      <c r="B47" s="215">
        <v>234</v>
      </c>
      <c r="C47" s="207">
        <f t="shared" si="0"/>
        <v>51225</v>
      </c>
      <c r="D47" s="208">
        <v>3.0769999999999999E-3</v>
      </c>
      <c r="E47" s="209">
        <v>3.0969999999999999E-3</v>
      </c>
      <c r="F47" s="210">
        <f t="shared" si="3"/>
        <v>0.94182213668040893</v>
      </c>
      <c r="G47" s="211">
        <f t="shared" si="4"/>
        <v>0.94145584762410883</v>
      </c>
      <c r="H47" s="76"/>
      <c r="I47" s="76"/>
      <c r="J47" s="76"/>
      <c r="K47" s="76"/>
      <c r="L47" s="216"/>
      <c r="M47" s="76"/>
      <c r="N47" s="76"/>
    </row>
    <row r="48" spans="1:14">
      <c r="A48" s="213"/>
      <c r="B48" s="215">
        <v>240</v>
      </c>
      <c r="C48" s="207">
        <f t="shared" si="0"/>
        <v>51409</v>
      </c>
      <c r="D48" s="208">
        <v>3.0609999999999999E-3</v>
      </c>
      <c r="E48" s="209">
        <v>3.1129999999999999E-3</v>
      </c>
      <c r="F48" s="210">
        <f t="shared" si="3"/>
        <v>0.94066485515066189</v>
      </c>
      <c r="G48" s="211">
        <f t="shared" si="4"/>
        <v>0.93968941249529592</v>
      </c>
      <c r="H48" s="76"/>
      <c r="I48" s="76"/>
      <c r="J48" s="76"/>
      <c r="K48" s="76"/>
      <c r="L48" s="216"/>
      <c r="M48" s="76"/>
      <c r="N48" s="76"/>
    </row>
    <row r="49" spans="1:14">
      <c r="A49" s="213"/>
      <c r="B49" s="215">
        <v>246</v>
      </c>
      <c r="C49" s="207">
        <f t="shared" si="0"/>
        <v>51590</v>
      </c>
      <c r="D49" s="208">
        <v>3.0460000000000001E-3</v>
      </c>
      <c r="E49" s="209">
        <v>3.127E-3</v>
      </c>
      <c r="F49" s="210">
        <f t="shared" si="3"/>
        <v>0.93952837738225037</v>
      </c>
      <c r="G49" s="211">
        <f t="shared" si="4"/>
        <v>0.93797365120150789</v>
      </c>
      <c r="H49" s="76"/>
      <c r="I49" s="76"/>
      <c r="J49" s="76"/>
      <c r="K49" s="76"/>
      <c r="L49" s="216"/>
      <c r="M49" s="76"/>
      <c r="N49" s="76"/>
    </row>
    <row r="50" spans="1:14">
      <c r="A50" s="213"/>
      <c r="B50" s="215">
        <v>252</v>
      </c>
      <c r="C50" s="207">
        <f t="shared" si="0"/>
        <v>51774</v>
      </c>
      <c r="D50" s="208">
        <v>3.032E-3</v>
      </c>
      <c r="E50" s="209">
        <v>3.1410000000000001E-3</v>
      </c>
      <c r="F50" s="210">
        <f t="shared" si="3"/>
        <v>0.93836419351351785</v>
      </c>
      <c r="G50" s="211">
        <f t="shared" si="4"/>
        <v>0.93622393471897059</v>
      </c>
      <c r="H50" s="76"/>
      <c r="I50" s="76"/>
      <c r="J50" s="76"/>
      <c r="K50" s="76"/>
      <c r="L50" s="216"/>
      <c r="M50" s="76"/>
      <c r="N50" s="76"/>
    </row>
    <row r="51" spans="1:14">
      <c r="A51" s="213"/>
      <c r="B51" s="215">
        <v>258</v>
      </c>
      <c r="C51" s="207">
        <f t="shared" si="0"/>
        <v>51955</v>
      </c>
      <c r="D51" s="208">
        <v>3.0200000000000001E-3</v>
      </c>
      <c r="E51" s="209">
        <v>3.1540000000000001E-3</v>
      </c>
      <c r="F51" s="210">
        <f t="shared" si="3"/>
        <v>0.93719766115908021</v>
      </c>
      <c r="G51" s="211">
        <f t="shared" si="4"/>
        <v>0.93450856890720646</v>
      </c>
      <c r="H51" s="76"/>
      <c r="I51" s="76"/>
      <c r="J51" s="76"/>
      <c r="K51" s="76"/>
      <c r="L51" s="216"/>
      <c r="M51" s="76"/>
      <c r="N51" s="76"/>
    </row>
    <row r="52" spans="1:14">
      <c r="A52" s="213"/>
      <c r="B52" s="215">
        <v>264</v>
      </c>
      <c r="C52" s="207">
        <f t="shared" si="0"/>
        <v>52139</v>
      </c>
      <c r="D52" s="208">
        <v>3.0109999999999998E-3</v>
      </c>
      <c r="E52" s="209">
        <v>3.1670000000000001E-3</v>
      </c>
      <c r="F52" s="210">
        <f t="shared" si="3"/>
        <v>0.93595895308574972</v>
      </c>
      <c r="G52" s="211">
        <f t="shared" si="4"/>
        <v>0.93276011877169784</v>
      </c>
      <c r="H52" s="76"/>
      <c r="I52" s="76"/>
      <c r="J52" s="76"/>
      <c r="K52" s="76"/>
      <c r="L52" s="216"/>
      <c r="M52" s="76"/>
      <c r="N52" s="76"/>
    </row>
    <row r="53" spans="1:14">
      <c r="A53" s="213"/>
      <c r="B53" s="215">
        <v>270</v>
      </c>
      <c r="C53" s="207">
        <f t="shared" si="0"/>
        <v>52320</v>
      </c>
      <c r="D53" s="208">
        <v>3.0040000000000002E-3</v>
      </c>
      <c r="E53" s="209">
        <v>3.179E-3</v>
      </c>
      <c r="F53" s="210">
        <f t="shared" si="3"/>
        <v>0.93471141445729444</v>
      </c>
      <c r="G53" s="211">
        <f t="shared" si="4"/>
        <v>0.93104796549494606</v>
      </c>
      <c r="H53" s="76"/>
      <c r="I53" s="76"/>
      <c r="J53" s="76"/>
      <c r="K53" s="76"/>
      <c r="L53" s="216"/>
      <c r="M53" s="76"/>
      <c r="N53" s="76"/>
    </row>
    <row r="54" spans="1:14">
      <c r="A54" s="213"/>
      <c r="B54" s="215">
        <v>276</v>
      </c>
      <c r="C54" s="207">
        <f t="shared" si="0"/>
        <v>52504</v>
      </c>
      <c r="D54" s="208">
        <v>3.0000000000000001E-3</v>
      </c>
      <c r="E54" s="209">
        <v>3.1900000000000001E-3</v>
      </c>
      <c r="F54" s="210">
        <f t="shared" si="3"/>
        <v>0.93338478996160634</v>
      </c>
      <c r="G54" s="211">
        <f t="shared" si="4"/>
        <v>0.92932491692132568</v>
      </c>
      <c r="H54" s="76"/>
      <c r="I54" s="76"/>
      <c r="J54" s="76"/>
      <c r="K54" s="76"/>
      <c r="L54" s="216"/>
      <c r="M54" s="76"/>
      <c r="N54" s="76"/>
    </row>
    <row r="55" spans="1:14">
      <c r="A55" s="213"/>
      <c r="B55" s="215">
        <v>282</v>
      </c>
      <c r="C55" s="207">
        <f t="shared" si="0"/>
        <v>52686</v>
      </c>
      <c r="D55" s="208">
        <v>2.9989999999999999E-3</v>
      </c>
      <c r="E55" s="209">
        <v>3.2009999999999999E-3</v>
      </c>
      <c r="F55" s="210">
        <f t="shared" si="3"/>
        <v>0.93201352747525967</v>
      </c>
      <c r="G55" s="211">
        <f t="shared" si="4"/>
        <v>0.92761104884768819</v>
      </c>
      <c r="H55" s="76"/>
      <c r="I55" s="76"/>
      <c r="J55" s="76"/>
      <c r="K55" s="76"/>
      <c r="L55" s="216"/>
      <c r="M55" s="76"/>
      <c r="N55" s="76"/>
    </row>
    <row r="56" spans="1:14">
      <c r="A56" s="213"/>
      <c r="B56" s="215">
        <v>288</v>
      </c>
      <c r="C56" s="207">
        <f t="shared" si="0"/>
        <v>52870</v>
      </c>
      <c r="D56" s="208">
        <v>3.0019999999999999E-3</v>
      </c>
      <c r="E56" s="209">
        <v>3.212E-3</v>
      </c>
      <c r="F56" s="210">
        <f t="shared" si="3"/>
        <v>0.93054080981461984</v>
      </c>
      <c r="G56" s="211">
        <f t="shared" si="4"/>
        <v>0.92587395017421681</v>
      </c>
      <c r="H56" s="76"/>
      <c r="I56" s="76"/>
      <c r="J56" s="76"/>
      <c r="K56" s="76"/>
      <c r="L56" s="216"/>
      <c r="M56" s="76"/>
      <c r="N56" s="76"/>
    </row>
    <row r="57" spans="1:14">
      <c r="A57" s="213"/>
      <c r="B57" s="215">
        <v>294</v>
      </c>
      <c r="C57" s="207">
        <f t="shared" si="0"/>
        <v>53051</v>
      </c>
      <c r="D57" s="208">
        <v>3.009E-3</v>
      </c>
      <c r="E57" s="209">
        <v>3.222E-3</v>
      </c>
      <c r="F57" s="210">
        <f t="shared" si="3"/>
        <v>0.92899971118493807</v>
      </c>
      <c r="G57" s="211">
        <f t="shared" si="4"/>
        <v>0.92417691316244821</v>
      </c>
      <c r="H57" s="76"/>
      <c r="I57" s="76"/>
      <c r="J57" s="76"/>
      <c r="K57" s="76"/>
      <c r="L57" s="216"/>
      <c r="M57" s="76"/>
      <c r="N57" s="76"/>
    </row>
    <row r="58" spans="1:14">
      <c r="A58" s="213"/>
      <c r="B58" s="215">
        <v>300</v>
      </c>
      <c r="C58" s="207">
        <f t="shared" si="0"/>
        <v>53235</v>
      </c>
      <c r="D58" s="208">
        <v>3.0200000000000001E-3</v>
      </c>
      <c r="E58" s="209">
        <v>3.2320000000000001E-3</v>
      </c>
      <c r="F58" s="210">
        <f t="shared" si="3"/>
        <v>0.92733927026220475</v>
      </c>
      <c r="G58" s="211">
        <f t="shared" si="4"/>
        <v>0.9224494042101582</v>
      </c>
      <c r="H58" s="76"/>
      <c r="I58" s="76"/>
      <c r="J58" s="76"/>
      <c r="K58" s="76"/>
      <c r="L58" s="216"/>
      <c r="M58" s="76"/>
      <c r="N58" s="76"/>
    </row>
    <row r="59" spans="1:14">
      <c r="A59" s="213"/>
      <c r="B59" s="215">
        <v>306</v>
      </c>
      <c r="C59" s="207">
        <f t="shared" si="0"/>
        <v>53416</v>
      </c>
      <c r="D59" s="208">
        <v>3.0360000000000001E-3</v>
      </c>
      <c r="E59" s="209">
        <v>3.241E-3</v>
      </c>
      <c r="F59" s="210">
        <f t="shared" si="3"/>
        <v>0.92557687220387341</v>
      </c>
      <c r="G59" s="211">
        <f t="shared" si="4"/>
        <v>0.92076378289920113</v>
      </c>
      <c r="H59" s="76"/>
      <c r="I59" s="76"/>
      <c r="J59" s="76"/>
      <c r="K59" s="76"/>
      <c r="L59" s="216"/>
      <c r="M59" s="76"/>
      <c r="N59" s="76"/>
    </row>
    <row r="60" spans="1:14">
      <c r="A60" s="213"/>
      <c r="B60" s="215">
        <v>312</v>
      </c>
      <c r="C60" s="207">
        <f t="shared" si="0"/>
        <v>53600</v>
      </c>
      <c r="D60" s="208">
        <v>3.0569999999999998E-3</v>
      </c>
      <c r="E60" s="209">
        <v>3.2499999999999999E-3</v>
      </c>
      <c r="F60" s="210">
        <f t="shared" si="3"/>
        <v>0.92366028285598367</v>
      </c>
      <c r="G60" s="211">
        <f t="shared" si="4"/>
        <v>0.91904855601288049</v>
      </c>
      <c r="H60" s="76"/>
      <c r="I60" s="76"/>
      <c r="J60" s="76"/>
      <c r="K60" s="76"/>
      <c r="L60" s="216"/>
      <c r="M60" s="76"/>
      <c r="N60" s="76"/>
    </row>
    <row r="61" spans="1:14">
      <c r="A61" s="213"/>
      <c r="B61" s="215">
        <v>318</v>
      </c>
      <c r="C61" s="207">
        <f t="shared" si="0"/>
        <v>53781</v>
      </c>
      <c r="D61" s="208">
        <v>3.0820000000000001E-3</v>
      </c>
      <c r="E61" s="209">
        <v>3.2590000000000002E-3</v>
      </c>
      <c r="F61" s="210">
        <f t="shared" si="3"/>
        <v>0.921654053707892</v>
      </c>
      <c r="G61" s="211">
        <f t="shared" si="4"/>
        <v>0.91735276154562506</v>
      </c>
      <c r="H61" s="76"/>
      <c r="I61" s="76"/>
      <c r="J61" s="76"/>
      <c r="K61" s="76"/>
      <c r="L61" s="216"/>
      <c r="M61" s="76"/>
      <c r="N61" s="76"/>
    </row>
    <row r="62" spans="1:14">
      <c r="A62" s="213"/>
      <c r="B62" s="215">
        <v>324</v>
      </c>
      <c r="C62" s="207">
        <f t="shared" si="0"/>
        <v>53965</v>
      </c>
      <c r="D62" s="208">
        <v>3.1129999999999999E-3</v>
      </c>
      <c r="E62" s="209">
        <v>3.2669999999999999E-3</v>
      </c>
      <c r="F62" s="210">
        <f t="shared" si="3"/>
        <v>0.9194574247591274</v>
      </c>
      <c r="G62" s="211">
        <f t="shared" si="4"/>
        <v>0.91565205395394555</v>
      </c>
      <c r="H62" s="76"/>
      <c r="I62" s="76"/>
      <c r="J62" s="76"/>
      <c r="K62" s="76"/>
      <c r="L62" s="216"/>
      <c r="M62" s="76"/>
      <c r="N62" s="76"/>
    </row>
    <row r="63" spans="1:14">
      <c r="A63" s="213"/>
      <c r="B63" s="215">
        <v>330</v>
      </c>
      <c r="C63" s="207">
        <f t="shared" si="0"/>
        <v>54147</v>
      </c>
      <c r="D63" s="208">
        <v>3.1489999999999999E-3</v>
      </c>
      <c r="E63" s="209">
        <v>3.2750000000000001E-3</v>
      </c>
      <c r="F63" s="210">
        <f t="shared" si="3"/>
        <v>0.91712746525030531</v>
      </c>
      <c r="G63" s="211">
        <f t="shared" si="4"/>
        <v>0.91396352754565569</v>
      </c>
      <c r="H63" s="76"/>
      <c r="I63" s="76"/>
      <c r="J63" s="76"/>
      <c r="K63" s="76"/>
      <c r="L63" s="216"/>
      <c r="M63" s="76"/>
      <c r="N63" s="76"/>
    </row>
    <row r="64" spans="1:14">
      <c r="A64" s="213"/>
      <c r="B64" s="215">
        <v>336</v>
      </c>
      <c r="C64" s="207">
        <f t="shared" si="0"/>
        <v>54331</v>
      </c>
      <c r="D64" s="208">
        <v>3.1909999999999998E-3</v>
      </c>
      <c r="E64" s="209">
        <v>3.2829999999999999E-3</v>
      </c>
      <c r="F64" s="210">
        <f t="shared" si="3"/>
        <v>0.9146014817697351</v>
      </c>
      <c r="G64" s="211">
        <f t="shared" si="4"/>
        <v>0.91225447820031991</v>
      </c>
      <c r="H64" s="76"/>
      <c r="I64" s="76"/>
      <c r="J64" s="76"/>
      <c r="K64" s="76"/>
      <c r="L64" s="216"/>
      <c r="M64" s="76"/>
      <c r="N64" s="76"/>
    </row>
    <row r="65" spans="1:14">
      <c r="A65" s="213"/>
      <c r="B65" s="215">
        <v>342</v>
      </c>
      <c r="C65" s="207">
        <f t="shared" si="0"/>
        <v>54512</v>
      </c>
      <c r="D65" s="208">
        <v>3.2390000000000001E-3</v>
      </c>
      <c r="E65" s="209">
        <v>3.2910000000000001E-3</v>
      </c>
      <c r="F65" s="210">
        <f t="shared" si="3"/>
        <v>0.91191266866332443</v>
      </c>
      <c r="G65" s="211">
        <f t="shared" si="4"/>
        <v>0.91056589549517963</v>
      </c>
      <c r="H65" s="76"/>
      <c r="I65" s="76"/>
      <c r="J65" s="76"/>
      <c r="K65" s="76"/>
      <c r="L65" s="216"/>
      <c r="M65" s="76"/>
      <c r="N65" s="76"/>
    </row>
    <row r="66" spans="1:14">
      <c r="A66" s="213"/>
      <c r="B66" s="215">
        <v>348</v>
      </c>
      <c r="C66" s="207">
        <f t="shared" si="0"/>
        <v>54696</v>
      </c>
      <c r="D66" s="208">
        <v>3.2929999999999999E-3</v>
      </c>
      <c r="E66" s="209">
        <v>3.2980000000000002E-3</v>
      </c>
      <c r="F66" s="210">
        <f t="shared" si="3"/>
        <v>0.90900638721108162</v>
      </c>
      <c r="G66" s="211">
        <f t="shared" si="4"/>
        <v>0.90887493685128284</v>
      </c>
      <c r="H66" s="76"/>
      <c r="I66" s="76"/>
      <c r="J66" s="76"/>
      <c r="K66" s="76"/>
      <c r="L66" s="216"/>
      <c r="M66" s="76"/>
      <c r="N66" s="76"/>
    </row>
    <row r="67" spans="1:14">
      <c r="A67" s="213"/>
      <c r="B67" s="215">
        <v>354</v>
      </c>
      <c r="C67" s="207">
        <f t="shared" si="0"/>
        <v>54877</v>
      </c>
      <c r="D67" s="208">
        <v>3.3540000000000002E-3</v>
      </c>
      <c r="E67" s="209">
        <v>3.3050000000000002E-3</v>
      </c>
      <c r="F67" s="210">
        <f t="shared" si="3"/>
        <v>0.90589860172182279</v>
      </c>
      <c r="G67" s="211">
        <f t="shared" si="4"/>
        <v>0.90720534093964833</v>
      </c>
      <c r="H67" s="76"/>
      <c r="I67" s="76"/>
      <c r="J67" s="76"/>
      <c r="K67" s="76"/>
      <c r="L67" s="216"/>
      <c r="M67" s="76"/>
      <c r="N67" s="76"/>
    </row>
    <row r="68" spans="1:14" ht="17.149999999999999" thickBot="1">
      <c r="A68" s="76"/>
      <c r="B68" s="248">
        <v>360</v>
      </c>
      <c r="C68" s="249">
        <f t="shared" si="0"/>
        <v>55061</v>
      </c>
      <c r="D68" s="250">
        <v>3.421E-3</v>
      </c>
      <c r="E68" s="251">
        <v>3.3110000000000001E-3</v>
      </c>
      <c r="F68" s="252">
        <f t="shared" si="3"/>
        <v>0.90255978520016189</v>
      </c>
      <c r="G68" s="253">
        <f t="shared" si="4"/>
        <v>0.90553503144583625</v>
      </c>
      <c r="H68" s="76"/>
      <c r="I68" s="76"/>
      <c r="J68" s="76"/>
      <c r="K68" s="76"/>
      <c r="L68" s="216"/>
      <c r="M68" s="76"/>
      <c r="N68" s="7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58"/>
  <sheetViews>
    <sheetView tabSelected="1" topLeftCell="C1" zoomScale="120" zoomScaleNormal="120" workbookViewId="0">
      <selection activeCell="J16" sqref="J16"/>
    </sheetView>
  </sheetViews>
  <sheetFormatPr defaultRowHeight="16.75"/>
  <cols>
    <col min="1" max="1" width="4.23046875" customWidth="1"/>
    <col min="2" max="2" width="14.3828125" customWidth="1"/>
    <col min="3" max="3" width="18.765625" customWidth="1"/>
    <col min="4" max="4" width="18.84375" customWidth="1"/>
    <col min="5" max="5" width="17.23046875" customWidth="1"/>
    <col min="6" max="6" width="21.69140625" customWidth="1"/>
    <col min="7" max="7" width="19.84375" customWidth="1"/>
    <col min="8" max="8" width="21.23046875" customWidth="1"/>
    <col min="9" max="9" width="20" customWidth="1"/>
    <col min="10" max="10" width="19.84375" customWidth="1"/>
    <col min="11" max="11" width="11.61328125" customWidth="1"/>
    <col min="12" max="12" width="7.84375" customWidth="1"/>
    <col min="13" max="13" width="8" customWidth="1"/>
    <col min="14" max="14" width="7.765625" customWidth="1"/>
    <col min="15" max="15" width="7.15234375" customWidth="1"/>
    <col min="16" max="17" width="8.15234375" customWidth="1"/>
    <col min="18" max="18" width="8.3828125" customWidth="1"/>
    <col min="19" max="19" width="9" customWidth="1"/>
    <col min="20" max="20" width="11.84375" customWidth="1"/>
    <col min="21" max="21" width="11" customWidth="1"/>
    <col min="22" max="22" width="9.61328125" bestFit="1" customWidth="1"/>
    <col min="33" max="33" width="14.15234375" customWidth="1"/>
    <col min="34" max="34" width="7" customWidth="1"/>
    <col min="35" max="35" width="14" customWidth="1"/>
    <col min="36" max="36" width="14.61328125" customWidth="1"/>
  </cols>
  <sheetData>
    <row r="2" spans="2:36" ht="17.149999999999999" thickBot="1">
      <c r="C2" s="1" t="s">
        <v>0</v>
      </c>
      <c r="D2" s="2">
        <f>MarketData!D2</f>
        <v>44104</v>
      </c>
      <c r="L2" s="50"/>
      <c r="M2" s="48"/>
      <c r="N2" s="51"/>
    </row>
    <row r="3" spans="2:36" ht="17.149999999999999" thickBot="1">
      <c r="C3" s="3" t="s">
        <v>1</v>
      </c>
      <c r="D3" s="4" t="b">
        <f>qlSettingsSetEvaluationDate(D2)</f>
        <v>1</v>
      </c>
      <c r="F3" s="280" t="s">
        <v>148</v>
      </c>
      <c r="G3" s="281">
        <v>1E-4</v>
      </c>
      <c r="I3" s="81" t="s">
        <v>42</v>
      </c>
      <c r="J3" s="80" t="s">
        <v>41</v>
      </c>
      <c r="L3" s="10"/>
      <c r="M3" s="10"/>
      <c r="N3" s="52"/>
      <c r="W3" s="68" t="s">
        <v>32</v>
      </c>
      <c r="X3" s="68">
        <v>1</v>
      </c>
    </row>
    <row r="4" spans="2:36" ht="17.149999999999999" thickBot="1">
      <c r="L4" s="10"/>
      <c r="M4" s="10"/>
      <c r="N4" s="53"/>
      <c r="W4" s="68" t="s">
        <v>33</v>
      </c>
      <c r="X4" s="68">
        <v>0.03</v>
      </c>
    </row>
    <row r="5" spans="2:36" ht="17.149999999999999" thickBot="1">
      <c r="B5" s="60" t="s">
        <v>40</v>
      </c>
      <c r="C5" s="75" t="s">
        <v>2</v>
      </c>
      <c r="D5" s="264" t="s">
        <v>3</v>
      </c>
      <c r="E5" s="265" t="s">
        <v>4</v>
      </c>
      <c r="F5" s="74" t="s">
        <v>26</v>
      </c>
      <c r="G5" s="73" t="s">
        <v>28</v>
      </c>
      <c r="H5" s="73" t="s">
        <v>29</v>
      </c>
      <c r="I5" s="73" t="s">
        <v>30</v>
      </c>
      <c r="J5" s="73" t="s">
        <v>31</v>
      </c>
      <c r="K5" s="48"/>
      <c r="L5" s="10"/>
      <c r="M5" s="10"/>
      <c r="N5" s="52"/>
      <c r="AI5" s="126" t="s">
        <v>37</v>
      </c>
      <c r="AJ5" s="124">
        <f>MAX(AG20,AG39,AG58)</f>
        <v>233614.67805110972</v>
      </c>
    </row>
    <row r="6" spans="2:36" ht="18" thickBot="1">
      <c r="B6" s="262">
        <v>0</v>
      </c>
      <c r="C6" s="5">
        <f>MarketData!L17</f>
        <v>44104</v>
      </c>
      <c r="D6" s="26">
        <f>MarketData!M17</f>
        <v>1</v>
      </c>
      <c r="E6" s="8">
        <f>MarketData!N17</f>
        <v>1.9068505643877139E-3</v>
      </c>
      <c r="F6" s="291">
        <v>1122187.3794077158</v>
      </c>
      <c r="G6" s="292"/>
      <c r="H6" s="293"/>
      <c r="I6" s="294"/>
      <c r="J6" s="293"/>
      <c r="K6" s="61"/>
      <c r="M6" s="10"/>
      <c r="N6" s="54"/>
      <c r="V6" s="62"/>
      <c r="W6" s="139">
        <v>0.25</v>
      </c>
      <c r="X6" s="139">
        <v>0.5</v>
      </c>
      <c r="Y6" s="139">
        <v>1</v>
      </c>
      <c r="Z6" s="139">
        <v>2</v>
      </c>
      <c r="AA6" s="139">
        <v>3</v>
      </c>
      <c r="AB6" s="139">
        <v>5</v>
      </c>
      <c r="AC6" s="139">
        <v>10</v>
      </c>
      <c r="AD6" s="139">
        <v>15</v>
      </c>
      <c r="AE6" s="139">
        <v>20</v>
      </c>
      <c r="AF6" s="140">
        <v>30</v>
      </c>
      <c r="AI6" s="127" t="s">
        <v>38</v>
      </c>
      <c r="AJ6" s="125">
        <f>AJ5*12.5</f>
        <v>2920183.4756388715</v>
      </c>
    </row>
    <row r="7" spans="2:36" ht="18" thickBot="1">
      <c r="B7" s="262">
        <v>3</v>
      </c>
      <c r="C7" s="6">
        <f>MarketData!L18</f>
        <v>44195</v>
      </c>
      <c r="D7" s="27">
        <f>MarketData!M18</f>
        <v>0.99953250358662393</v>
      </c>
      <c r="E7" s="9">
        <f>MarketData!N18</f>
        <v>1.8755614200137857E-3</v>
      </c>
      <c r="F7" s="295">
        <v>1122187.3794077158</v>
      </c>
      <c r="G7" s="296">
        <f>(F7-$F$6)</f>
        <v>0</v>
      </c>
      <c r="H7" s="297">
        <f t="shared" ref="H7:H16" si="0">G7/0.0001</f>
        <v>0</v>
      </c>
      <c r="I7" s="298">
        <v>1.7000000000000001E-2</v>
      </c>
      <c r="J7" s="297">
        <f>I7/2^0.5*H7</f>
        <v>0</v>
      </c>
      <c r="K7" s="61"/>
      <c r="L7" s="64">
        <f>J7</f>
        <v>0</v>
      </c>
      <c r="M7" s="65">
        <f>J8</f>
        <v>-42.350663589292893</v>
      </c>
      <c r="N7" s="65">
        <f>J9</f>
        <v>-64.906426403800239</v>
      </c>
      <c r="O7" s="65">
        <f>J10</f>
        <v>-137.39598183414543</v>
      </c>
      <c r="P7" s="65">
        <f>J11</f>
        <v>-316.55887547189457</v>
      </c>
      <c r="Q7" s="65">
        <f>J12</f>
        <v>-1210.076712537249</v>
      </c>
      <c r="R7" s="65">
        <f>J13</f>
        <v>-2841.8335101486027</v>
      </c>
      <c r="S7" s="65">
        <f>J14</f>
        <v>-4188.3855446765028</v>
      </c>
      <c r="T7" s="65">
        <f>J15</f>
        <v>-16917.627029221818</v>
      </c>
      <c r="U7" s="66">
        <f>J16</f>
        <v>-207980.79440668222</v>
      </c>
      <c r="V7" s="142">
        <v>0.25</v>
      </c>
      <c r="W7" s="130">
        <f t="shared" ref="W7:AF16" si="1">MAX(EXP(-$X$4*ABS(W$6-$V7)/MIN(W$6,$V7)),0.4)*$X$3</f>
        <v>1</v>
      </c>
      <c r="X7" s="131">
        <f t="shared" si="1"/>
        <v>0.97044553354850815</v>
      </c>
      <c r="Y7" s="131">
        <f t="shared" si="1"/>
        <v>0.91393118527122819</v>
      </c>
      <c r="Z7" s="131">
        <f t="shared" si="1"/>
        <v>0.81058424597018708</v>
      </c>
      <c r="AA7" s="131">
        <f t="shared" si="1"/>
        <v>0.71892373343192617</v>
      </c>
      <c r="AB7" s="131">
        <f t="shared" si="1"/>
        <v>0.56552543869953709</v>
      </c>
      <c r="AC7" s="131">
        <f t="shared" si="1"/>
        <v>0.4</v>
      </c>
      <c r="AD7" s="131">
        <f t="shared" si="1"/>
        <v>0.4</v>
      </c>
      <c r="AE7" s="131">
        <f t="shared" si="1"/>
        <v>0.4</v>
      </c>
      <c r="AF7" s="132">
        <f t="shared" si="1"/>
        <v>0.4</v>
      </c>
      <c r="AG7" s="77">
        <f>L7</f>
        <v>0</v>
      </c>
    </row>
    <row r="8" spans="2:36" ht="17.600000000000001">
      <c r="B8" s="262">
        <v>6</v>
      </c>
      <c r="C8" s="6">
        <f>MarketData!L19</f>
        <v>44285</v>
      </c>
      <c r="D8" s="27">
        <f>MarketData!M19</f>
        <v>0.99909482829730101</v>
      </c>
      <c r="E8" s="9">
        <f>MarketData!N19</f>
        <v>1.8261728760487102E-3</v>
      </c>
      <c r="F8" s="295">
        <v>1122187.0270966403</v>
      </c>
      <c r="G8" s="296">
        <f t="shared" ref="G8:G15" si="2">(F8-$F$6)</f>
        <v>-0.35231107543222606</v>
      </c>
      <c r="H8" s="297">
        <f t="shared" si="0"/>
        <v>-3523.1107543222606</v>
      </c>
      <c r="I8" s="298">
        <v>1.7000000000000001E-2</v>
      </c>
      <c r="J8" s="297">
        <f t="shared" ref="J8:J16" si="3">I8/2^0.5*H8</f>
        <v>-42.350663589292893</v>
      </c>
      <c r="K8" s="61"/>
      <c r="M8" s="10"/>
      <c r="N8" s="52"/>
      <c r="V8" s="143">
        <v>0.5</v>
      </c>
      <c r="W8" s="133">
        <f t="shared" si="1"/>
        <v>0.97044553354850815</v>
      </c>
      <c r="X8" s="134">
        <f t="shared" si="1"/>
        <v>1</v>
      </c>
      <c r="Y8" s="134">
        <f t="shared" si="1"/>
        <v>0.97044553354850815</v>
      </c>
      <c r="Z8" s="134">
        <f t="shared" si="1"/>
        <v>0.91393118527122819</v>
      </c>
      <c r="AA8" s="134">
        <f t="shared" si="1"/>
        <v>0.86070797642505781</v>
      </c>
      <c r="AB8" s="134">
        <f t="shared" si="1"/>
        <v>0.76337949433685315</v>
      </c>
      <c r="AC8" s="134">
        <f t="shared" si="1"/>
        <v>0.56552543869953709</v>
      </c>
      <c r="AD8" s="134">
        <f t="shared" si="1"/>
        <v>0.418951549247639</v>
      </c>
      <c r="AE8" s="134">
        <f t="shared" si="1"/>
        <v>0.4</v>
      </c>
      <c r="AF8" s="135">
        <f t="shared" si="1"/>
        <v>0.4</v>
      </c>
      <c r="AG8" s="78">
        <f>M7</f>
        <v>-42.350663589292893</v>
      </c>
    </row>
    <row r="9" spans="2:36" ht="17.600000000000001">
      <c r="B9" s="262">
        <v>12</v>
      </c>
      <c r="C9" s="6">
        <f>MarketData!L20</f>
        <v>44469</v>
      </c>
      <c r="D9" s="27">
        <f>MarketData!M20</f>
        <v>0.9982640188711831</v>
      </c>
      <c r="E9" s="9">
        <f>MarketData!N20</f>
        <v>1.7374896901989241E-3</v>
      </c>
      <c r="F9" s="295">
        <v>1122186.8057105376</v>
      </c>
      <c r="G9" s="296">
        <f t="shared" si="2"/>
        <v>-0.57369717815890908</v>
      </c>
      <c r="H9" s="297">
        <f t="shared" si="0"/>
        <v>-5736.9717815890908</v>
      </c>
      <c r="I9" s="298">
        <v>1.6E-2</v>
      </c>
      <c r="J9" s="297">
        <f t="shared" si="3"/>
        <v>-64.906426403800239</v>
      </c>
      <c r="K9" s="61"/>
      <c r="M9" s="10"/>
      <c r="N9" s="54"/>
      <c r="V9" s="144">
        <v>1</v>
      </c>
      <c r="W9" s="133">
        <f t="shared" si="1"/>
        <v>0.91393118527122819</v>
      </c>
      <c r="X9" s="134">
        <f t="shared" si="1"/>
        <v>0.97044553354850815</v>
      </c>
      <c r="Y9" s="134">
        <f t="shared" si="1"/>
        <v>1</v>
      </c>
      <c r="Z9" s="134">
        <f t="shared" si="1"/>
        <v>0.97044553354850815</v>
      </c>
      <c r="AA9" s="134">
        <f t="shared" si="1"/>
        <v>0.94176453358424872</v>
      </c>
      <c r="AB9" s="134">
        <f t="shared" si="1"/>
        <v>0.88692043671715748</v>
      </c>
      <c r="AC9" s="134">
        <f t="shared" si="1"/>
        <v>0.76337949433685315</v>
      </c>
      <c r="AD9" s="134">
        <f t="shared" si="1"/>
        <v>0.65704681981505675</v>
      </c>
      <c r="AE9" s="134">
        <f t="shared" si="1"/>
        <v>0.56552543869953709</v>
      </c>
      <c r="AF9" s="135">
        <f t="shared" si="1"/>
        <v>0.418951549247639</v>
      </c>
      <c r="AG9" s="78">
        <f>N7</f>
        <v>-64.906426403800239</v>
      </c>
    </row>
    <row r="10" spans="2:36" ht="17.600000000000001">
      <c r="B10" s="262">
        <v>24</v>
      </c>
      <c r="C10" s="6">
        <f>MarketData!L21</f>
        <v>44834</v>
      </c>
      <c r="D10" s="27">
        <f>MarketData!M21</f>
        <v>0.99673004138749033</v>
      </c>
      <c r="E10" s="9">
        <f>MarketData!N21</f>
        <v>1.6376583053249792E-3</v>
      </c>
      <c r="F10" s="295">
        <v>1122185.8847364779</v>
      </c>
      <c r="G10" s="296">
        <f t="shared" si="2"/>
        <v>-1.4946712378878146</v>
      </c>
      <c r="H10" s="297">
        <f t="shared" si="0"/>
        <v>-14946.712378878146</v>
      </c>
      <c r="I10" s="298">
        <v>1.2999999999999999E-2</v>
      </c>
      <c r="J10" s="297">
        <f t="shared" si="3"/>
        <v>-137.39598183414543</v>
      </c>
      <c r="K10" s="61"/>
      <c r="L10" s="10"/>
      <c r="M10" s="10"/>
      <c r="N10" s="54"/>
      <c r="V10" s="144">
        <v>2</v>
      </c>
      <c r="W10" s="133">
        <f t="shared" si="1"/>
        <v>0.81058424597018708</v>
      </c>
      <c r="X10" s="134">
        <f t="shared" si="1"/>
        <v>0.91393118527122819</v>
      </c>
      <c r="Y10" s="134">
        <f t="shared" si="1"/>
        <v>0.97044553354850815</v>
      </c>
      <c r="Z10" s="134">
        <f t="shared" si="1"/>
        <v>1</v>
      </c>
      <c r="AA10" s="134">
        <f t="shared" si="1"/>
        <v>0.98511193960306265</v>
      </c>
      <c r="AB10" s="134">
        <f t="shared" si="1"/>
        <v>0.95599748183309996</v>
      </c>
      <c r="AC10" s="134">
        <f t="shared" si="1"/>
        <v>0.88692043671715748</v>
      </c>
      <c r="AD10" s="134">
        <f t="shared" si="1"/>
        <v>0.82283465805601841</v>
      </c>
      <c r="AE10" s="134">
        <f t="shared" si="1"/>
        <v>0.76337949433685315</v>
      </c>
      <c r="AF10" s="135">
        <f t="shared" si="1"/>
        <v>0.65704681981505675</v>
      </c>
      <c r="AG10" s="78">
        <f>O7</f>
        <v>-137.39598183414543</v>
      </c>
    </row>
    <row r="11" spans="2:36" ht="17.600000000000001">
      <c r="B11" s="262">
        <v>36</v>
      </c>
      <c r="C11" s="6">
        <f>MarketData!L22</f>
        <v>45199</v>
      </c>
      <c r="D11" s="27">
        <f>MarketData!M22</f>
        <v>0.99506629018967385</v>
      </c>
      <c r="E11" s="9">
        <f>MarketData!N22</f>
        <v>1.6486402455244426E-3</v>
      </c>
      <c r="F11" s="295">
        <v>1122183.6487255909</v>
      </c>
      <c r="G11" s="296">
        <f t="shared" si="2"/>
        <v>-3.7306821248494089</v>
      </c>
      <c r="H11" s="297">
        <f t="shared" si="0"/>
        <v>-37306.821248494089</v>
      </c>
      <c r="I11" s="298">
        <v>1.2E-2</v>
      </c>
      <c r="J11" s="297">
        <f t="shared" si="3"/>
        <v>-316.55887547189457</v>
      </c>
      <c r="K11" s="61"/>
      <c r="L11" s="10"/>
      <c r="M11" s="10"/>
      <c r="N11" s="52"/>
      <c r="V11" s="144">
        <v>3</v>
      </c>
      <c r="W11" s="133">
        <f t="shared" si="1"/>
        <v>0.71892373343192617</v>
      </c>
      <c r="X11" s="134">
        <f t="shared" si="1"/>
        <v>0.86070797642505781</v>
      </c>
      <c r="Y11" s="134">
        <f t="shared" si="1"/>
        <v>0.94176453358424872</v>
      </c>
      <c r="Z11" s="134">
        <f t="shared" si="1"/>
        <v>0.98511193960306265</v>
      </c>
      <c r="AA11" s="134">
        <f t="shared" si="1"/>
        <v>1</v>
      </c>
      <c r="AB11" s="134">
        <f t="shared" si="1"/>
        <v>0.98019867330675525</v>
      </c>
      <c r="AC11" s="134">
        <f t="shared" si="1"/>
        <v>0.93239381990594827</v>
      </c>
      <c r="AD11" s="134">
        <f t="shared" si="1"/>
        <v>0.88692043671715748</v>
      </c>
      <c r="AE11" s="134">
        <f t="shared" si="1"/>
        <v>0.8436648165963837</v>
      </c>
      <c r="AF11" s="135">
        <f t="shared" si="1"/>
        <v>0.76337949433685326</v>
      </c>
      <c r="AG11" s="78">
        <f>P7</f>
        <v>-316.55887547189457</v>
      </c>
    </row>
    <row r="12" spans="2:36" ht="17.600000000000001">
      <c r="B12" s="262">
        <v>60</v>
      </c>
      <c r="C12" s="6">
        <f>MarketData!L23</f>
        <v>45930</v>
      </c>
      <c r="D12" s="27">
        <f>MarketData!M23</f>
        <v>0.99067242020572133</v>
      </c>
      <c r="E12" s="9">
        <f>MarketData!N23</f>
        <v>1.8732443816804195E-3</v>
      </c>
      <c r="F12" s="295">
        <v>1122171.8220722759</v>
      </c>
      <c r="G12" s="296">
        <f t="shared" si="2"/>
        <v>-15.557335439836606</v>
      </c>
      <c r="H12" s="297">
        <f t="shared" si="0"/>
        <v>-155573.35439836606</v>
      </c>
      <c r="I12" s="298">
        <v>1.0999999999999999E-2</v>
      </c>
      <c r="J12" s="297">
        <f t="shared" si="3"/>
        <v>-1210.076712537249</v>
      </c>
      <c r="K12" s="61"/>
      <c r="L12" s="10"/>
      <c r="M12" s="10"/>
      <c r="N12" s="55"/>
      <c r="V12" s="144">
        <v>5</v>
      </c>
      <c r="W12" s="133">
        <f t="shared" si="1"/>
        <v>0.56552543869953709</v>
      </c>
      <c r="X12" s="134">
        <f t="shared" si="1"/>
        <v>0.76337949433685315</v>
      </c>
      <c r="Y12" s="134">
        <f t="shared" si="1"/>
        <v>0.88692043671715748</v>
      </c>
      <c r="Z12" s="134">
        <f t="shared" si="1"/>
        <v>0.95599748183309996</v>
      </c>
      <c r="AA12" s="134">
        <f t="shared" si="1"/>
        <v>0.98019867330675525</v>
      </c>
      <c r="AB12" s="134">
        <f t="shared" si="1"/>
        <v>1</v>
      </c>
      <c r="AC12" s="134">
        <f t="shared" si="1"/>
        <v>0.97044553354850815</v>
      </c>
      <c r="AD12" s="134">
        <f t="shared" si="1"/>
        <v>0.94176453358424872</v>
      </c>
      <c r="AE12" s="134">
        <f t="shared" si="1"/>
        <v>0.91393118527122819</v>
      </c>
      <c r="AF12" s="135">
        <f t="shared" si="1"/>
        <v>0.86070797642505781</v>
      </c>
      <c r="AG12" s="78">
        <f>Q7</f>
        <v>-1210.076712537249</v>
      </c>
    </row>
    <row r="13" spans="2:36" ht="17.600000000000001">
      <c r="B13" s="262">
        <v>120</v>
      </c>
      <c r="C13" s="6">
        <f>MarketData!L24</f>
        <v>47756</v>
      </c>
      <c r="D13" s="27">
        <f>MarketData!M24</f>
        <v>0.97489879134379376</v>
      </c>
      <c r="E13" s="9">
        <f>MarketData!N24</f>
        <v>2.5407695097516181E-3</v>
      </c>
      <c r="F13" s="295">
        <v>1122150.8434123334</v>
      </c>
      <c r="G13" s="296">
        <f t="shared" si="2"/>
        <v>-36.535995382349938</v>
      </c>
      <c r="H13" s="297">
        <f t="shared" si="0"/>
        <v>-365359.95382349938</v>
      </c>
      <c r="I13" s="298">
        <v>1.0999999999999999E-2</v>
      </c>
      <c r="J13" s="297">
        <f t="shared" si="3"/>
        <v>-2841.8335101486027</v>
      </c>
      <c r="K13" s="61"/>
      <c r="L13" s="10"/>
      <c r="M13" s="10"/>
      <c r="N13" s="56"/>
      <c r="V13" s="144">
        <v>10</v>
      </c>
      <c r="W13" s="133">
        <f t="shared" si="1"/>
        <v>0.4</v>
      </c>
      <c r="X13" s="134">
        <f t="shared" si="1"/>
        <v>0.56552543869953709</v>
      </c>
      <c r="Y13" s="134">
        <f t="shared" si="1"/>
        <v>0.76337949433685315</v>
      </c>
      <c r="Z13" s="134">
        <f t="shared" si="1"/>
        <v>0.88692043671715748</v>
      </c>
      <c r="AA13" s="134">
        <f t="shared" si="1"/>
        <v>0.93239381990594827</v>
      </c>
      <c r="AB13" s="134">
        <f t="shared" si="1"/>
        <v>0.97044553354850815</v>
      </c>
      <c r="AC13" s="134">
        <f t="shared" si="1"/>
        <v>1</v>
      </c>
      <c r="AD13" s="134">
        <f t="shared" si="1"/>
        <v>0.98511193960306265</v>
      </c>
      <c r="AE13" s="134">
        <f t="shared" si="1"/>
        <v>0.97044553354850815</v>
      </c>
      <c r="AF13" s="135">
        <f t="shared" si="1"/>
        <v>0.94176453358424872</v>
      </c>
      <c r="AG13" s="78">
        <f>R7</f>
        <v>-2841.8335101486027</v>
      </c>
    </row>
    <row r="14" spans="2:36" ht="17.600000000000001">
      <c r="B14" s="262">
        <v>180</v>
      </c>
      <c r="C14" s="6">
        <f>MarketData!L25</f>
        <v>49582</v>
      </c>
      <c r="D14" s="27">
        <f>MarketData!M25</f>
        <v>0.95725514062204387</v>
      </c>
      <c r="E14" s="9">
        <f>MarketData!N25</f>
        <v>2.9107596259615805E-3</v>
      </c>
      <c r="F14" s="295">
        <v>1122133.5314837</v>
      </c>
      <c r="G14" s="296">
        <f t="shared" si="2"/>
        <v>-53.847924015717581</v>
      </c>
      <c r="H14" s="297">
        <f t="shared" si="0"/>
        <v>-538479.24015717581</v>
      </c>
      <c r="I14" s="298">
        <v>1.0999999999999999E-2</v>
      </c>
      <c r="J14" s="297">
        <f t="shared" si="3"/>
        <v>-4188.3855446765028</v>
      </c>
      <c r="K14" s="61"/>
      <c r="L14" s="10"/>
      <c r="M14" s="10"/>
      <c r="N14" s="52"/>
      <c r="V14" s="144">
        <v>15</v>
      </c>
      <c r="W14" s="133">
        <f t="shared" si="1"/>
        <v>0.4</v>
      </c>
      <c r="X14" s="134">
        <f t="shared" si="1"/>
        <v>0.418951549247639</v>
      </c>
      <c r="Y14" s="134">
        <f t="shared" si="1"/>
        <v>0.65704681981505675</v>
      </c>
      <c r="Z14" s="134">
        <f t="shared" si="1"/>
        <v>0.82283465805601841</v>
      </c>
      <c r="AA14" s="134">
        <f t="shared" si="1"/>
        <v>0.88692043671715748</v>
      </c>
      <c r="AB14" s="134">
        <f t="shared" si="1"/>
        <v>0.94176453358424872</v>
      </c>
      <c r="AC14" s="134">
        <f t="shared" si="1"/>
        <v>0.98511193960306265</v>
      </c>
      <c r="AD14" s="134">
        <f t="shared" si="1"/>
        <v>1</v>
      </c>
      <c r="AE14" s="134">
        <f t="shared" si="1"/>
        <v>0.99004983374916811</v>
      </c>
      <c r="AF14" s="135">
        <f t="shared" si="1"/>
        <v>0.97044553354850815</v>
      </c>
      <c r="AG14" s="78">
        <f>S7</f>
        <v>-4188.3855446765028</v>
      </c>
    </row>
    <row r="15" spans="2:36" ht="17.600000000000001">
      <c r="B15" s="262">
        <v>240</v>
      </c>
      <c r="C15" s="6">
        <f>MarketData!L26</f>
        <v>51409</v>
      </c>
      <c r="D15" s="27">
        <f>MarketData!M26</f>
        <v>0.93968941249529592</v>
      </c>
      <c r="E15" s="9">
        <f>MarketData!N26</f>
        <v>3.1081646478684564E-3</v>
      </c>
      <c r="F15" s="295">
        <v>1121969.8781569167</v>
      </c>
      <c r="G15" s="296">
        <f t="shared" si="2"/>
        <v>-217.50125079904683</v>
      </c>
      <c r="H15" s="297">
        <f t="shared" si="0"/>
        <v>-2175012.5079904683</v>
      </c>
      <c r="I15" s="298">
        <v>1.0999999999999999E-2</v>
      </c>
      <c r="J15" s="297">
        <f t="shared" si="3"/>
        <v>-16917.627029221818</v>
      </c>
      <c r="K15" s="61"/>
      <c r="L15" s="57"/>
      <c r="M15" s="57"/>
      <c r="N15" s="57"/>
      <c r="V15" s="144">
        <v>20</v>
      </c>
      <c r="W15" s="133">
        <f t="shared" si="1"/>
        <v>0.4</v>
      </c>
      <c r="X15" s="134">
        <f t="shared" si="1"/>
        <v>0.4</v>
      </c>
      <c r="Y15" s="134">
        <f t="shared" si="1"/>
        <v>0.56552543869953709</v>
      </c>
      <c r="Z15" s="134">
        <f t="shared" si="1"/>
        <v>0.76337949433685315</v>
      </c>
      <c r="AA15" s="134">
        <f t="shared" si="1"/>
        <v>0.8436648165963837</v>
      </c>
      <c r="AB15" s="134">
        <f t="shared" si="1"/>
        <v>0.91393118527122819</v>
      </c>
      <c r="AC15" s="134">
        <f t="shared" si="1"/>
        <v>0.97044553354850815</v>
      </c>
      <c r="AD15" s="134">
        <f t="shared" si="1"/>
        <v>0.99004983374916811</v>
      </c>
      <c r="AE15" s="134">
        <f t="shared" si="1"/>
        <v>1</v>
      </c>
      <c r="AF15" s="135">
        <f t="shared" si="1"/>
        <v>0.98511193960306265</v>
      </c>
      <c r="AG15" s="78">
        <f>T7</f>
        <v>-16917.627029221818</v>
      </c>
    </row>
    <row r="16" spans="2:36" ht="18" thickBot="1">
      <c r="B16" s="263">
        <v>360</v>
      </c>
      <c r="C16" s="7">
        <f>MarketData!L27</f>
        <v>55061</v>
      </c>
      <c r="D16" s="28">
        <f>MarketData!M27</f>
        <v>0.90553503144583625</v>
      </c>
      <c r="E16" s="25">
        <f>MarketData!N27</f>
        <v>3.3055307087238588E-3</v>
      </c>
      <c r="F16" s="299">
        <v>1119513.477042597</v>
      </c>
      <c r="G16" s="300">
        <f>(F16-$F$6)</f>
        <v>-2673.9023651187308</v>
      </c>
      <c r="H16" s="301">
        <f t="shared" si="0"/>
        <v>-26739023.651187308</v>
      </c>
      <c r="I16" s="302">
        <v>1.0999999999999999E-2</v>
      </c>
      <c r="J16" s="301">
        <f t="shared" si="3"/>
        <v>-207980.79440668222</v>
      </c>
      <c r="K16" s="61"/>
      <c r="L16" s="57"/>
      <c r="M16" s="57"/>
      <c r="N16" s="57"/>
      <c r="V16" s="145">
        <v>30</v>
      </c>
      <c r="W16" s="136">
        <f t="shared" si="1"/>
        <v>0.4</v>
      </c>
      <c r="X16" s="137">
        <f t="shared" si="1"/>
        <v>0.4</v>
      </c>
      <c r="Y16" s="137">
        <f t="shared" si="1"/>
        <v>0.418951549247639</v>
      </c>
      <c r="Z16" s="137">
        <f t="shared" si="1"/>
        <v>0.65704681981505675</v>
      </c>
      <c r="AA16" s="137">
        <f t="shared" si="1"/>
        <v>0.76337949433685326</v>
      </c>
      <c r="AB16" s="137">
        <f t="shared" si="1"/>
        <v>0.86070797642505781</v>
      </c>
      <c r="AC16" s="137">
        <f t="shared" si="1"/>
        <v>0.94176453358424872</v>
      </c>
      <c r="AD16" s="137">
        <f t="shared" si="1"/>
        <v>0.97044553354850815</v>
      </c>
      <c r="AE16" s="137">
        <f t="shared" si="1"/>
        <v>0.98511193960306265</v>
      </c>
      <c r="AF16" s="138">
        <f t="shared" si="1"/>
        <v>1</v>
      </c>
      <c r="AG16" s="79">
        <f>U7</f>
        <v>-207980.79440668222</v>
      </c>
    </row>
    <row r="17" spans="2:33" ht="17.149999999999999" thickBot="1">
      <c r="C17" s="22"/>
      <c r="D17" s="23"/>
      <c r="E17" s="24"/>
      <c r="L17" s="50"/>
      <c r="M17" s="48"/>
      <c r="N17" s="58"/>
    </row>
    <row r="18" spans="2:33" ht="17.149999999999999" thickBot="1">
      <c r="C18" s="48"/>
      <c r="D18" s="48"/>
      <c r="E18" s="48"/>
      <c r="I18" s="81" t="s">
        <v>62</v>
      </c>
      <c r="J18" s="287">
        <f>SUM(J7:J16)</f>
        <v>-233699.92915056553</v>
      </c>
      <c r="L18" s="10"/>
      <c r="M18" s="10"/>
      <c r="N18" s="52"/>
      <c r="W18" s="121">
        <f t="array" ref="W18:AF18">MMULT(L7:U7,W7:AF16)</f>
        <v>-93895.157086487015</v>
      </c>
      <c r="X18" s="122">
        <v>-94748.350115461042</v>
      </c>
      <c r="Y18" s="122">
        <v>-103233.29375182668</v>
      </c>
      <c r="Z18" s="122">
        <v>-157242.2840632583</v>
      </c>
      <c r="AA18" s="122">
        <v>-181141.15611949866</v>
      </c>
      <c r="AB18" s="122">
        <v>-202916.20718696329</v>
      </c>
      <c r="AC18" s="122">
        <v>-220919.26254235237</v>
      </c>
      <c r="AD18" s="122">
        <v>-227165.04996920616</v>
      </c>
      <c r="AE18" s="122">
        <v>-230238.07406218478</v>
      </c>
      <c r="AF18" s="34">
        <v>-232805.07457684557</v>
      </c>
      <c r="AG18" s="67"/>
    </row>
    <row r="19" spans="2:33" ht="17.149999999999999" thickBot="1">
      <c r="C19" s="22"/>
      <c r="D19" s="266"/>
      <c r="E19" s="49"/>
      <c r="L19" s="10"/>
      <c r="M19" s="10"/>
      <c r="N19" s="59"/>
      <c r="W19" s="67"/>
      <c r="X19" s="67"/>
      <c r="Y19" s="67"/>
      <c r="Z19" s="67"/>
      <c r="AA19" s="67"/>
      <c r="AB19" s="67"/>
      <c r="AC19" s="67"/>
      <c r="AD19" s="67"/>
      <c r="AE19" s="67"/>
      <c r="AF19" s="151" t="s">
        <v>56</v>
      </c>
      <c r="AG19" s="129">
        <f t="array" ref="AG19">MMULT(W18:AF18,AG7:AG16)</f>
        <v>54228540427.47216</v>
      </c>
    </row>
    <row r="20" spans="2:33" ht="17.149999999999999" thickBot="1">
      <c r="B20" s="10"/>
      <c r="C20" s="3" t="s">
        <v>16</v>
      </c>
      <c r="D20" s="11" t="str">
        <f>qlZeroCurve(D21,C6:C16,E6:E16,D24,D25,D26,D27)</f>
        <v>ZeroCurve1#0000</v>
      </c>
      <c r="G20" s="39" t="s">
        <v>126</v>
      </c>
      <c r="H20" s="40" t="str">
        <f>qlFixedRateBond(H21,H22,H23,H24,H25,H26,H27,H28,H29,H30,H31,H32,H33,H34,H35)</f>
        <v>FixedBond1#0000</v>
      </c>
      <c r="I20" s="282" t="s">
        <v>149</v>
      </c>
      <c r="J20" s="285" t="str">
        <f>ohRange(J21,E6:E16,,,)</f>
        <v>RateRange#0000</v>
      </c>
      <c r="L20" s="10"/>
      <c r="M20" s="10"/>
      <c r="N20" s="52"/>
      <c r="W20" s="67"/>
      <c r="X20" s="67"/>
      <c r="Y20" s="67"/>
      <c r="Z20" s="67"/>
      <c r="AA20" s="67"/>
      <c r="AB20" s="67"/>
      <c r="AC20" s="67"/>
      <c r="AD20" s="67"/>
      <c r="AE20" s="67"/>
      <c r="AF20" s="146" t="s">
        <v>34</v>
      </c>
      <c r="AG20" s="128">
        <f>SQRT(AG19)</f>
        <v>232870.22228587355</v>
      </c>
    </row>
    <row r="21" spans="2:33">
      <c r="B21" s="12" t="s">
        <v>5</v>
      </c>
      <c r="C21" s="13" t="s">
        <v>6</v>
      </c>
      <c r="D21" s="14" t="s">
        <v>27</v>
      </c>
      <c r="F21" s="12" t="s">
        <v>103</v>
      </c>
      <c r="G21" s="35" t="s">
        <v>19</v>
      </c>
      <c r="H21" s="41" t="s">
        <v>127</v>
      </c>
      <c r="I21" s="286" t="s">
        <v>150</v>
      </c>
      <c r="J21" s="283" t="s">
        <v>151</v>
      </c>
      <c r="L21" s="10"/>
      <c r="M21" s="10"/>
      <c r="N21" s="54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9"/>
    </row>
    <row r="22" spans="2:33">
      <c r="B22" s="15" t="s">
        <v>7</v>
      </c>
      <c r="C22" s="16" t="s">
        <v>8</v>
      </c>
      <c r="D22" s="21" t="s">
        <v>145</v>
      </c>
      <c r="F22" s="15" t="s">
        <v>103</v>
      </c>
      <c r="G22" s="36" t="s">
        <v>128</v>
      </c>
      <c r="H22" s="42" t="s">
        <v>129</v>
      </c>
      <c r="I22" s="243" t="s">
        <v>149</v>
      </c>
      <c r="J22" s="283" t="s">
        <v>155</v>
      </c>
      <c r="L22" s="10"/>
      <c r="M22" s="10"/>
      <c r="N22" s="52"/>
      <c r="W22" s="68" t="s">
        <v>32</v>
      </c>
      <c r="X22" s="68">
        <v>1.25</v>
      </c>
    </row>
    <row r="23" spans="2:33">
      <c r="B23" s="15" t="s">
        <v>9</v>
      </c>
      <c r="C23" s="16" t="s">
        <v>17</v>
      </c>
      <c r="D23" s="21" t="s">
        <v>146</v>
      </c>
      <c r="F23" s="15" t="s">
        <v>103</v>
      </c>
      <c r="G23" s="36" t="s">
        <v>130</v>
      </c>
      <c r="H23" s="42" t="s">
        <v>131</v>
      </c>
      <c r="I23" s="243" t="s">
        <v>152</v>
      </c>
      <c r="J23" s="283" t="b">
        <v>0</v>
      </c>
      <c r="L23" s="10"/>
      <c r="M23" s="10"/>
      <c r="N23" s="53"/>
      <c r="W23" s="68" t="s">
        <v>33</v>
      </c>
      <c r="X23" s="68">
        <v>0.03</v>
      </c>
    </row>
    <row r="24" spans="2:33" ht="17.149999999999999" thickBot="1">
      <c r="B24" s="15" t="s">
        <v>5</v>
      </c>
      <c r="C24" s="16" t="s">
        <v>10</v>
      </c>
      <c r="D24" s="17" t="s">
        <v>18</v>
      </c>
      <c r="F24" s="15" t="s">
        <v>106</v>
      </c>
      <c r="G24" s="36" t="s">
        <v>132</v>
      </c>
      <c r="H24" s="43">
        <v>0</v>
      </c>
      <c r="I24" s="243" t="s">
        <v>153</v>
      </c>
      <c r="J24" s="283"/>
      <c r="L24" s="10"/>
      <c r="M24" s="10"/>
      <c r="N24" s="52"/>
    </row>
    <row r="25" spans="2:33" ht="18" thickBot="1">
      <c r="B25" s="15" t="s">
        <v>11</v>
      </c>
      <c r="C25" s="16" t="s">
        <v>12</v>
      </c>
      <c r="D25" s="17" t="b">
        <v>0</v>
      </c>
      <c r="F25" s="15" t="s">
        <v>133</v>
      </c>
      <c r="G25" s="36" t="s">
        <v>134</v>
      </c>
      <c r="H25" s="44">
        <v>1000000</v>
      </c>
      <c r="I25" s="245" t="s">
        <v>154</v>
      </c>
      <c r="J25" s="284" t="b">
        <v>1</v>
      </c>
      <c r="M25" s="10"/>
      <c r="N25" s="54"/>
      <c r="V25" s="62"/>
      <c r="W25" s="139">
        <v>0.25</v>
      </c>
      <c r="X25" s="139">
        <v>0.5</v>
      </c>
      <c r="Y25" s="139">
        <v>1</v>
      </c>
      <c r="Z25" s="139">
        <v>2</v>
      </c>
      <c r="AA25" s="139">
        <v>3</v>
      </c>
      <c r="AB25" s="139">
        <v>5</v>
      </c>
      <c r="AC25" s="139">
        <v>10</v>
      </c>
      <c r="AD25" s="139">
        <v>15</v>
      </c>
      <c r="AE25" s="139">
        <v>20</v>
      </c>
      <c r="AF25" s="140">
        <v>30</v>
      </c>
    </row>
    <row r="26" spans="2:33" ht="18" thickBot="1">
      <c r="B26" s="15" t="s">
        <v>13</v>
      </c>
      <c r="C26" s="16" t="s">
        <v>14</v>
      </c>
      <c r="D26" s="17"/>
      <c r="F26" s="15" t="s">
        <v>103</v>
      </c>
      <c r="G26" s="36" t="s">
        <v>135</v>
      </c>
      <c r="H26" s="44" t="str">
        <f>D29</f>
        <v>Sch#0000</v>
      </c>
      <c r="L26" s="64">
        <f t="shared" ref="L26:U26" si="4">L7</f>
        <v>0</v>
      </c>
      <c r="M26" s="65">
        <f t="shared" si="4"/>
        <v>-42.350663589292893</v>
      </c>
      <c r="N26" s="65">
        <f t="shared" si="4"/>
        <v>-64.906426403800239</v>
      </c>
      <c r="O26" s="65">
        <f t="shared" si="4"/>
        <v>-137.39598183414543</v>
      </c>
      <c r="P26" s="65">
        <f t="shared" si="4"/>
        <v>-316.55887547189457</v>
      </c>
      <c r="Q26" s="65">
        <f t="shared" si="4"/>
        <v>-1210.076712537249</v>
      </c>
      <c r="R26" s="65">
        <f t="shared" si="4"/>
        <v>-2841.8335101486027</v>
      </c>
      <c r="S26" s="65">
        <f t="shared" si="4"/>
        <v>-4188.3855446765028</v>
      </c>
      <c r="T26" s="65">
        <f t="shared" si="4"/>
        <v>-16917.627029221818</v>
      </c>
      <c r="U26" s="66">
        <f t="shared" si="4"/>
        <v>-207980.79440668222</v>
      </c>
      <c r="V26" s="141">
        <v>0.25</v>
      </c>
      <c r="W26" s="130">
        <f>MIN(W7*$X$22, 1)</f>
        <v>1</v>
      </c>
      <c r="X26" s="131">
        <f t="shared" ref="X26:AF26" si="5">MIN(X7*$X$22, 1)</f>
        <v>1</v>
      </c>
      <c r="Y26" s="131">
        <f t="shared" si="5"/>
        <v>1</v>
      </c>
      <c r="Z26" s="131">
        <f t="shared" si="5"/>
        <v>1</v>
      </c>
      <c r="AA26" s="131">
        <f t="shared" si="5"/>
        <v>0.89865466678990769</v>
      </c>
      <c r="AB26" s="131">
        <f t="shared" si="5"/>
        <v>0.70690679837442139</v>
      </c>
      <c r="AC26" s="131">
        <f t="shared" si="5"/>
        <v>0.5</v>
      </c>
      <c r="AD26" s="131">
        <f t="shared" si="5"/>
        <v>0.5</v>
      </c>
      <c r="AE26" s="131">
        <f t="shared" si="5"/>
        <v>0.5</v>
      </c>
      <c r="AF26" s="132">
        <f t="shared" si="5"/>
        <v>0.5</v>
      </c>
      <c r="AG26" s="77">
        <f>L26</f>
        <v>0</v>
      </c>
    </row>
    <row r="27" spans="2:33" ht="18" thickBot="1">
      <c r="B27" s="18" t="s">
        <v>11</v>
      </c>
      <c r="C27" s="19" t="s">
        <v>15</v>
      </c>
      <c r="D27" s="20" t="b">
        <v>1</v>
      </c>
      <c r="F27" s="15" t="s">
        <v>133</v>
      </c>
      <c r="G27" s="36" t="s">
        <v>136</v>
      </c>
      <c r="H27" s="267">
        <v>7.4999999999999997E-3</v>
      </c>
      <c r="I27" s="268" t="s">
        <v>144</v>
      </c>
      <c r="J27" s="269" t="str">
        <f>qlBondEngine(J28,J29,J30,J31,J32)</f>
        <v>BondEng1#0000</v>
      </c>
      <c r="M27" s="10"/>
      <c r="N27" s="52"/>
      <c r="V27" s="143">
        <v>0.5</v>
      </c>
      <c r="W27" s="133">
        <f t="shared" ref="W27:AF27" si="6">MIN(W8*$X$22, 1)</f>
        <v>1</v>
      </c>
      <c r="X27" s="134">
        <f t="shared" si="6"/>
        <v>1</v>
      </c>
      <c r="Y27" s="134">
        <f t="shared" si="6"/>
        <v>1</v>
      </c>
      <c r="Z27" s="134">
        <f t="shared" si="6"/>
        <v>1</v>
      </c>
      <c r="AA27" s="134">
        <f t="shared" si="6"/>
        <v>1</v>
      </c>
      <c r="AB27" s="134">
        <f t="shared" si="6"/>
        <v>0.95422436792106646</v>
      </c>
      <c r="AC27" s="134">
        <f t="shared" si="6"/>
        <v>0.70690679837442139</v>
      </c>
      <c r="AD27" s="134">
        <f t="shared" si="6"/>
        <v>0.5236894365595488</v>
      </c>
      <c r="AE27" s="134">
        <f t="shared" si="6"/>
        <v>0.5</v>
      </c>
      <c r="AF27" s="135">
        <f t="shared" si="6"/>
        <v>0.5</v>
      </c>
      <c r="AG27" s="78">
        <f>M26</f>
        <v>-42.350663589292893</v>
      </c>
    </row>
    <row r="28" spans="2:33" ht="18" thickBot="1">
      <c r="C28" s="22"/>
      <c r="D28" s="266"/>
      <c r="E28" s="70"/>
      <c r="F28" s="15" t="s">
        <v>103</v>
      </c>
      <c r="G28" s="36" t="s">
        <v>137</v>
      </c>
      <c r="H28" s="45" t="s">
        <v>138</v>
      </c>
      <c r="I28" s="270" t="s">
        <v>19</v>
      </c>
      <c r="J28" s="271" t="s">
        <v>147</v>
      </c>
      <c r="M28" s="10"/>
      <c r="N28" s="54"/>
      <c r="V28" s="144">
        <v>1</v>
      </c>
      <c r="W28" s="133">
        <f t="shared" ref="W28:AF28" si="7">MIN(W9*$X$22, 1)</f>
        <v>1</v>
      </c>
      <c r="X28" s="134">
        <f t="shared" si="7"/>
        <v>1</v>
      </c>
      <c r="Y28" s="134">
        <f t="shared" si="7"/>
        <v>1</v>
      </c>
      <c r="Z28" s="134">
        <f t="shared" si="7"/>
        <v>1</v>
      </c>
      <c r="AA28" s="134">
        <f t="shared" si="7"/>
        <v>1</v>
      </c>
      <c r="AB28" s="134">
        <f t="shared" si="7"/>
        <v>1</v>
      </c>
      <c r="AC28" s="134">
        <f t="shared" si="7"/>
        <v>0.95422436792106646</v>
      </c>
      <c r="AD28" s="134">
        <f t="shared" si="7"/>
        <v>0.82130852476882099</v>
      </c>
      <c r="AE28" s="134">
        <f t="shared" si="7"/>
        <v>0.70690679837442139</v>
      </c>
      <c r="AF28" s="135">
        <f t="shared" si="7"/>
        <v>0.5236894365595488</v>
      </c>
      <c r="AG28" s="78">
        <f>N26</f>
        <v>-64.906426403800239</v>
      </c>
    </row>
    <row r="29" spans="2:33" ht="18" thickBot="1">
      <c r="B29" s="29"/>
      <c r="C29" s="3" t="s">
        <v>102</v>
      </c>
      <c r="D29" s="11" t="str">
        <f>qlSchedule(D30,D31,D32,D33,D34,D35,D36,D37,D38,D39,D40,D41,D42,D43)</f>
        <v>Sch#0000</v>
      </c>
      <c r="E29" s="70"/>
      <c r="F29" s="15" t="s">
        <v>103</v>
      </c>
      <c r="G29" s="36" t="s">
        <v>139</v>
      </c>
      <c r="H29" s="42" t="s">
        <v>140</v>
      </c>
      <c r="I29" s="272" t="s">
        <v>20</v>
      </c>
      <c r="J29" s="273" t="str">
        <f>D20</f>
        <v>ZeroCurve1#0000</v>
      </c>
      <c r="L29" s="10"/>
      <c r="M29" s="10"/>
      <c r="N29" s="54"/>
      <c r="V29" s="144">
        <v>2</v>
      </c>
      <c r="W29" s="133">
        <f t="shared" ref="W29:AF29" si="8">MIN(W10*$X$22, 1)</f>
        <v>1</v>
      </c>
      <c r="X29" s="134">
        <f t="shared" si="8"/>
        <v>1</v>
      </c>
      <c r="Y29" s="134">
        <f t="shared" si="8"/>
        <v>1</v>
      </c>
      <c r="Z29" s="134">
        <f t="shared" si="8"/>
        <v>1</v>
      </c>
      <c r="AA29" s="134">
        <f t="shared" si="8"/>
        <v>1</v>
      </c>
      <c r="AB29" s="134">
        <f t="shared" si="8"/>
        <v>1</v>
      </c>
      <c r="AC29" s="134">
        <f t="shared" si="8"/>
        <v>1</v>
      </c>
      <c r="AD29" s="134">
        <f t="shared" si="8"/>
        <v>1</v>
      </c>
      <c r="AE29" s="134">
        <f t="shared" si="8"/>
        <v>0.95422436792106646</v>
      </c>
      <c r="AF29" s="135">
        <f t="shared" si="8"/>
        <v>0.82130852476882099</v>
      </c>
      <c r="AG29" s="78">
        <f>O26</f>
        <v>-137.39598183414543</v>
      </c>
    </row>
    <row r="30" spans="2:33" ht="17.600000000000001">
      <c r="B30" s="12" t="s">
        <v>103</v>
      </c>
      <c r="C30" s="13" t="s">
        <v>104</v>
      </c>
      <c r="D30" s="14" t="s">
        <v>105</v>
      </c>
      <c r="F30" s="15" t="s">
        <v>133</v>
      </c>
      <c r="G30" s="36" t="s">
        <v>141</v>
      </c>
      <c r="H30" s="46">
        <v>100</v>
      </c>
      <c r="I30" s="272" t="s">
        <v>21</v>
      </c>
      <c r="J30" s="274" t="b">
        <v>0</v>
      </c>
      <c r="L30" s="10"/>
      <c r="M30" s="10"/>
      <c r="N30" s="52"/>
      <c r="V30" s="144">
        <v>3</v>
      </c>
      <c r="W30" s="133">
        <f t="shared" ref="W30:AF30" si="9">MIN(W11*$X$22, 1)</f>
        <v>0.89865466678990769</v>
      </c>
      <c r="X30" s="134">
        <f t="shared" si="9"/>
        <v>1</v>
      </c>
      <c r="Y30" s="134">
        <f t="shared" si="9"/>
        <v>1</v>
      </c>
      <c r="Z30" s="134">
        <f t="shared" si="9"/>
        <v>1</v>
      </c>
      <c r="AA30" s="134">
        <f t="shared" si="9"/>
        <v>1</v>
      </c>
      <c r="AB30" s="134">
        <f t="shared" si="9"/>
        <v>1</v>
      </c>
      <c r="AC30" s="134">
        <f t="shared" si="9"/>
        <v>1</v>
      </c>
      <c r="AD30" s="134">
        <f t="shared" si="9"/>
        <v>1</v>
      </c>
      <c r="AE30" s="134">
        <f t="shared" si="9"/>
        <v>1</v>
      </c>
      <c r="AF30" s="135">
        <f t="shared" si="9"/>
        <v>0.95422436792106657</v>
      </c>
      <c r="AG30" s="78">
        <f>P26</f>
        <v>-316.55887547189457</v>
      </c>
    </row>
    <row r="31" spans="2:33" ht="17.600000000000001">
      <c r="B31" s="15" t="s">
        <v>106</v>
      </c>
      <c r="C31" s="16" t="s">
        <v>107</v>
      </c>
      <c r="D31" s="30">
        <v>43963</v>
      </c>
      <c r="F31" s="15" t="s">
        <v>106</v>
      </c>
      <c r="G31" s="36" t="s">
        <v>142</v>
      </c>
      <c r="H31" s="31">
        <f>D31</f>
        <v>43963</v>
      </c>
      <c r="I31" s="272" t="s">
        <v>22</v>
      </c>
      <c r="J31" s="275"/>
      <c r="L31" s="10"/>
      <c r="M31" s="10"/>
      <c r="N31" s="55"/>
      <c r="V31" s="144">
        <v>5</v>
      </c>
      <c r="W31" s="133">
        <f t="shared" ref="W31:AF31" si="10">MIN(W12*$X$22, 1)</f>
        <v>0.70690679837442139</v>
      </c>
      <c r="X31" s="134">
        <f t="shared" si="10"/>
        <v>0.95422436792106646</v>
      </c>
      <c r="Y31" s="134">
        <f t="shared" si="10"/>
        <v>1</v>
      </c>
      <c r="Z31" s="134">
        <f t="shared" si="10"/>
        <v>1</v>
      </c>
      <c r="AA31" s="134">
        <f t="shared" si="10"/>
        <v>1</v>
      </c>
      <c r="AB31" s="134">
        <f t="shared" si="10"/>
        <v>1</v>
      </c>
      <c r="AC31" s="134">
        <f t="shared" si="10"/>
        <v>1</v>
      </c>
      <c r="AD31" s="134">
        <f t="shared" si="10"/>
        <v>1</v>
      </c>
      <c r="AE31" s="134">
        <f t="shared" si="10"/>
        <v>1</v>
      </c>
      <c r="AF31" s="135">
        <f t="shared" si="10"/>
        <v>1</v>
      </c>
      <c r="AG31" s="78">
        <f>Q26</f>
        <v>-1210.076712537249</v>
      </c>
    </row>
    <row r="32" spans="2:33" ht="18" thickBot="1">
      <c r="B32" s="15" t="s">
        <v>106</v>
      </c>
      <c r="C32" s="16" t="s">
        <v>108</v>
      </c>
      <c r="D32" s="31">
        <v>54920</v>
      </c>
      <c r="F32" s="15" t="s">
        <v>103</v>
      </c>
      <c r="G32" s="47" t="s">
        <v>143</v>
      </c>
      <c r="H32" s="32" t="s">
        <v>112</v>
      </c>
      <c r="I32" s="276" t="s">
        <v>83</v>
      </c>
      <c r="J32" s="277" t="b">
        <v>1</v>
      </c>
      <c r="L32" s="10"/>
      <c r="M32" s="10"/>
      <c r="N32" s="56"/>
      <c r="V32" s="144">
        <v>10</v>
      </c>
      <c r="W32" s="133">
        <f t="shared" ref="W32:AF32" si="11">MIN(W13*$X$22, 1)</f>
        <v>0.5</v>
      </c>
      <c r="X32" s="134">
        <f t="shared" si="11"/>
        <v>0.70690679837442139</v>
      </c>
      <c r="Y32" s="134">
        <f t="shared" si="11"/>
        <v>0.95422436792106646</v>
      </c>
      <c r="Z32" s="134">
        <f t="shared" si="11"/>
        <v>1</v>
      </c>
      <c r="AA32" s="134">
        <f t="shared" si="11"/>
        <v>1</v>
      </c>
      <c r="AB32" s="134">
        <f t="shared" si="11"/>
        <v>1</v>
      </c>
      <c r="AC32" s="134">
        <f t="shared" si="11"/>
        <v>1</v>
      </c>
      <c r="AD32" s="134">
        <f t="shared" si="11"/>
        <v>1</v>
      </c>
      <c r="AE32" s="134">
        <f t="shared" si="11"/>
        <v>1</v>
      </c>
      <c r="AF32" s="135">
        <f t="shared" si="11"/>
        <v>1</v>
      </c>
      <c r="AG32" s="78">
        <f>R26</f>
        <v>-2841.8335101486027</v>
      </c>
    </row>
    <row r="33" spans="2:33" ht="18" thickBot="1">
      <c r="B33" s="15" t="s">
        <v>103</v>
      </c>
      <c r="C33" s="16" t="s">
        <v>109</v>
      </c>
      <c r="D33" s="32" t="s">
        <v>110</v>
      </c>
      <c r="F33" s="15" t="s">
        <v>118</v>
      </c>
      <c r="G33" s="36" t="s">
        <v>21</v>
      </c>
      <c r="H33" s="42" t="b">
        <v>0</v>
      </c>
      <c r="I33" s="278"/>
      <c r="J33" s="278"/>
      <c r="L33" s="10"/>
      <c r="M33" s="10"/>
      <c r="N33" s="52"/>
      <c r="V33" s="144">
        <v>15</v>
      </c>
      <c r="W33" s="133">
        <f t="shared" ref="W33:AF33" si="12">MIN(W14*$X$22, 1)</f>
        <v>0.5</v>
      </c>
      <c r="X33" s="134">
        <f t="shared" si="12"/>
        <v>0.5236894365595488</v>
      </c>
      <c r="Y33" s="134">
        <f t="shared" si="12"/>
        <v>0.82130852476882099</v>
      </c>
      <c r="Z33" s="134">
        <f t="shared" si="12"/>
        <v>1</v>
      </c>
      <c r="AA33" s="134">
        <f t="shared" si="12"/>
        <v>1</v>
      </c>
      <c r="AB33" s="134">
        <f t="shared" si="12"/>
        <v>1</v>
      </c>
      <c r="AC33" s="134">
        <f t="shared" si="12"/>
        <v>1</v>
      </c>
      <c r="AD33" s="134">
        <f t="shared" si="12"/>
        <v>1</v>
      </c>
      <c r="AE33" s="134">
        <f t="shared" si="12"/>
        <v>1</v>
      </c>
      <c r="AF33" s="135">
        <f t="shared" si="12"/>
        <v>1</v>
      </c>
      <c r="AG33" s="78">
        <f>S26</f>
        <v>-4188.3855446765028</v>
      </c>
    </row>
    <row r="34" spans="2:33" ht="18" thickBot="1">
      <c r="B34" s="15" t="s">
        <v>103</v>
      </c>
      <c r="C34" s="16" t="s">
        <v>111</v>
      </c>
      <c r="D34" s="32" t="s">
        <v>112</v>
      </c>
      <c r="F34" s="15" t="s">
        <v>123</v>
      </c>
      <c r="G34" s="36" t="s">
        <v>22</v>
      </c>
      <c r="H34" s="45"/>
      <c r="I34" s="279" t="s">
        <v>23</v>
      </c>
      <c r="J34" s="288" t="b">
        <f>qlInstrumentSetPricingEngine(H20, J27, ohTrigger(J20))</f>
        <v>1</v>
      </c>
      <c r="L34" s="57"/>
      <c r="M34" s="57"/>
      <c r="N34" s="57"/>
      <c r="V34" s="144">
        <v>20</v>
      </c>
      <c r="W34" s="133">
        <f t="shared" ref="W34:AF34" si="13">MIN(W15*$X$22, 1)</f>
        <v>0.5</v>
      </c>
      <c r="X34" s="134">
        <f t="shared" si="13"/>
        <v>0.5</v>
      </c>
      <c r="Y34" s="134">
        <f t="shared" si="13"/>
        <v>0.70690679837442139</v>
      </c>
      <c r="Z34" s="134">
        <f t="shared" si="13"/>
        <v>0.95422436792106646</v>
      </c>
      <c r="AA34" s="134">
        <f t="shared" si="13"/>
        <v>1</v>
      </c>
      <c r="AB34" s="134">
        <f t="shared" si="13"/>
        <v>1</v>
      </c>
      <c r="AC34" s="134">
        <f t="shared" si="13"/>
        <v>1</v>
      </c>
      <c r="AD34" s="134">
        <f t="shared" si="13"/>
        <v>1</v>
      </c>
      <c r="AE34" s="134">
        <f t="shared" si="13"/>
        <v>1</v>
      </c>
      <c r="AF34" s="135">
        <f t="shared" si="13"/>
        <v>1</v>
      </c>
      <c r="AG34" s="78">
        <f>T26</f>
        <v>-16917.627029221818</v>
      </c>
    </row>
    <row r="35" spans="2:33" ht="18" thickBot="1">
      <c r="B35" s="15" t="s">
        <v>103</v>
      </c>
      <c r="C35" s="16" t="s">
        <v>113</v>
      </c>
      <c r="D35" s="32" t="s">
        <v>114</v>
      </c>
      <c r="F35" s="18" t="s">
        <v>118</v>
      </c>
      <c r="G35" s="37" t="s">
        <v>125</v>
      </c>
      <c r="H35" s="38" t="b">
        <v>1</v>
      </c>
      <c r="I35" s="289" t="s">
        <v>24</v>
      </c>
      <c r="J35" s="290">
        <f>qlInstrumentNPV(H20,ohTrigger(J34))</f>
        <v>1122187.3794077158</v>
      </c>
      <c r="L35" s="57"/>
      <c r="M35" s="57"/>
      <c r="N35" s="57"/>
      <c r="V35" s="145">
        <v>30</v>
      </c>
      <c r="W35" s="136">
        <f t="shared" ref="W35:AF35" si="14">MIN(W16*$X$22, 1)</f>
        <v>0.5</v>
      </c>
      <c r="X35" s="137">
        <f t="shared" si="14"/>
        <v>0.5</v>
      </c>
      <c r="Y35" s="137">
        <f t="shared" si="14"/>
        <v>0.5236894365595488</v>
      </c>
      <c r="Z35" s="137">
        <f t="shared" si="14"/>
        <v>0.82130852476882099</v>
      </c>
      <c r="AA35" s="137">
        <f t="shared" si="14"/>
        <v>0.95422436792106657</v>
      </c>
      <c r="AB35" s="137">
        <f t="shared" si="14"/>
        <v>1</v>
      </c>
      <c r="AC35" s="137">
        <f t="shared" si="14"/>
        <v>1</v>
      </c>
      <c r="AD35" s="137">
        <f t="shared" si="14"/>
        <v>1</v>
      </c>
      <c r="AE35" s="137">
        <f t="shared" si="14"/>
        <v>1</v>
      </c>
      <c r="AF35" s="138">
        <f t="shared" si="14"/>
        <v>1</v>
      </c>
      <c r="AG35" s="79">
        <f>U26</f>
        <v>-207980.79440668222</v>
      </c>
    </row>
    <row r="36" spans="2:33" ht="17.149999999999999" thickBot="1">
      <c r="B36" s="15" t="s">
        <v>103</v>
      </c>
      <c r="C36" s="16" t="s">
        <v>115</v>
      </c>
      <c r="D36" s="32" t="s">
        <v>114</v>
      </c>
      <c r="L36" s="50"/>
      <c r="M36" s="48"/>
      <c r="N36" s="58"/>
    </row>
    <row r="37" spans="2:33" ht="17.149999999999999" thickBot="1">
      <c r="B37" s="15" t="s">
        <v>103</v>
      </c>
      <c r="C37" s="16" t="s">
        <v>116</v>
      </c>
      <c r="D37" s="32" t="s">
        <v>117</v>
      </c>
      <c r="L37" s="10"/>
      <c r="M37" s="10"/>
      <c r="N37" s="52"/>
      <c r="W37" s="121">
        <f t="array" ref="W37:AF37">MMULT(L26:U26,W26:AF35)</f>
        <v>-117348.86188259555</v>
      </c>
      <c r="X37" s="122">
        <v>-118367.43204556611</v>
      </c>
      <c r="Y37" s="122">
        <v>-128799.52279501868</v>
      </c>
      <c r="Z37" s="122">
        <v>-195761.11910774466</v>
      </c>
      <c r="AA37" s="122">
        <v>-224179.47682632096</v>
      </c>
      <c r="AB37" s="122">
        <v>-233697.99052217076</v>
      </c>
      <c r="AC37" s="122">
        <v>-233684.54532628856</v>
      </c>
      <c r="AD37" s="122">
        <v>-233668.15885704316</v>
      </c>
      <c r="AE37" s="122">
        <v>-233653.44079853655</v>
      </c>
      <c r="AF37" s="34">
        <v>-233608.79602893989</v>
      </c>
      <c r="AG37" s="67"/>
    </row>
    <row r="38" spans="2:33">
      <c r="B38" s="15" t="s">
        <v>118</v>
      </c>
      <c r="C38" s="16" t="s">
        <v>119</v>
      </c>
      <c r="D38" s="32" t="b">
        <v>0</v>
      </c>
      <c r="L38" s="10"/>
      <c r="M38" s="10"/>
      <c r="N38" s="59"/>
      <c r="W38" s="67"/>
      <c r="X38" s="67"/>
      <c r="Y38" s="67"/>
      <c r="Z38" s="67"/>
      <c r="AA38" s="67"/>
      <c r="AB38" s="67"/>
      <c r="AC38" s="67"/>
      <c r="AD38" s="67"/>
      <c r="AE38" s="67"/>
      <c r="AF38" s="151" t="s">
        <v>56</v>
      </c>
      <c r="AG38" s="129">
        <f t="array" ref="AG38">MMULT(W37:AF37,AG26:AG35)</f>
        <v>54575817800.923645</v>
      </c>
    </row>
    <row r="39" spans="2:33" ht="17.149999999999999" thickBot="1">
      <c r="B39" s="15" t="s">
        <v>106</v>
      </c>
      <c r="C39" s="16" t="s">
        <v>120</v>
      </c>
      <c r="D39" s="32"/>
      <c r="L39" s="10"/>
      <c r="M39" s="10"/>
      <c r="N39" s="52"/>
      <c r="W39" s="67"/>
      <c r="X39" s="67"/>
      <c r="Y39" s="67"/>
      <c r="Z39" s="67"/>
      <c r="AA39" s="67"/>
      <c r="AB39" s="67"/>
      <c r="AC39" s="67"/>
      <c r="AD39" s="67"/>
      <c r="AE39" s="67"/>
      <c r="AF39" s="146" t="s">
        <v>35</v>
      </c>
      <c r="AG39" s="128">
        <f>SQRT(AG38)</f>
        <v>233614.67805110972</v>
      </c>
    </row>
    <row r="40" spans="2:33" ht="17.600000000000001">
      <c r="B40" s="15" t="s">
        <v>106</v>
      </c>
      <c r="C40" s="16" t="s">
        <v>121</v>
      </c>
      <c r="D40" s="32"/>
      <c r="L40" s="57"/>
      <c r="M40" s="57"/>
      <c r="N40" s="57"/>
      <c r="O40" s="70"/>
      <c r="P40" s="70"/>
      <c r="Q40" s="70"/>
      <c r="R40" s="70"/>
      <c r="S40" s="70"/>
      <c r="T40" s="70"/>
      <c r="U40" s="57"/>
      <c r="V40" s="71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63"/>
    </row>
    <row r="41" spans="2:33">
      <c r="B41" s="15" t="s">
        <v>118</v>
      </c>
      <c r="C41" s="16" t="s">
        <v>122</v>
      </c>
      <c r="D41" s="32" t="b">
        <v>0</v>
      </c>
      <c r="L41" s="10"/>
      <c r="M41" s="10"/>
      <c r="N41" s="52"/>
      <c r="W41" s="68" t="s">
        <v>32</v>
      </c>
      <c r="X41" s="68">
        <v>0.75</v>
      </c>
    </row>
    <row r="42" spans="2:33">
      <c r="B42" s="15" t="s">
        <v>123</v>
      </c>
      <c r="C42" s="16" t="s">
        <v>124</v>
      </c>
      <c r="D42" s="32"/>
      <c r="L42" s="10"/>
      <c r="M42" s="10"/>
      <c r="N42" s="53"/>
      <c r="W42" s="68" t="s">
        <v>33</v>
      </c>
      <c r="X42" s="68">
        <v>0.03</v>
      </c>
    </row>
    <row r="43" spans="2:33" ht="17.149999999999999" thickBot="1">
      <c r="B43" s="18" t="s">
        <v>118</v>
      </c>
      <c r="C43" s="19" t="s">
        <v>125</v>
      </c>
      <c r="D43" s="33" t="b">
        <v>1</v>
      </c>
      <c r="L43" s="10"/>
      <c r="M43" s="10"/>
      <c r="N43" s="52"/>
    </row>
    <row r="44" spans="2:33" ht="18" thickBot="1">
      <c r="M44" s="10"/>
      <c r="N44" s="54"/>
      <c r="V44" s="62"/>
      <c r="W44" s="139">
        <v>0.25</v>
      </c>
      <c r="X44" s="139">
        <v>0.5</v>
      </c>
      <c r="Y44" s="139">
        <v>1</v>
      </c>
      <c r="Z44" s="139">
        <v>2</v>
      </c>
      <c r="AA44" s="139">
        <v>3</v>
      </c>
      <c r="AB44" s="139">
        <v>5</v>
      </c>
      <c r="AC44" s="139">
        <v>10</v>
      </c>
      <c r="AD44" s="139">
        <v>15</v>
      </c>
      <c r="AE44" s="139">
        <v>20</v>
      </c>
      <c r="AF44" s="140">
        <v>30</v>
      </c>
    </row>
    <row r="45" spans="2:33" ht="18" thickBot="1">
      <c r="L45" s="64">
        <f t="shared" ref="L45:U45" si="15">L26</f>
        <v>0</v>
      </c>
      <c r="M45" s="65">
        <f t="shared" si="15"/>
        <v>-42.350663589292893</v>
      </c>
      <c r="N45" s="65">
        <f t="shared" si="15"/>
        <v>-64.906426403800239</v>
      </c>
      <c r="O45" s="65">
        <f t="shared" si="15"/>
        <v>-137.39598183414543</v>
      </c>
      <c r="P45" s="65">
        <f t="shared" si="15"/>
        <v>-316.55887547189457</v>
      </c>
      <c r="Q45" s="65">
        <f t="shared" si="15"/>
        <v>-1210.076712537249</v>
      </c>
      <c r="R45" s="65">
        <f t="shared" si="15"/>
        <v>-2841.8335101486027</v>
      </c>
      <c r="S45" s="65">
        <f t="shared" si="15"/>
        <v>-4188.3855446765028</v>
      </c>
      <c r="T45" s="65">
        <f t="shared" si="15"/>
        <v>-16917.627029221818</v>
      </c>
      <c r="U45" s="66">
        <f t="shared" si="15"/>
        <v>-207980.79440668222</v>
      </c>
      <c r="V45" s="141">
        <v>0.25</v>
      </c>
      <c r="W45" s="130">
        <f>MAX(2*W7-1, 0.75*W7)</f>
        <v>1</v>
      </c>
      <c r="X45" s="131">
        <f t="shared" ref="X45:AF45" si="16">MAX(2*X7-1, 0.75*X7)</f>
        <v>0.94089106709701631</v>
      </c>
      <c r="Y45" s="131">
        <f t="shared" si="16"/>
        <v>0.82786237054245637</v>
      </c>
      <c r="Z45" s="131">
        <f t="shared" si="16"/>
        <v>0.62116849194037416</v>
      </c>
      <c r="AA45" s="131">
        <f t="shared" si="16"/>
        <v>0.53919280007394466</v>
      </c>
      <c r="AB45" s="131">
        <f t="shared" si="16"/>
        <v>0.42414407902465279</v>
      </c>
      <c r="AC45" s="131">
        <f t="shared" si="16"/>
        <v>0.30000000000000004</v>
      </c>
      <c r="AD45" s="131">
        <f t="shared" si="16"/>
        <v>0.30000000000000004</v>
      </c>
      <c r="AE45" s="131">
        <f t="shared" si="16"/>
        <v>0.30000000000000004</v>
      </c>
      <c r="AF45" s="132">
        <f t="shared" si="16"/>
        <v>0.30000000000000004</v>
      </c>
      <c r="AG45" s="77">
        <f>L45</f>
        <v>0</v>
      </c>
    </row>
    <row r="46" spans="2:33" ht="17.600000000000001">
      <c r="M46" s="10"/>
      <c r="N46" s="52"/>
      <c r="V46" s="143">
        <v>0.5</v>
      </c>
      <c r="W46" s="133">
        <f t="shared" ref="W46:AF46" si="17">MAX(2*W8-1, 0.75*W8)</f>
        <v>0.94089106709701631</v>
      </c>
      <c r="X46" s="134">
        <f t="shared" si="17"/>
        <v>1</v>
      </c>
      <c r="Y46" s="134">
        <f t="shared" si="17"/>
        <v>0.94089106709701631</v>
      </c>
      <c r="Z46" s="134">
        <f t="shared" si="17"/>
        <v>0.82786237054245637</v>
      </c>
      <c r="AA46" s="134">
        <f t="shared" si="17"/>
        <v>0.72141595285011562</v>
      </c>
      <c r="AB46" s="134">
        <f t="shared" si="17"/>
        <v>0.57253462075263983</v>
      </c>
      <c r="AC46" s="134">
        <f t="shared" si="17"/>
        <v>0.42414407902465279</v>
      </c>
      <c r="AD46" s="134">
        <f t="shared" si="17"/>
        <v>0.31421366193572925</v>
      </c>
      <c r="AE46" s="134">
        <f t="shared" si="17"/>
        <v>0.30000000000000004</v>
      </c>
      <c r="AF46" s="135">
        <f t="shared" si="17"/>
        <v>0.30000000000000004</v>
      </c>
      <c r="AG46" s="78">
        <f>M45</f>
        <v>-42.350663589292893</v>
      </c>
    </row>
    <row r="47" spans="2:33" ht="17.600000000000001">
      <c r="M47" s="10"/>
      <c r="N47" s="54"/>
      <c r="V47" s="144">
        <v>1</v>
      </c>
      <c r="W47" s="133">
        <f t="shared" ref="W47:AF47" si="18">MAX(2*W9-1, 0.75*W9)</f>
        <v>0.82786237054245637</v>
      </c>
      <c r="X47" s="134">
        <f t="shared" si="18"/>
        <v>0.94089106709701631</v>
      </c>
      <c r="Y47" s="134">
        <f t="shared" si="18"/>
        <v>1</v>
      </c>
      <c r="Z47" s="134">
        <f t="shared" si="18"/>
        <v>0.94089106709701631</v>
      </c>
      <c r="AA47" s="134">
        <f t="shared" si="18"/>
        <v>0.88352906716849744</v>
      </c>
      <c r="AB47" s="134">
        <f t="shared" si="18"/>
        <v>0.77384087343431496</v>
      </c>
      <c r="AC47" s="134">
        <f t="shared" si="18"/>
        <v>0.57253462075263983</v>
      </c>
      <c r="AD47" s="134">
        <f t="shared" si="18"/>
        <v>0.49278511486129256</v>
      </c>
      <c r="AE47" s="134">
        <f t="shared" si="18"/>
        <v>0.42414407902465279</v>
      </c>
      <c r="AF47" s="135">
        <f t="shared" si="18"/>
        <v>0.31421366193572925</v>
      </c>
      <c r="AG47" s="78">
        <f>N45</f>
        <v>-64.906426403800239</v>
      </c>
    </row>
    <row r="48" spans="2:33" ht="17.600000000000001">
      <c r="L48" s="10"/>
      <c r="M48" s="10"/>
      <c r="N48" s="54"/>
      <c r="V48" s="144">
        <v>2</v>
      </c>
      <c r="W48" s="133">
        <f t="shared" ref="W48:AF48" si="19">MAX(2*W10-1, 0.75*W10)</f>
        <v>0.62116849194037416</v>
      </c>
      <c r="X48" s="134">
        <f t="shared" si="19"/>
        <v>0.82786237054245637</v>
      </c>
      <c r="Y48" s="134">
        <f t="shared" si="19"/>
        <v>0.94089106709701631</v>
      </c>
      <c r="Z48" s="134">
        <f t="shared" si="19"/>
        <v>1</v>
      </c>
      <c r="AA48" s="134">
        <f t="shared" si="19"/>
        <v>0.97022387920612529</v>
      </c>
      <c r="AB48" s="134">
        <f t="shared" si="19"/>
        <v>0.91199496366619992</v>
      </c>
      <c r="AC48" s="134">
        <f t="shared" si="19"/>
        <v>0.77384087343431496</v>
      </c>
      <c r="AD48" s="134">
        <f t="shared" si="19"/>
        <v>0.64566931611203682</v>
      </c>
      <c r="AE48" s="134">
        <f t="shared" si="19"/>
        <v>0.57253462075263983</v>
      </c>
      <c r="AF48" s="135">
        <f t="shared" si="19"/>
        <v>0.49278511486129256</v>
      </c>
      <c r="AG48" s="78">
        <f>O45</f>
        <v>-137.39598183414543</v>
      </c>
    </row>
    <row r="49" spans="12:33" ht="17.600000000000001">
      <c r="L49" s="10"/>
      <c r="M49" s="10"/>
      <c r="N49" s="52"/>
      <c r="V49" s="144">
        <v>3</v>
      </c>
      <c r="W49" s="133">
        <f t="shared" ref="W49:AF49" si="20">MAX(2*W11-1, 0.75*W11)</f>
        <v>0.53919280007394466</v>
      </c>
      <c r="X49" s="134">
        <f t="shared" si="20"/>
        <v>0.72141595285011562</v>
      </c>
      <c r="Y49" s="134">
        <f t="shared" si="20"/>
        <v>0.88352906716849744</v>
      </c>
      <c r="Z49" s="134">
        <f t="shared" si="20"/>
        <v>0.97022387920612529</v>
      </c>
      <c r="AA49" s="134">
        <f t="shared" si="20"/>
        <v>1</v>
      </c>
      <c r="AB49" s="134">
        <f t="shared" si="20"/>
        <v>0.96039734661351051</v>
      </c>
      <c r="AC49" s="134">
        <f t="shared" si="20"/>
        <v>0.86478763981189655</v>
      </c>
      <c r="AD49" s="134">
        <f t="shared" si="20"/>
        <v>0.77384087343431496</v>
      </c>
      <c r="AE49" s="134">
        <f t="shared" si="20"/>
        <v>0.68732963319276741</v>
      </c>
      <c r="AF49" s="135">
        <f t="shared" si="20"/>
        <v>0.57253462075263994</v>
      </c>
      <c r="AG49" s="78">
        <f>P45</f>
        <v>-316.55887547189457</v>
      </c>
    </row>
    <row r="50" spans="12:33" ht="17.600000000000001">
      <c r="L50" s="10"/>
      <c r="M50" s="10"/>
      <c r="N50" s="55"/>
      <c r="V50" s="144">
        <v>5</v>
      </c>
      <c r="W50" s="133">
        <f t="shared" ref="W50:AF50" si="21">MAX(2*W12-1, 0.75*W12)</f>
        <v>0.42414407902465279</v>
      </c>
      <c r="X50" s="134">
        <f t="shared" si="21"/>
        <v>0.57253462075263983</v>
      </c>
      <c r="Y50" s="134">
        <f t="shared" si="21"/>
        <v>0.77384087343431496</v>
      </c>
      <c r="Z50" s="134">
        <f t="shared" si="21"/>
        <v>0.91199496366619992</v>
      </c>
      <c r="AA50" s="134">
        <f t="shared" si="21"/>
        <v>0.96039734661351051</v>
      </c>
      <c r="AB50" s="134">
        <f t="shared" si="21"/>
        <v>1</v>
      </c>
      <c r="AC50" s="134">
        <f t="shared" si="21"/>
        <v>0.94089106709701631</v>
      </c>
      <c r="AD50" s="134">
        <f t="shared" si="21"/>
        <v>0.88352906716849744</v>
      </c>
      <c r="AE50" s="134">
        <f t="shared" si="21"/>
        <v>0.82786237054245637</v>
      </c>
      <c r="AF50" s="135">
        <f t="shared" si="21"/>
        <v>0.72141595285011562</v>
      </c>
      <c r="AG50" s="78">
        <f>Q45</f>
        <v>-1210.076712537249</v>
      </c>
    </row>
    <row r="51" spans="12:33" ht="17.600000000000001">
      <c r="L51" s="10"/>
      <c r="M51" s="10"/>
      <c r="N51" s="56"/>
      <c r="V51" s="144">
        <v>10</v>
      </c>
      <c r="W51" s="133">
        <f t="shared" ref="W51:AF51" si="22">MAX(2*W13-1, 0.75*W13)</f>
        <v>0.30000000000000004</v>
      </c>
      <c r="X51" s="134">
        <f t="shared" si="22"/>
        <v>0.42414407902465279</v>
      </c>
      <c r="Y51" s="134">
        <f t="shared" si="22"/>
        <v>0.57253462075263983</v>
      </c>
      <c r="Z51" s="134">
        <f t="shared" si="22"/>
        <v>0.77384087343431496</v>
      </c>
      <c r="AA51" s="134">
        <f t="shared" si="22"/>
        <v>0.86478763981189655</v>
      </c>
      <c r="AB51" s="134">
        <f t="shared" si="22"/>
        <v>0.94089106709701631</v>
      </c>
      <c r="AC51" s="134">
        <f t="shared" si="22"/>
        <v>1</v>
      </c>
      <c r="AD51" s="134">
        <f t="shared" si="22"/>
        <v>0.97022387920612529</v>
      </c>
      <c r="AE51" s="134">
        <f t="shared" si="22"/>
        <v>0.94089106709701631</v>
      </c>
      <c r="AF51" s="135">
        <f t="shared" si="22"/>
        <v>0.88352906716849744</v>
      </c>
      <c r="AG51" s="78">
        <f>R45</f>
        <v>-2841.8335101486027</v>
      </c>
    </row>
    <row r="52" spans="12:33" ht="17.600000000000001">
      <c r="L52" s="10"/>
      <c r="M52" s="10"/>
      <c r="N52" s="52"/>
      <c r="V52" s="144">
        <v>15</v>
      </c>
      <c r="W52" s="133">
        <f t="shared" ref="W52:AF52" si="23">MAX(2*W14-1, 0.75*W14)</f>
        <v>0.30000000000000004</v>
      </c>
      <c r="X52" s="134">
        <f t="shared" si="23"/>
        <v>0.31421366193572925</v>
      </c>
      <c r="Y52" s="134">
        <f t="shared" si="23"/>
        <v>0.49278511486129256</v>
      </c>
      <c r="Z52" s="134">
        <f t="shared" si="23"/>
        <v>0.64566931611203682</v>
      </c>
      <c r="AA52" s="134">
        <f t="shared" si="23"/>
        <v>0.77384087343431496</v>
      </c>
      <c r="AB52" s="134">
        <f t="shared" si="23"/>
        <v>0.88352906716849744</v>
      </c>
      <c r="AC52" s="134">
        <f t="shared" si="23"/>
        <v>0.97022387920612529</v>
      </c>
      <c r="AD52" s="134">
        <f t="shared" si="23"/>
        <v>1</v>
      </c>
      <c r="AE52" s="134">
        <f t="shared" si="23"/>
        <v>0.98009966749833621</v>
      </c>
      <c r="AF52" s="135">
        <f t="shared" si="23"/>
        <v>0.94089106709701631</v>
      </c>
      <c r="AG52" s="78">
        <f>S45</f>
        <v>-4188.3855446765028</v>
      </c>
    </row>
    <row r="53" spans="12:33" ht="17.600000000000001">
      <c r="L53" s="57"/>
      <c r="M53" s="57"/>
      <c r="N53" s="57"/>
      <c r="V53" s="144">
        <v>20</v>
      </c>
      <c r="W53" s="133">
        <f t="shared" ref="W53:AF53" si="24">MAX(2*W15-1, 0.75*W15)</f>
        <v>0.30000000000000004</v>
      </c>
      <c r="X53" s="134">
        <f t="shared" si="24"/>
        <v>0.30000000000000004</v>
      </c>
      <c r="Y53" s="134">
        <f t="shared" si="24"/>
        <v>0.42414407902465279</v>
      </c>
      <c r="Z53" s="134">
        <f t="shared" si="24"/>
        <v>0.57253462075263983</v>
      </c>
      <c r="AA53" s="134">
        <f t="shared" si="24"/>
        <v>0.68732963319276741</v>
      </c>
      <c r="AB53" s="134">
        <f t="shared" si="24"/>
        <v>0.82786237054245637</v>
      </c>
      <c r="AC53" s="134">
        <f t="shared" si="24"/>
        <v>0.94089106709701631</v>
      </c>
      <c r="AD53" s="134">
        <f t="shared" si="24"/>
        <v>0.98009966749833621</v>
      </c>
      <c r="AE53" s="134">
        <f t="shared" si="24"/>
        <v>1</v>
      </c>
      <c r="AF53" s="135">
        <f t="shared" si="24"/>
        <v>0.97022387920612529</v>
      </c>
      <c r="AG53" s="78">
        <f>T45</f>
        <v>-16917.627029221818</v>
      </c>
    </row>
    <row r="54" spans="12:33" ht="18" thickBot="1">
      <c r="L54" s="57"/>
      <c r="M54" s="57"/>
      <c r="N54" s="57"/>
      <c r="V54" s="145">
        <v>30</v>
      </c>
      <c r="W54" s="136">
        <f t="shared" ref="W54:AF54" si="25">MAX(2*W16-1, 0.75*W16)</f>
        <v>0.30000000000000004</v>
      </c>
      <c r="X54" s="137">
        <f t="shared" si="25"/>
        <v>0.30000000000000004</v>
      </c>
      <c r="Y54" s="137">
        <f t="shared" si="25"/>
        <v>0.31421366193572925</v>
      </c>
      <c r="Z54" s="137">
        <f t="shared" si="25"/>
        <v>0.49278511486129256</v>
      </c>
      <c r="AA54" s="137">
        <f t="shared" si="25"/>
        <v>0.57253462075263994</v>
      </c>
      <c r="AB54" s="137">
        <f t="shared" si="25"/>
        <v>0.72141595285011562</v>
      </c>
      <c r="AC54" s="137">
        <f t="shared" si="25"/>
        <v>0.88352906716849744</v>
      </c>
      <c r="AD54" s="137">
        <f t="shared" si="25"/>
        <v>0.94089106709701631</v>
      </c>
      <c r="AE54" s="137">
        <f t="shared" si="25"/>
        <v>0.97022387920612529</v>
      </c>
      <c r="AF54" s="138">
        <f t="shared" si="25"/>
        <v>1</v>
      </c>
      <c r="AG54" s="79">
        <f>U45</f>
        <v>-207980.79440668222</v>
      </c>
    </row>
    <row r="55" spans="12:33" ht="17.149999999999999" thickBot="1">
      <c r="L55" s="50"/>
      <c r="M55" s="48"/>
      <c r="N55" s="58"/>
    </row>
    <row r="56" spans="12:33" ht="17.149999999999999" thickBot="1">
      <c r="L56" s="10"/>
      <c r="M56" s="10"/>
      <c r="N56" s="52"/>
      <c r="W56" s="121">
        <f t="array" ref="W56:AF56">MMULT(L45:U45,W45:AF54)</f>
        <v>-70441.452290378467</v>
      </c>
      <c r="X56" s="122">
        <v>-71129.268185355948</v>
      </c>
      <c r="Y56" s="122">
        <v>-77667.064708634687</v>
      </c>
      <c r="Z56" s="122">
        <v>-118723.44901877196</v>
      </c>
      <c r="AA56" s="122">
        <v>-138102.83541267639</v>
      </c>
      <c r="AB56" s="122">
        <v>-172134.42385175586</v>
      </c>
      <c r="AC56" s="122">
        <v>-208153.97975841619</v>
      </c>
      <c r="AD56" s="122">
        <v>-220661.94108136915</v>
      </c>
      <c r="AE56" s="122">
        <v>-226822.70732583301</v>
      </c>
      <c r="AF56" s="123">
        <v>-232001.35312475127</v>
      </c>
      <c r="AG56" s="67"/>
    </row>
    <row r="57" spans="12:33">
      <c r="L57" s="10"/>
      <c r="M57" s="10"/>
      <c r="N57" s="59"/>
      <c r="W57" s="67"/>
      <c r="X57" s="67"/>
      <c r="Y57" s="67"/>
      <c r="Z57" s="67"/>
      <c r="AA57" s="67"/>
      <c r="AB57" s="67"/>
      <c r="AC57" s="67"/>
      <c r="AD57" s="67"/>
      <c r="AE57" s="67"/>
      <c r="AF57" s="152" t="s">
        <v>56</v>
      </c>
      <c r="AG57" s="129">
        <f t="array" ref="AG57">MMULT(W56:AF56,AG45:AG54)</f>
        <v>53881263054.020676</v>
      </c>
    </row>
    <row r="58" spans="12:33" ht="17.149999999999999" thickBot="1">
      <c r="L58" s="10"/>
      <c r="M58" s="10"/>
      <c r="N58" s="52"/>
      <c r="W58" s="67"/>
      <c r="X58" s="67"/>
      <c r="Y58" s="67"/>
      <c r="Z58" s="67"/>
      <c r="AA58" s="67"/>
      <c r="AB58" s="67"/>
      <c r="AC58" s="67"/>
      <c r="AD58" s="67"/>
      <c r="AE58" s="67"/>
      <c r="AF58" s="146" t="s">
        <v>36</v>
      </c>
      <c r="AG58" s="128">
        <f>SQRT(AG57)</f>
        <v>232123.37894753445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D32" sqref="D32"/>
    </sheetView>
  </sheetViews>
  <sheetFormatPr defaultColWidth="9" defaultRowHeight="15.45"/>
  <cols>
    <col min="1" max="1" width="9" style="76"/>
    <col min="2" max="2" width="12.4609375" style="76" customWidth="1"/>
    <col min="3" max="3" width="11.765625" style="76" customWidth="1"/>
    <col min="4" max="4" width="11.4609375" style="76" customWidth="1"/>
    <col min="5" max="5" width="9" style="76"/>
    <col min="6" max="7" width="11.4609375" style="76" customWidth="1"/>
    <col min="8" max="8" width="10.23046875" style="76" customWidth="1"/>
    <col min="9" max="9" width="9" style="76"/>
    <col min="10" max="10" width="12.15234375" style="76" customWidth="1"/>
    <col min="11" max="11" width="12" style="76" bestFit="1" customWidth="1"/>
    <col min="12" max="12" width="11.84375" style="76" customWidth="1"/>
    <col min="13" max="13" width="19.4609375" style="76" customWidth="1"/>
    <col min="14" max="14" width="9" style="76"/>
    <col min="15" max="15" width="8.3828125" style="76" customWidth="1"/>
    <col min="16" max="16" width="12.3828125" style="76" customWidth="1"/>
    <col min="17" max="17" width="19" style="76" customWidth="1"/>
    <col min="18" max="18" width="19.3828125" style="76" customWidth="1"/>
    <col min="19" max="16384" width="9" style="76"/>
  </cols>
  <sheetData>
    <row r="1" spans="1:18" ht="15.9" thickBot="1">
      <c r="I1" s="119" t="s">
        <v>49</v>
      </c>
      <c r="J1" s="118">
        <v>0.5</v>
      </c>
    </row>
    <row r="2" spans="1:18" ht="15.9" thickBot="1">
      <c r="I2" s="120" t="s">
        <v>50</v>
      </c>
      <c r="J2" s="186">
        <f>J1*P3</f>
        <v>0.5</v>
      </c>
      <c r="Q2" s="109" t="s">
        <v>60</v>
      </c>
      <c r="R2" s="110" t="s">
        <v>61</v>
      </c>
    </row>
    <row r="3" spans="1:18" ht="15.9" thickBot="1">
      <c r="B3" s="111" t="s">
        <v>53</v>
      </c>
      <c r="C3" s="112" t="s">
        <v>54</v>
      </c>
      <c r="D3" s="113" t="s">
        <v>55</v>
      </c>
      <c r="I3" s="175"/>
      <c r="J3" s="181" t="s">
        <v>53</v>
      </c>
      <c r="K3" s="176" t="s">
        <v>54</v>
      </c>
      <c r="L3" s="177" t="s">
        <v>55</v>
      </c>
      <c r="O3" s="169" t="s">
        <v>57</v>
      </c>
      <c r="P3" s="114">
        <v>1</v>
      </c>
      <c r="Q3" s="182">
        <v>122130.88024786212</v>
      </c>
      <c r="R3" s="183">
        <v>1526636.0030982764</v>
      </c>
    </row>
    <row r="4" spans="1:18" ht="15.9" thickBot="1">
      <c r="A4" s="93" t="s">
        <v>43</v>
      </c>
      <c r="B4" s="96">
        <f>Sensitivity!J18</f>
        <v>-233699.92915056553</v>
      </c>
      <c r="C4" s="97">
        <f>B4*0.3</f>
        <v>-70109.978745169661</v>
      </c>
      <c r="D4" s="98">
        <f>B4*0.1</f>
        <v>-23369.992915056555</v>
      </c>
      <c r="F4" s="82">
        <f>B4</f>
        <v>-233699.92915056553</v>
      </c>
      <c r="G4" s="83">
        <f>C4</f>
        <v>-70109.978745169661</v>
      </c>
      <c r="H4" s="83">
        <f>D4</f>
        <v>-23369.992915056555</v>
      </c>
      <c r="I4" s="178" t="s">
        <v>51</v>
      </c>
      <c r="J4" s="153">
        <v>0</v>
      </c>
      <c r="K4" s="154">
        <f>J2</f>
        <v>0.5</v>
      </c>
      <c r="L4" s="118">
        <f>J2</f>
        <v>0.5</v>
      </c>
      <c r="M4" s="172">
        <f>F4</f>
        <v>-233699.92915056553</v>
      </c>
      <c r="O4" s="167"/>
      <c r="P4" s="170">
        <v>1.25</v>
      </c>
      <c r="Q4" s="182">
        <v>126381.17928673475</v>
      </c>
      <c r="R4" s="183">
        <v>1579764.7410841845</v>
      </c>
    </row>
    <row r="5" spans="1:18" ht="15.9" thickBot="1">
      <c r="A5" s="94" t="s">
        <v>44</v>
      </c>
      <c r="B5" s="99">
        <f>Sensitivity!AG20</f>
        <v>232870.22228587355</v>
      </c>
      <c r="C5" s="100">
        <f t="shared" ref="C5:C7" si="0">B5*0.3</f>
        <v>69861.066685762067</v>
      </c>
      <c r="D5" s="101">
        <f t="shared" ref="D5:D7" si="1">B5*0.1</f>
        <v>23287.022228587357</v>
      </c>
      <c r="I5" s="179" t="s">
        <v>39</v>
      </c>
      <c r="J5" s="155">
        <f>J2</f>
        <v>0.5</v>
      </c>
      <c r="K5" s="156">
        <v>0</v>
      </c>
      <c r="L5" s="157">
        <f>J2</f>
        <v>0.5</v>
      </c>
      <c r="M5" s="173">
        <f>G4</f>
        <v>-70109.978745169661</v>
      </c>
      <c r="O5" s="168"/>
      <c r="P5" s="171">
        <v>0.75</v>
      </c>
      <c r="Q5" s="184">
        <v>117727.23279823358</v>
      </c>
      <c r="R5" s="185">
        <v>1471590.4099779199</v>
      </c>
    </row>
    <row r="6" spans="1:18" ht="15.9" thickBot="1">
      <c r="A6" s="94" t="s">
        <v>45</v>
      </c>
      <c r="B6" s="99">
        <f>Sensitivity!AG39</f>
        <v>233614.67805110972</v>
      </c>
      <c r="C6" s="100">
        <f t="shared" si="0"/>
        <v>70084.403415332912</v>
      </c>
      <c r="D6" s="101">
        <f t="shared" si="1"/>
        <v>23361.467805110973</v>
      </c>
      <c r="I6" s="180" t="s">
        <v>52</v>
      </c>
      <c r="J6" s="158">
        <f>J2</f>
        <v>0.5</v>
      </c>
      <c r="K6" s="159">
        <f>J2</f>
        <v>0.5</v>
      </c>
      <c r="L6" s="160">
        <v>0</v>
      </c>
      <c r="M6" s="174">
        <f>H4</f>
        <v>-23369.992915056555</v>
      </c>
    </row>
    <row r="7" spans="1:18" ht="15.9" thickBot="1">
      <c r="A7" s="95" t="s">
        <v>46</v>
      </c>
      <c r="B7" s="102">
        <f>Sensitivity!AG58</f>
        <v>232123.37894753445</v>
      </c>
      <c r="C7" s="103">
        <f t="shared" si="0"/>
        <v>69637.013684260339</v>
      </c>
      <c r="D7" s="104">
        <f t="shared" si="1"/>
        <v>23212.337894753447</v>
      </c>
    </row>
    <row r="8" spans="1:18" ht="15.9" thickBot="1">
      <c r="J8" s="105">
        <f t="array" ref="J8:L8">MMULT(F4:H4,J4:L6)</f>
        <v>-46739.98583011311</v>
      </c>
      <c r="K8" s="106">
        <v>-128534.96103281104</v>
      </c>
      <c r="L8" s="107">
        <v>-151904.95394786759</v>
      </c>
      <c r="Q8" s="189" t="s">
        <v>58</v>
      </c>
      <c r="R8" s="190" t="s">
        <v>59</v>
      </c>
    </row>
    <row r="9" spans="1:18" ht="15.9" thickBot="1">
      <c r="M9" s="108">
        <f t="array" ref="M9">MMULT(J8:L8,M4:M6)</f>
        <v>23484732460.541122</v>
      </c>
      <c r="Q9" s="187">
        <f>MAX(Q3:Q5)</f>
        <v>126381.17928673475</v>
      </c>
      <c r="R9" s="188">
        <f>MAX(R3:R5)</f>
        <v>1579764.7410841845</v>
      </c>
    </row>
    <row r="10" spans="1:18" ht="15.9" thickBot="1"/>
    <row r="11" spans="1:18" ht="15.9" thickBot="1">
      <c r="F11" s="84">
        <f>B5</f>
        <v>232870.22228587355</v>
      </c>
      <c r="G11" s="85">
        <f>C5</f>
        <v>69861.066685762067</v>
      </c>
      <c r="H11" s="86">
        <f>D5</f>
        <v>23287.022228587357</v>
      </c>
      <c r="I11" s="117" t="s">
        <v>51</v>
      </c>
      <c r="J11" s="153">
        <v>1</v>
      </c>
      <c r="K11" s="161">
        <v>0</v>
      </c>
      <c r="L11" s="162">
        <v>0</v>
      </c>
      <c r="M11" s="87">
        <f>F11</f>
        <v>232870.22228587355</v>
      </c>
    </row>
    <row r="12" spans="1:18">
      <c r="I12" s="115" t="s">
        <v>39</v>
      </c>
      <c r="J12" s="163">
        <v>0</v>
      </c>
      <c r="K12" s="156">
        <v>1</v>
      </c>
      <c r="L12" s="164">
        <v>0</v>
      </c>
      <c r="M12" s="88">
        <f>G11</f>
        <v>69861.066685762067</v>
      </c>
    </row>
    <row r="13" spans="1:18" ht="15.9" thickBot="1">
      <c r="I13" s="116" t="s">
        <v>52</v>
      </c>
      <c r="J13" s="165">
        <v>0</v>
      </c>
      <c r="K13" s="166">
        <v>0</v>
      </c>
      <c r="L13" s="160">
        <v>1</v>
      </c>
      <c r="M13" s="89">
        <f>H11</f>
        <v>23287.022228587357</v>
      </c>
    </row>
    <row r="14" spans="1:18" ht="15.9" thickBot="1"/>
    <row r="15" spans="1:18" ht="15.9" thickBot="1">
      <c r="J15" s="147">
        <f t="array" ref="J15:L15">MMULT(F11:H11,J11:L13)</f>
        <v>232870.22228587355</v>
      </c>
      <c r="K15" s="148">
        <v>69861.066685762067</v>
      </c>
      <c r="L15" s="149">
        <v>23287.022228587357</v>
      </c>
    </row>
    <row r="16" spans="1:18" ht="15.9" thickBot="1">
      <c r="M16" s="108">
        <f>MMULT(J15:L15,M11:M13)</f>
        <v>59651394470.219376</v>
      </c>
    </row>
    <row r="17" spans="12:13" ht="15.9" thickBot="1"/>
    <row r="18" spans="12:13" ht="15.9" thickBot="1">
      <c r="M18" s="150">
        <f>M16+M9</f>
        <v>83136126930.760498</v>
      </c>
    </row>
    <row r="19" spans="12:13" ht="15.9" thickBot="1">
      <c r="L19" s="90" t="s">
        <v>47</v>
      </c>
      <c r="M19" s="91">
        <f>SQRT(M18)</f>
        <v>288333.36076625006</v>
      </c>
    </row>
    <row r="20" spans="12:13" ht="15.9" thickBot="1"/>
    <row r="21" spans="12:13" ht="15.9" thickBot="1">
      <c r="L21" s="90" t="s">
        <v>48</v>
      </c>
      <c r="M21" s="92">
        <f>M19*12.5</f>
        <v>3604167.0095781256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MarketData</vt:lpstr>
      <vt:lpstr>Sensitivity</vt:lpstr>
      <vt:lpstr>DeltaCapital</vt:lpstr>
      <vt:lpstr>d_r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dong</dc:creator>
  <cp:lastModifiedBy>andy dong</cp:lastModifiedBy>
  <dcterms:created xsi:type="dcterms:W3CDTF">2020-03-18T07:37:05Z</dcterms:created>
  <dcterms:modified xsi:type="dcterms:W3CDTF">2021-10-01T08:23:13Z</dcterms:modified>
</cp:coreProperties>
</file>