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\Desktop\all folders\south african data analysis\"/>
    </mc:Choice>
  </mc:AlternateContent>
  <xr:revisionPtr revIDLastSave="0" documentId="13_ncr:1_{807211E0-EF55-499A-83A9-F3615C8FE028}" xr6:coauthVersionLast="47" xr6:coauthVersionMax="47" xr10:uidLastSave="{00000000-0000-0000-0000-000000000000}"/>
  <bookViews>
    <workbookView xWindow="-108" yWindow="-108" windowWidth="23256" windowHeight="12456" activeTab="1" xr2:uid="{0DFDBCC5-7446-4BCA-8785-23697ECD37C8}"/>
  </bookViews>
  <sheets>
    <sheet name="Sheet1" sheetId="1" r:id="rId1"/>
    <sheet name="Sheet5" sheetId="5" r:id="rId2"/>
    <sheet name="_PalUtilTempWorksheet" sheetId="2" state="hidden" r:id="rId3"/>
    <sheet name="_STDS_DG1871063A" sheetId="15" state="hidden" r:id="rId4"/>
    <sheet name="_STDS_DG1A0FB4E5" sheetId="16" state="hidden" r:id="rId5"/>
    <sheet name="Correlation and Covariance" sheetId="17" r:id="rId6"/>
  </sheets>
  <definedNames>
    <definedName name="_xlnm._FilterDatabase" localSheetId="1" hidden="1">Sheet5!$H$1:$H$148</definedName>
    <definedName name="PalisadeReportWorksheetCreatedBy" localSheetId="5" hidden="1">"StatTools"</definedName>
    <definedName name="ST_ACCSTATUS1">Sheet1!$L$2:$L$157</definedName>
    <definedName name="ST_ACCSTATUS1_12">Sheet5!$L$2:$L$1048576</definedName>
    <definedName name="ST_AVGMONSAL">Sheet1!$H$2:$H$157</definedName>
    <definedName name="ST_AVGMONSAL_8">Sheet5!$H$2:$H$1048576</definedName>
    <definedName name="ST_CHANGECOSITUA1">Sheet1!$K$2:$K$157</definedName>
    <definedName name="ST_CHANGECOSITUA1_11">Sheet5!$K$2:$K$1048576</definedName>
    <definedName name="ST_COMMUNICATIONWAY1">Sheet1!$E$2:$E$157</definedName>
    <definedName name="ST_COMMUNICATIONWAY1_5">Sheet5!$E$2:$E$1048576</definedName>
    <definedName name="ST_COMMUORG1">Sheet1!$G$2:$G$157</definedName>
    <definedName name="ST_COMMUORG1_7">Sheet5!$G$2:$G$1048576</definedName>
    <definedName name="ST_DATETIME">Sheet1!$A$2:$A$157</definedName>
    <definedName name="ST_DATETIME_1">Sheet5!$A$2:$A$1048576</definedName>
    <definedName name="ST_EDULEVEL1">Sheet1!$M$2:$M$157</definedName>
    <definedName name="ST_EDULEVEL1_13">Sheet5!$M$2:$M$1048576</definedName>
    <definedName name="ST_FIREEXP1">Sheet1!$S$2:$S$157</definedName>
    <definedName name="ST_FIREEXP1_18">Sheet5!$R$2:$R$1048576</definedName>
    <definedName name="ST_FLOODEXP1">Sheet1!$Q$2:$Q$157</definedName>
    <definedName name="ST_FLOODEXP1_17">Sheet5!$Q$2:$Q$1048576</definedName>
    <definedName name="ST_HOUSEHEAD1">Sheet1!$I$2:$I$157</definedName>
    <definedName name="ST_HOUSEHEAD1_9">Sheet5!$I$2:$I$1048576</definedName>
    <definedName name="ST_HOUSEPIC1">Sheet1!$B$2:$B$157</definedName>
    <definedName name="ST_HOUSEPIC1_2">Sheet5!$B$2:$B$1048576</definedName>
    <definedName name="ST_INFORECIEVING1">Sheet1!$D$2:$D$157</definedName>
    <definedName name="ST_INFORECIEVING1_4">Sheet5!$D$2:$D$1048576</definedName>
    <definedName name="ST_INTERVIEWLANG1">Sheet1!$C$2:$C$157</definedName>
    <definedName name="ST_INTERVIEWLANG1_3">Sheet5!$C$2:$C$1048576</definedName>
    <definedName name="ST_LEADERPARTICIPATION1">Sheet1!$F$2:$F$157</definedName>
    <definedName name="ST_LEADERPARTICIPATION1_6">Sheet5!$F$2:$F$1048576</definedName>
    <definedName name="ST_NOHOUSEHOLD">Sheet1!$J$2:$J$157</definedName>
    <definedName name="ST_NOHOUSEHOLD_10">Sheet5!$J$2:$J$1048576</definedName>
    <definedName name="ST_PARTICIPANTJOB1">Sheet1!$N$2:$N$157</definedName>
    <definedName name="ST_PARTICIPANTJOB1_14">Sheet5!$N$2:$N$1048576</definedName>
    <definedName name="ST_SELFBUILTHOUSE1">Sheet1!$O$2:$O$157</definedName>
    <definedName name="ST_SELFBUILTHOUSE1_15">Sheet5!$O$2:$O$1048576</definedName>
    <definedName name="ST_TOILETTYPE1">Sheet1!$U$2:$U$157</definedName>
    <definedName name="ST_VEGES1">Sheet1!$P$2:$P$157</definedName>
    <definedName name="ST_VEGES1_16">Sheet5!$P$2:$P$1048576</definedName>
    <definedName name="ST_WATERSATISFIED1">Sheet1!$T$2:$T$157</definedName>
    <definedName name="ST_WATERSOURCE1">Sheet1!$V$2:$V$157</definedName>
    <definedName name="ST_WATERSOURCE1_19">Sheet5!$S$2:$S$1048576</definedName>
    <definedName name="ST_YRLYFLOOD">Sheet1!$R$2:$R$157</definedName>
    <definedName name="StatToolsHeader" localSheetId="5">'Correlation and Covariance'!$1:$5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RankOrderCorrelationTable" hidden="1">"FALSE"</definedName>
    <definedName name="STWBD_StatToolsCorrAndCovar_TableStructure" hidden="1">" 0"</definedName>
    <definedName name="STWBD_StatToolsCorrAndCovar_VariableList" hidden="1">21</definedName>
    <definedName name="STWBD_StatToolsCorrAndCovar_VariableList_1" hidden="1">"U_x0001_VG21E71A72D5D10EF_x0001_"</definedName>
    <definedName name="STWBD_StatToolsCorrAndCovar_VariableList_10" hidden="1">"U_x0001_VG3AD3BF7B14FCA83A_x0001_"</definedName>
    <definedName name="STWBD_StatToolsCorrAndCovar_VariableList_11" hidden="1">"U_x0001_VG1089157C16803464_x0001_"</definedName>
    <definedName name="STWBD_StatToolsCorrAndCovar_VariableList_12" hidden="1">"U_x0001_VG31D00420373DBBE9_x0001_"</definedName>
    <definedName name="STWBD_StatToolsCorrAndCovar_VariableList_13" hidden="1">"U_x0001_VG2CD4771B129B29F0_x0001_"</definedName>
    <definedName name="STWBD_StatToolsCorrAndCovar_VariableList_14" hidden="1">"U_x0001_VG13B1859E348465AC_x0001_"</definedName>
    <definedName name="STWBD_StatToolsCorrAndCovar_VariableList_15" hidden="1">"U_x0001_VG153B206F113F53DB_x0001_"</definedName>
    <definedName name="STWBD_StatToolsCorrAndCovar_VariableList_16" hidden="1">"U_x0001_VG3937C3642FDA9041_x0001_"</definedName>
    <definedName name="STWBD_StatToolsCorrAndCovar_VariableList_17" hidden="1">"U_x0001_VG15BCBEFE710D51_x0001_"</definedName>
    <definedName name="STWBD_StatToolsCorrAndCovar_VariableList_18" hidden="1">"U_x0001_VG19AF3F1C1A34A1D1_x0001_"</definedName>
    <definedName name="STWBD_StatToolsCorrAndCovar_VariableList_19" hidden="1">"U_x0001_VG6DE075925956F7_x0001_"</definedName>
    <definedName name="STWBD_StatToolsCorrAndCovar_VariableList_2" hidden="1">"U_x0001_VG123B81461991E5E5_x0001_"</definedName>
    <definedName name="STWBD_StatToolsCorrAndCovar_VariableList_20" hidden="1">"U_x0001_VG1AB67D25330D998F_x0001_"</definedName>
    <definedName name="STWBD_StatToolsCorrAndCovar_VariableList_21" hidden="1">"U_x0001_VG19791F974784C88_x0001_"</definedName>
    <definedName name="STWBD_StatToolsCorrAndCovar_VariableList_3" hidden="1">"U_x0001_VG485B07F221F59DB_x0001_"</definedName>
    <definedName name="STWBD_StatToolsCorrAndCovar_VariableList_4" hidden="1">"U_x0001_VG2AB501403264B21E_x0001_"</definedName>
    <definedName name="STWBD_StatToolsCorrAndCovar_VariableList_5" hidden="1">"U_x0001_VG24E188603D50A80_x0001_"</definedName>
    <definedName name="STWBD_StatToolsCorrAndCovar_VariableList_6" hidden="1">"U_x0001_VG37D24A3C36AECFC_x0001_"</definedName>
    <definedName name="STWBD_StatToolsCorrAndCovar_VariableList_7" hidden="1">"U_x0001_VG149B963739902A10_x0001_"</definedName>
    <definedName name="STWBD_StatToolsCorrAndCovar_VariableList_8" hidden="1">"U_x0001_VG9679A051183A1AC_x0001_"</definedName>
    <definedName name="STWBD_StatToolsCorrAndCovar_VariableList_9" hidden="1">"U_x0001_VG2FED3A6736267E9E_x0001_"</definedName>
    <definedName name="STWBD_StatToolsCorrAndCovar_VarSelectorDefaultDataSet" hidden="1">"DG1A0FB4E5"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6" l="1"/>
  <c r="B9" i="15"/>
  <c r="B76" i="16"/>
  <c r="B73" i="16"/>
  <c r="B70" i="16"/>
  <c r="B67" i="16"/>
  <c r="B64" i="16"/>
  <c r="B61" i="16"/>
  <c r="B58" i="16"/>
  <c r="B55" i="16"/>
  <c r="B52" i="16"/>
  <c r="B49" i="16"/>
  <c r="B46" i="16"/>
  <c r="B43" i="16"/>
  <c r="B40" i="16"/>
  <c r="B37" i="16"/>
  <c r="B34" i="16"/>
  <c r="B31" i="16"/>
  <c r="B28" i="16"/>
  <c r="B25" i="16"/>
  <c r="B22" i="16"/>
  <c r="B19" i="16"/>
  <c r="B16" i="16"/>
  <c r="B13" i="16"/>
  <c r="B7" i="16"/>
  <c r="B3" i="16"/>
  <c r="B67" i="15"/>
  <c r="B64" i="15"/>
  <c r="B61" i="15"/>
  <c r="B58" i="15"/>
  <c r="B55" i="15"/>
  <c r="B52" i="15"/>
  <c r="B49" i="15"/>
  <c r="B46" i="15"/>
  <c r="B43" i="15"/>
  <c r="B40" i="15"/>
  <c r="B37" i="15"/>
  <c r="B34" i="15"/>
  <c r="B31" i="15"/>
  <c r="B28" i="15"/>
  <c r="B25" i="15"/>
  <c r="B22" i="15"/>
  <c r="B19" i="15"/>
  <c r="B16" i="15"/>
  <c r="B13" i="15"/>
  <c r="B7" i="15"/>
  <c r="B3" i="15"/>
  <c r="B9" i="2"/>
  <c r="U29" i="17"/>
  <c r="M29" i="17"/>
  <c r="E29" i="17"/>
  <c r="Q28" i="17"/>
  <c r="I28" i="17"/>
  <c r="M27" i="17"/>
  <c r="E27" i="17"/>
  <c r="Q26" i="17"/>
  <c r="I26" i="17"/>
  <c r="M25" i="17"/>
  <c r="E25" i="17"/>
  <c r="I24" i="17"/>
  <c r="M23" i="17"/>
  <c r="E23" i="17"/>
  <c r="I22" i="17"/>
  <c r="M21" i="17"/>
  <c r="E21" i="17"/>
  <c r="I20" i="17"/>
  <c r="E19" i="17"/>
  <c r="I18" i="17"/>
  <c r="E17" i="17"/>
  <c r="E15" i="17"/>
  <c r="E13" i="17"/>
  <c r="T29" i="17"/>
  <c r="L29" i="17"/>
  <c r="D29" i="17"/>
  <c r="P28" i="17"/>
  <c r="H28" i="17"/>
  <c r="L27" i="17"/>
  <c r="D27" i="17"/>
  <c r="P26" i="17"/>
  <c r="H26" i="17"/>
  <c r="L25" i="17"/>
  <c r="D25" i="17"/>
  <c r="P24" i="17"/>
  <c r="H24" i="17"/>
  <c r="L23" i="17"/>
  <c r="D23" i="17"/>
  <c r="H22" i="17"/>
  <c r="L21" i="17"/>
  <c r="D21" i="17"/>
  <c r="H20" i="17"/>
  <c r="D19" i="17"/>
  <c r="H18" i="17"/>
  <c r="D17" i="17"/>
  <c r="H16" i="17"/>
  <c r="D15" i="17"/>
  <c r="D13" i="17"/>
  <c r="S29" i="17"/>
  <c r="K29" i="17"/>
  <c r="C29" i="17"/>
  <c r="O28" i="17"/>
  <c r="G28" i="17"/>
  <c r="S27" i="17"/>
  <c r="K27" i="17"/>
  <c r="C27" i="17"/>
  <c r="O26" i="17"/>
  <c r="G26" i="17"/>
  <c r="K25" i="17"/>
  <c r="C25" i="17"/>
  <c r="O24" i="17"/>
  <c r="G24" i="17"/>
  <c r="K23" i="17"/>
  <c r="C23" i="17"/>
  <c r="G22" i="17"/>
  <c r="K21" i="17"/>
  <c r="C21" i="17"/>
  <c r="G20" i="17"/>
  <c r="K19" i="17"/>
  <c r="C19" i="17"/>
  <c r="G18" i="17"/>
  <c r="C17" i="17"/>
  <c r="G16" i="17"/>
  <c r="C15" i="17"/>
  <c r="C13" i="17"/>
  <c r="C11" i="17"/>
  <c r="R29" i="17"/>
  <c r="J29" i="17"/>
  <c r="B29" i="17"/>
  <c r="N28" i="17"/>
  <c r="F28" i="17"/>
  <c r="R27" i="17"/>
  <c r="J27" i="17"/>
  <c r="B27" i="17"/>
  <c r="N26" i="17"/>
  <c r="F26" i="17"/>
  <c r="J25" i="17"/>
  <c r="B25" i="17"/>
  <c r="N24" i="17"/>
  <c r="F24" i="17"/>
  <c r="J23" i="17"/>
  <c r="B23" i="17"/>
  <c r="N22" i="17"/>
  <c r="F22" i="17"/>
  <c r="J21" i="17"/>
  <c r="B21" i="17"/>
  <c r="F20" i="17"/>
  <c r="J19" i="17"/>
  <c r="B19" i="17"/>
  <c r="F18" i="17"/>
  <c r="B17" i="17"/>
  <c r="F16" i="17"/>
  <c r="B15" i="17"/>
  <c r="F14" i="17"/>
  <c r="B13" i="17"/>
  <c r="B11" i="17"/>
  <c r="Q29" i="17"/>
  <c r="I29" i="17"/>
  <c r="M28" i="17"/>
  <c r="E28" i="17"/>
  <c r="Q27" i="17"/>
  <c r="I27" i="17"/>
  <c r="M26" i="17"/>
  <c r="E26" i="17"/>
  <c r="Q25" i="17"/>
  <c r="I25" i="17"/>
  <c r="M24" i="17"/>
  <c r="E24" i="17"/>
  <c r="I23" i="17"/>
  <c r="M22" i="17"/>
  <c r="E22" i="17"/>
  <c r="I21" i="17"/>
  <c r="E20" i="17"/>
  <c r="I19" i="17"/>
  <c r="E18" i="17"/>
  <c r="I17" i="17"/>
  <c r="E16" i="17"/>
  <c r="E14" i="17"/>
  <c r="P29" i="17"/>
  <c r="H29" i="17"/>
  <c r="T28" i="17"/>
  <c r="L28" i="17"/>
  <c r="D28" i="17"/>
  <c r="P27" i="17"/>
  <c r="H27" i="17"/>
  <c r="L26" i="17"/>
  <c r="D26" i="17"/>
  <c r="P25" i="17"/>
  <c r="H25" i="17"/>
  <c r="L24" i="17"/>
  <c r="D24" i="17"/>
  <c r="H23" i="17"/>
  <c r="L22" i="17"/>
  <c r="D22" i="17"/>
  <c r="H21" i="17"/>
  <c r="L20" i="17"/>
  <c r="D20" i="17"/>
  <c r="H19" i="17"/>
  <c r="D18" i="17"/>
  <c r="H17" i="17"/>
  <c r="D16" i="17"/>
  <c r="D14" i="17"/>
  <c r="D12" i="17"/>
  <c r="O29" i="17"/>
  <c r="G29" i="17"/>
  <c r="S28" i="17"/>
  <c r="K28" i="17"/>
  <c r="C28" i="17"/>
  <c r="O27" i="17"/>
  <c r="G27" i="17"/>
  <c r="K26" i="17"/>
  <c r="C26" i="17"/>
  <c r="O25" i="17"/>
  <c r="G25" i="17"/>
  <c r="K24" i="17"/>
  <c r="C24" i="17"/>
  <c r="O23" i="17"/>
  <c r="G23" i="17"/>
  <c r="K22" i="17"/>
  <c r="C22" i="17"/>
  <c r="G21" i="17"/>
  <c r="K20" i="17"/>
  <c r="C20" i="17"/>
  <c r="G19" i="17"/>
  <c r="C18" i="17"/>
  <c r="G17" i="17"/>
  <c r="C16" i="17"/>
  <c r="G15" i="17"/>
  <c r="C14" i="17"/>
  <c r="C12" i="17"/>
  <c r="N29" i="17"/>
  <c r="F29" i="17"/>
  <c r="R28" i="17"/>
  <c r="J28" i="17"/>
  <c r="B28" i="17"/>
  <c r="N27" i="17"/>
  <c r="F27" i="17"/>
  <c r="R26" i="17"/>
  <c r="J26" i="17"/>
  <c r="B26" i="17"/>
  <c r="N25" i="17"/>
  <c r="F25" i="17"/>
  <c r="J24" i="17"/>
  <c r="B24" i="17"/>
  <c r="N23" i="17"/>
  <c r="F23" i="17"/>
  <c r="J22" i="17"/>
  <c r="B22" i="17"/>
  <c r="F21" i="17"/>
  <c r="J20" i="17"/>
  <c r="B20" i="17"/>
  <c r="F19" i="17"/>
  <c r="J18" i="17"/>
  <c r="B18" i="17"/>
  <c r="F17" i="17"/>
  <c r="B16" i="17"/>
  <c r="F15" i="17"/>
  <c r="B14" i="17"/>
  <c r="B12" i="17"/>
  <c r="B10" i="17"/>
  <c r="C9" i="17" l="1"/>
  <c r="E9" i="17"/>
  <c r="G9" i="17"/>
  <c r="H13" i="17"/>
  <c r="I9" i="17"/>
  <c r="J13" i="17"/>
  <c r="K9" i="17"/>
  <c r="K17" i="17"/>
  <c r="L13" i="17"/>
  <c r="M9" i="17"/>
  <c r="M17" i="17"/>
  <c r="N13" i="17"/>
  <c r="O9" i="17"/>
  <c r="O17" i="17"/>
  <c r="P13" i="17"/>
  <c r="P21" i="17"/>
  <c r="Q9" i="17"/>
  <c r="Q17" i="17"/>
  <c r="R13" i="17"/>
  <c r="R21" i="17"/>
  <c r="S9" i="17"/>
  <c r="S17" i="17"/>
  <c r="S25" i="17"/>
  <c r="T13" i="17"/>
  <c r="T21" i="17"/>
  <c r="U9" i="17"/>
  <c r="U17" i="17"/>
  <c r="U25" i="17"/>
  <c r="V13" i="17"/>
  <c r="V21" i="17"/>
  <c r="E10" i="17"/>
  <c r="G10" i="17"/>
  <c r="H14" i="17"/>
  <c r="I10" i="17"/>
  <c r="J14" i="17"/>
  <c r="K10" i="17"/>
  <c r="L14" i="17"/>
  <c r="M10" i="17"/>
  <c r="M18" i="17"/>
  <c r="N14" i="17"/>
  <c r="O10" i="17"/>
  <c r="O18" i="17"/>
  <c r="P14" i="17"/>
  <c r="P22" i="17"/>
  <c r="Q10" i="17"/>
  <c r="Q18" i="17"/>
  <c r="R14" i="17"/>
  <c r="R22" i="17"/>
  <c r="S10" i="17"/>
  <c r="S18" i="17"/>
  <c r="T14" i="17"/>
  <c r="T22" i="17"/>
  <c r="U10" i="17"/>
  <c r="U18" i="17"/>
  <c r="U26" i="17"/>
  <c r="V14" i="17"/>
  <c r="V22" i="17"/>
  <c r="E11" i="17"/>
  <c r="G11" i="17"/>
  <c r="I11" i="17"/>
  <c r="J15" i="17"/>
  <c r="K11" i="17"/>
  <c r="L15" i="17"/>
  <c r="M11" i="17"/>
  <c r="M19" i="17"/>
  <c r="N15" i="17"/>
  <c r="O11" i="17"/>
  <c r="O19" i="17"/>
  <c r="P15" i="17"/>
  <c r="Q11" i="17"/>
  <c r="Q19" i="17"/>
  <c r="R15" i="17"/>
  <c r="R23" i="17"/>
  <c r="S11" i="17"/>
  <c r="S19" i="17"/>
  <c r="T15" i="17"/>
  <c r="T23" i="17"/>
  <c r="U11" i="17"/>
  <c r="U19" i="17"/>
  <c r="U27" i="17"/>
  <c r="V15" i="17"/>
  <c r="V23" i="17"/>
  <c r="G12" i="17"/>
  <c r="I12" i="17"/>
  <c r="J16" i="17"/>
  <c r="K12" i="17"/>
  <c r="L16" i="17"/>
  <c r="M12" i="17"/>
  <c r="N16" i="17"/>
  <c r="O12" i="17"/>
  <c r="O20" i="17"/>
  <c r="P16" i="17"/>
  <c r="Q12" i="17"/>
  <c r="Q20" i="17"/>
  <c r="R16" i="17"/>
  <c r="R24" i="17"/>
  <c r="S12" i="17"/>
  <c r="S20" i="17"/>
  <c r="T16" i="17"/>
  <c r="T24" i="17"/>
  <c r="U12" i="17"/>
  <c r="U20" i="17"/>
  <c r="V16" i="17"/>
  <c r="V24" i="17"/>
  <c r="D9" i="17"/>
  <c r="F9" i="17"/>
  <c r="G13" i="17"/>
  <c r="H9" i="17"/>
  <c r="I13" i="17"/>
  <c r="J9" i="17"/>
  <c r="K13" i="17"/>
  <c r="L9" i="17"/>
  <c r="L17" i="17"/>
  <c r="M13" i="17"/>
  <c r="N9" i="17"/>
  <c r="N17" i="17"/>
  <c r="O13" i="17"/>
  <c r="O21" i="17"/>
  <c r="P9" i="17"/>
  <c r="P17" i="17"/>
  <c r="Q13" i="17"/>
  <c r="Q21" i="17"/>
  <c r="R9" i="17"/>
  <c r="R17" i="17"/>
  <c r="S13" i="17"/>
  <c r="S21" i="17"/>
  <c r="T9" i="17"/>
  <c r="T17" i="17"/>
  <c r="T25" i="17"/>
  <c r="U13" i="17"/>
  <c r="U21" i="17"/>
  <c r="V9" i="17"/>
  <c r="V17" i="17"/>
  <c r="V25" i="17"/>
  <c r="D10" i="17"/>
  <c r="F10" i="17"/>
  <c r="H10" i="17"/>
  <c r="I14" i="17"/>
  <c r="J10" i="17"/>
  <c r="K14" i="17"/>
  <c r="L10" i="17"/>
  <c r="L18" i="17"/>
  <c r="M14" i="17"/>
  <c r="N10" i="17"/>
  <c r="N18" i="17"/>
  <c r="O14" i="17"/>
  <c r="P10" i="17"/>
  <c r="P18" i="17"/>
  <c r="Q14" i="17"/>
  <c r="Q22" i="17"/>
  <c r="R10" i="17"/>
  <c r="R18" i="17"/>
  <c r="S14" i="17"/>
  <c r="S22" i="17"/>
  <c r="T10" i="17"/>
  <c r="T18" i="17"/>
  <c r="T26" i="17"/>
  <c r="U14" i="17"/>
  <c r="U22" i="17"/>
  <c r="V10" i="17"/>
  <c r="V18" i="17"/>
  <c r="V26" i="17"/>
  <c r="F11" i="17"/>
  <c r="H11" i="17"/>
  <c r="I15" i="17"/>
  <c r="J11" i="17"/>
  <c r="K15" i="17"/>
  <c r="L11" i="17"/>
  <c r="M15" i="17"/>
  <c r="N11" i="17"/>
  <c r="N19" i="17"/>
  <c r="O15" i="17"/>
  <c r="P11" i="17"/>
  <c r="P19" i="17"/>
  <c r="Q15" i="17"/>
  <c r="Q23" i="17"/>
  <c r="R11" i="17"/>
  <c r="R19" i="17"/>
  <c r="S15" i="17"/>
  <c r="S23" i="17"/>
  <c r="T11" i="17"/>
  <c r="T19" i="17"/>
  <c r="U15" i="17"/>
  <c r="U23" i="17"/>
  <c r="V11" i="17"/>
  <c r="V19" i="17"/>
  <c r="V27" i="17"/>
  <c r="F12" i="17"/>
  <c r="H12" i="17"/>
  <c r="J12" i="17"/>
  <c r="K16" i="17"/>
  <c r="L12" i="17"/>
  <c r="M16" i="17"/>
  <c r="N12" i="17"/>
  <c r="N20" i="17"/>
  <c r="O16" i="17"/>
  <c r="P12" i="17"/>
  <c r="P20" i="17"/>
  <c r="Q16" i="17"/>
  <c r="R12" i="17"/>
  <c r="R20" i="17"/>
  <c r="S16" i="17"/>
  <c r="S24" i="17"/>
  <c r="T12" i="17"/>
  <c r="T20" i="17"/>
  <c r="U16" i="17"/>
  <c r="U24" i="17"/>
  <c r="V12" i="17"/>
  <c r="V20" i="17"/>
  <c r="V28" i="17"/>
</calcChain>
</file>

<file path=xl/sharedStrings.xml><?xml version="1.0" encoding="utf-8"?>
<sst xmlns="http://schemas.openxmlformats.org/spreadsheetml/2006/main" count="761" uniqueCount="368">
  <si>
    <t>DATE_TIME</t>
  </si>
  <si>
    <t>HOUSE_PIC 1</t>
  </si>
  <si>
    <t>INTERVIEW_LANG 1</t>
  </si>
  <si>
    <t>INFO_RECIEVING 1</t>
  </si>
  <si>
    <t>COMMUNICATION_WAY 1</t>
  </si>
  <si>
    <t>LEADER_PARTICIPATION 1</t>
  </si>
  <si>
    <t>COMMU_ORG 1</t>
  </si>
  <si>
    <t>AVG_MON_SAL</t>
  </si>
  <si>
    <t>HOUSE_HEAD 1</t>
  </si>
  <si>
    <t>NO_HOUSEHOLD</t>
  </si>
  <si>
    <t>CHANG_ECO_SITUA 1</t>
  </si>
  <si>
    <t>ACC_STATUS 1</t>
  </si>
  <si>
    <t>EDU_LEVEL 1</t>
  </si>
  <si>
    <t>PARTICIPANT_JOB 1</t>
  </si>
  <si>
    <t>SELF_BUILT_HOUSE 1</t>
  </si>
  <si>
    <t>VEGES 1</t>
  </si>
  <si>
    <t>FLOOD_EXP 1</t>
  </si>
  <si>
    <t>YRLY_FLOOD</t>
  </si>
  <si>
    <t>FIRE_EXP 1</t>
  </si>
  <si>
    <t>WATER_SATISFIED 1</t>
  </si>
  <si>
    <t>TOILET_TYPE 1</t>
  </si>
  <si>
    <t>WATER_SOURCE 1</t>
  </si>
  <si>
    <t>2022-10-11T12:24:20</t>
  </si>
  <si>
    <t>2022-10-11T12:24:21</t>
  </si>
  <si>
    <t>&lt;500</t>
  </si>
  <si>
    <t>2022-10-11T12:24:22</t>
  </si>
  <si>
    <t>2022-10-11T12:24:23</t>
  </si>
  <si>
    <t>2022-10-12T07:42:20</t>
  </si>
  <si>
    <t>2022-10-12T07:52:06</t>
  </si>
  <si>
    <t>2022-10-13T09:28:01</t>
  </si>
  <si>
    <t>2022-10-14T15:46:22</t>
  </si>
  <si>
    <t>2022-10-16T17:06:27</t>
  </si>
  <si>
    <t>2022-10-16T17:44:10</t>
  </si>
  <si>
    <t>2022-10-16T19:44:42</t>
  </si>
  <si>
    <t>2022-10-16T20:18:23</t>
  </si>
  <si>
    <t>2022-10-16T20:51:00</t>
  </si>
  <si>
    <t>2022-10-17T10:26:08</t>
  </si>
  <si>
    <t>2022-10-17T11:02:22</t>
  </si>
  <si>
    <t>2022-10-17T11:25:11</t>
  </si>
  <si>
    <t>2022-10-17T11:41:33</t>
  </si>
  <si>
    <t>2022-10-17T12:27:37</t>
  </si>
  <si>
    <t>2022-10-17T12:50:04</t>
  </si>
  <si>
    <t>2022-10-17T17:37:26</t>
  </si>
  <si>
    <t>2022-10-17T18:37:11</t>
  </si>
  <si>
    <t>2022-10-17T19:29:47</t>
  </si>
  <si>
    <t>2022-10-17T19:58:42</t>
  </si>
  <si>
    <t>2022-10-17T20:51:42</t>
  </si>
  <si>
    <t>2022-10-18T08:55:13</t>
  </si>
  <si>
    <t>2022-10-18T09:40:12</t>
  </si>
  <si>
    <t>2022-10-18T20:08:11</t>
  </si>
  <si>
    <t>2022-10-18T21:46:16</t>
  </si>
  <si>
    <t>2022-10-19T10:05:53</t>
  </si>
  <si>
    <t>2022-10-19T10:13:32</t>
  </si>
  <si>
    <t>2022-10-19T13:30:43</t>
  </si>
  <si>
    <t>2022-10-19T13:33:33</t>
  </si>
  <si>
    <t>2022-10-19T13:36:04</t>
  </si>
  <si>
    <t>2022-10-19T16:20:45</t>
  </si>
  <si>
    <t>2022-10-20T00:07:37</t>
  </si>
  <si>
    <t>2022-10-20T00:36:31</t>
  </si>
  <si>
    <t>2022-10-20T06:36:31</t>
  </si>
  <si>
    <t>2022-10-20T07:07:45</t>
  </si>
  <si>
    <t>2022-10-20T09:39:07</t>
  </si>
  <si>
    <t>2022-10-20T10:39:07</t>
  </si>
  <si>
    <t>2022-10-20T11:57:03</t>
  </si>
  <si>
    <t>2022-10-20T13:44:14</t>
  </si>
  <si>
    <t>2022-10-20T20:17:28</t>
  </si>
  <si>
    <t>2022-10-20T20:38:20</t>
  </si>
  <si>
    <t>2022-10-21T00:29:24</t>
  </si>
  <si>
    <t>2022-10-21T01:14:41</t>
  </si>
  <si>
    <t>2022-10-21T10:31:53</t>
  </si>
  <si>
    <t>2022-10-21T10:32:34</t>
  </si>
  <si>
    <t>2022-10-21T10:38:46</t>
  </si>
  <si>
    <t>2022-10-21T10:59:50</t>
  </si>
  <si>
    <t>2022-10-21T13:05:12</t>
  </si>
  <si>
    <t>2022-10-29T18:14:31</t>
  </si>
  <si>
    <t>2022-10-29T18:20:32</t>
  </si>
  <si>
    <t>2022-10-31T16:30:20</t>
  </si>
  <si>
    <t>2022-10-31T16:52:21</t>
  </si>
  <si>
    <t>2022-10-31T17:08:00</t>
  </si>
  <si>
    <t>2022-10-31T17:41:16</t>
  </si>
  <si>
    <t>2022-10-31T17:54:37</t>
  </si>
  <si>
    <t>2022-10-31T18:05:02</t>
  </si>
  <si>
    <t>2022-10-31T18:51:21</t>
  </si>
  <si>
    <t>2022-10-31T19:37:46</t>
  </si>
  <si>
    <t>2022-10-31T20:13:45</t>
  </si>
  <si>
    <t>2022-10-31T20:39:32</t>
  </si>
  <si>
    <t>2022-10-31T20:40:02</t>
  </si>
  <si>
    <t>2022-10-31T20:54:58</t>
  </si>
  <si>
    <t>2022-10-31T21:02:14</t>
  </si>
  <si>
    <t>2022-10-31T21:14:15</t>
  </si>
  <si>
    <t>2022-10-31T21:32:23</t>
  </si>
  <si>
    <t>2022-10-31T21:41:42</t>
  </si>
  <si>
    <t>2022-10-31T22:00:34</t>
  </si>
  <si>
    <t>2022-10-31T22:44:22</t>
  </si>
  <si>
    <t>2022-10-31T23:06:58</t>
  </si>
  <si>
    <t>2022-10-31T23:29:18</t>
  </si>
  <si>
    <t>2022-10-31T23:55:21</t>
  </si>
  <si>
    <t>2022-11-01T00:04:23</t>
  </si>
  <si>
    <t>2022-11-01T13:37:57</t>
  </si>
  <si>
    <t>2022-11-01T13:38:44</t>
  </si>
  <si>
    <t>2022-11-01T13:50:18</t>
  </si>
  <si>
    <t>2022-11-01T14:22:48</t>
  </si>
  <si>
    <t>2022-11-01T14:29:44</t>
  </si>
  <si>
    <t>2022-11-01T14:33:32</t>
  </si>
  <si>
    <t>2022-11-01T15:01:41</t>
  </si>
  <si>
    <t>2022-11-01T15:09:36</t>
  </si>
  <si>
    <t>2022-11-01T15:17:35</t>
  </si>
  <si>
    <t>2022-11-01T15:48:45</t>
  </si>
  <si>
    <t>2022-11-01T15:52:21</t>
  </si>
  <si>
    <t>2022-11-01T16:17:23</t>
  </si>
  <si>
    <t>2022-11-01T17:51:54</t>
  </si>
  <si>
    <t>2022-11-01T18:22:04</t>
  </si>
  <si>
    <t>2022-11-01T18:26:47</t>
  </si>
  <si>
    <t>2022-11-01T19:31:43</t>
  </si>
  <si>
    <t>2022-11-01T22:29:56</t>
  </si>
  <si>
    <t>2022-11-02T12:03:53</t>
  </si>
  <si>
    <t>2022-11-02T13:20:31</t>
  </si>
  <si>
    <t>2022-11-02T13:50:04</t>
  </si>
  <si>
    <t>2022-11-02T14:23:07</t>
  </si>
  <si>
    <t>2022-11-02T15:03:55</t>
  </si>
  <si>
    <t>2022-11-02T15:34:20</t>
  </si>
  <si>
    <t>2022-11-02T16:24:50</t>
  </si>
  <si>
    <t>2022-11-02T16:41:52</t>
  </si>
  <si>
    <t>2022-11-02T16:54:22</t>
  </si>
  <si>
    <t>2022-11-02T18:09:43</t>
  </si>
  <si>
    <t>2022-11-02T18:37:08</t>
  </si>
  <si>
    <t>2022-11-02T19:05:06</t>
  </si>
  <si>
    <t>2022-11-02T19:38:18</t>
  </si>
  <si>
    <t>2022-11-02T19:54:11</t>
  </si>
  <si>
    <t>2022-11-02T20:16:22</t>
  </si>
  <si>
    <t>2022-11-04T17:43:44</t>
  </si>
  <si>
    <t>2022-11-04T18:25:02</t>
  </si>
  <si>
    <t>2022-11-04T18:35:53</t>
  </si>
  <si>
    <t>2022-11-04T18:54:25</t>
  </si>
  <si>
    <t>2022-11-06T16:16:28</t>
  </si>
  <si>
    <t>2022-11-06T17:29:55</t>
  </si>
  <si>
    <t>2022-11-06T19:17:15</t>
  </si>
  <si>
    <t>2022-11-06T19:18:16</t>
  </si>
  <si>
    <t>2022-11-06T19:26:33</t>
  </si>
  <si>
    <t>2022-11-06T19:35:40</t>
  </si>
  <si>
    <t>2022-11-06T19:49:09</t>
  </si>
  <si>
    <t>2022-11-06T19:58:09</t>
  </si>
  <si>
    <t>2022-11-06T20:32:05</t>
  </si>
  <si>
    <t>2022-11-06T20:44:15</t>
  </si>
  <si>
    <t>2022-11-07T09:14:25</t>
  </si>
  <si>
    <t>2022-11-07T09:43:47</t>
  </si>
  <si>
    <t>2022-11-07T10:45:19</t>
  </si>
  <si>
    <t>2022-11-07T10:51:02</t>
  </si>
  <si>
    <t>2022-11-07T10:54:42</t>
  </si>
  <si>
    <t>2022-11-07T15:49:41</t>
  </si>
  <si>
    <t>2022-11-07T15:56:38</t>
  </si>
  <si>
    <t>2022-11-07T15:58:06</t>
  </si>
  <si>
    <t>2022-11-07T16:11:50</t>
  </si>
  <si>
    <t>2022-11-07T20:53:25</t>
  </si>
  <si>
    <t>2022-11-07T21:02:59</t>
  </si>
  <si>
    <t>2022-11-07T21:15:32</t>
  </si>
  <si>
    <t>2022-11-07T21:30:50</t>
  </si>
  <si>
    <t>2022-11-07T21:44:20</t>
  </si>
  <si>
    <t>2022-11-09T09:18:23</t>
  </si>
  <si>
    <t>2022-11-09T10:03:31</t>
  </si>
  <si>
    <t>2022-11-09T10:14:33</t>
  </si>
  <si>
    <t>2022-11-12T13:58:47</t>
  </si>
  <si>
    <t>2022-11-14T16:26:14</t>
  </si>
  <si>
    <t>2022-11-14T16:52:00</t>
  </si>
  <si>
    <t>2022-11-14T17:05:35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</si>
  <si>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</si>
  <si>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</si>
  <si>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</si>
  <si>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</si>
  <si>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</si>
  <si>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</si>
  <si>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</si>
  <si>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</si>
  <si>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</si>
  <si>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</si>
  <si>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</si>
  <si>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</si>
  <si>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DG1A0FB4E5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</si>
  <si>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</si>
  <si>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</si>
  <si>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</si>
  <si>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</si>
  <si>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</si>
  <si>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</si>
  <si>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</si>
  <si>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</si>
  <si>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</si>
  <si>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</si>
  <si>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VG2311984C279EE0EE</t>
  </si>
  <si>
    <t>var1</t>
  </si>
  <si>
    <t>ST_DATETIME</t>
  </si>
  <si>
    <t>1 : Ranges</t>
  </si>
  <si>
    <t>1 : MultiRefs</t>
  </si>
  <si>
    <t>2 : Info</t>
  </si>
  <si>
    <t>VG21E71A72D5D10EF</t>
  </si>
  <si>
    <t>var2</t>
  </si>
  <si>
    <t>ST_HOUSEPIC1</t>
  </si>
  <si>
    <t>2 : Ranges</t>
  </si>
  <si>
    <t>2 : MultiRefs</t>
  </si>
  <si>
    <t>3 : Info</t>
  </si>
  <si>
    <t>VG123B81461991E5E5</t>
  </si>
  <si>
    <t>var3</t>
  </si>
  <si>
    <t>ST_INTERVIEWLANG1</t>
  </si>
  <si>
    <t>3 : Ranges</t>
  </si>
  <si>
    <t>3 : MultiRefs</t>
  </si>
  <si>
    <t>4 : Info</t>
  </si>
  <si>
    <t>VG485B07F221F59DB</t>
  </si>
  <si>
    <t>var4</t>
  </si>
  <si>
    <t>ST_INFORECIEVING1</t>
  </si>
  <si>
    <t>4 : Ranges</t>
  </si>
  <si>
    <t>4 : MultiRefs</t>
  </si>
  <si>
    <t>5 : Info</t>
  </si>
  <si>
    <t>VG2AB501403264B21E</t>
  </si>
  <si>
    <t>var5</t>
  </si>
  <si>
    <t>ST_COMMUNICATIONWAY1</t>
  </si>
  <si>
    <t>5 : Ranges</t>
  </si>
  <si>
    <t>5 : MultiRefs</t>
  </si>
  <si>
    <t>6 : Info</t>
  </si>
  <si>
    <t>VG24E188603D50A80</t>
  </si>
  <si>
    <t>var6</t>
  </si>
  <si>
    <t>ST_LEADERPARTICIPATION1</t>
  </si>
  <si>
    <t>6 : Ranges</t>
  </si>
  <si>
    <t>6 : MultiRefs</t>
  </si>
  <si>
    <t>7 : Info</t>
  </si>
  <si>
    <t>VG37D24A3C36AECFC</t>
  </si>
  <si>
    <t>var7</t>
  </si>
  <si>
    <t>ST_COMMUORG1</t>
  </si>
  <si>
    <t>7 : Ranges</t>
  </si>
  <si>
    <t>7 : MultiRefs</t>
  </si>
  <si>
    <t>8 : Info</t>
  </si>
  <si>
    <t>VG149B963739902A10</t>
  </si>
  <si>
    <t>var8</t>
  </si>
  <si>
    <t>ST_AVGMONSAL</t>
  </si>
  <si>
    <t>8 : Ranges</t>
  </si>
  <si>
    <t>8 : MultiRefs</t>
  </si>
  <si>
    <t>9 : Info</t>
  </si>
  <si>
    <t>VG9679A051183A1AC</t>
  </si>
  <si>
    <t>var9</t>
  </si>
  <si>
    <t>ST_HOUSEHEAD1</t>
  </si>
  <si>
    <t>9 : Ranges</t>
  </si>
  <si>
    <t>9 : MultiRefs</t>
  </si>
  <si>
    <t>10 : Info</t>
  </si>
  <si>
    <t>VG2FED3A6736267E9E</t>
  </si>
  <si>
    <t>var10</t>
  </si>
  <si>
    <t>ST_NOHOUSEHOLD</t>
  </si>
  <si>
    <t>10 : Ranges</t>
  </si>
  <si>
    <t>10 : MultiRefs</t>
  </si>
  <si>
    <t>11 : Info</t>
  </si>
  <si>
    <t>VG3AD3BF7B14FCA83A</t>
  </si>
  <si>
    <t>var11</t>
  </si>
  <si>
    <t>ST_CHANGECOSITUA1</t>
  </si>
  <si>
    <t>11 : Ranges</t>
  </si>
  <si>
    <t>11 : MultiRefs</t>
  </si>
  <si>
    <t>12 : Info</t>
  </si>
  <si>
    <t>VG1089157C16803464</t>
  </si>
  <si>
    <t>var12</t>
  </si>
  <si>
    <t>ST_ACCSTATUS1</t>
  </si>
  <si>
    <t>12 : Ranges</t>
  </si>
  <si>
    <t>12 : MultiRefs</t>
  </si>
  <si>
    <t>13 : Info</t>
  </si>
  <si>
    <t>VG31D00420373DBBE9</t>
  </si>
  <si>
    <t>var13</t>
  </si>
  <si>
    <t>ST_EDULEVEL1</t>
  </si>
  <si>
    <t>13 : Ranges</t>
  </si>
  <si>
    <t>13 : MultiRefs</t>
  </si>
  <si>
    <t>14 : Info</t>
  </si>
  <si>
    <t>VG2CD4771B129B29F0</t>
  </si>
  <si>
    <t>var14</t>
  </si>
  <si>
    <t>ST_PARTICIPANTJOB1</t>
  </si>
  <si>
    <t>14 : Ranges</t>
  </si>
  <si>
    <t>14 : MultiRefs</t>
  </si>
  <si>
    <t>15 : Info</t>
  </si>
  <si>
    <t>VG13B1859E348465AC</t>
  </si>
  <si>
    <t>var15</t>
  </si>
  <si>
    <t>ST_SELFBUILTHOUSE1</t>
  </si>
  <si>
    <t>15 : Ranges</t>
  </si>
  <si>
    <t>15 : MultiRefs</t>
  </si>
  <si>
    <t>16 : Info</t>
  </si>
  <si>
    <t>VG153B206F113F53DB</t>
  </si>
  <si>
    <t>var16</t>
  </si>
  <si>
    <t>ST_VEGES1</t>
  </si>
  <si>
    <t>16 : Ranges</t>
  </si>
  <si>
    <t>16 : MultiRefs</t>
  </si>
  <si>
    <t>17 : Info</t>
  </si>
  <si>
    <t>VG3937C3642FDA9041</t>
  </si>
  <si>
    <t>var17</t>
  </si>
  <si>
    <t>ST_FLOODEXP1</t>
  </si>
  <si>
    <t>17 : Ranges</t>
  </si>
  <si>
    <t>17 : MultiRefs</t>
  </si>
  <si>
    <t>18 : Info</t>
  </si>
  <si>
    <t>VG15BCBEFE710D51</t>
  </si>
  <si>
    <t>var18</t>
  </si>
  <si>
    <t>ST_YRLYFLOOD</t>
  </si>
  <si>
    <t>18 : Ranges</t>
  </si>
  <si>
    <t>18 : MultiRefs</t>
  </si>
  <si>
    <t>19 : Info</t>
  </si>
  <si>
    <t>VG19AF3F1C1A34A1D1</t>
  </si>
  <si>
    <t>var19</t>
  </si>
  <si>
    <t>ST_FIREEXP1</t>
  </si>
  <si>
    <t>19 : Ranges</t>
  </si>
  <si>
    <t>19 : MultiRefs</t>
  </si>
  <si>
    <t>20 : Info</t>
  </si>
  <si>
    <t>VG6DE075925956F7</t>
  </si>
  <si>
    <t>var20</t>
  </si>
  <si>
    <t>ST_WATERSATISFIED1</t>
  </si>
  <si>
    <t>20 : Ranges</t>
  </si>
  <si>
    <t>20 : MultiRefs</t>
  </si>
  <si>
    <t>21 : Info</t>
  </si>
  <si>
    <t>VG1AB67D25330D998F</t>
  </si>
  <si>
    <t>var21</t>
  </si>
  <si>
    <t>ST_TOILETTYPE1</t>
  </si>
  <si>
    <t>21 : Ranges</t>
  </si>
  <si>
    <t>21 : MultiRefs</t>
  </si>
  <si>
    <t>22 : Info</t>
  </si>
  <si>
    <t>VG19791F974784C88</t>
  </si>
  <si>
    <t>var22</t>
  </si>
  <si>
    <t>ST_WATERSOURCE1</t>
  </si>
  <si>
    <t>22 : Ranges</t>
  </si>
  <si>
    <t>22 : MultiRefs</t>
  </si>
  <si>
    <t>Data Set #2</t>
  </si>
  <si>
    <t>DG1871063A</t>
  </si>
  <si>
    <t>ST_DATETIME_1</t>
  </si>
  <si>
    <t>ST_HOUSEPIC1_2</t>
  </si>
  <si>
    <t>ST_INTERVIEWLANG1_3</t>
  </si>
  <si>
    <t>ST_INFORECIEVING1_4</t>
  </si>
  <si>
    <t>ST_COMMUNICATIONWAY1_5</t>
  </si>
  <si>
    <t>ST_LEADERPARTICIPATION1_6</t>
  </si>
  <si>
    <t>ST_COMMUORG1_7</t>
  </si>
  <si>
    <t>ST_AVGMONSAL_8</t>
  </si>
  <si>
    <t>ST_HOUSEHEAD1_9</t>
  </si>
  <si>
    <t>ST_NOHOUSEHOLD_10</t>
  </si>
  <si>
    <t>ST_CHANGECOSITUA1_11</t>
  </si>
  <si>
    <t>ST_ACCSTATUS1_12</t>
  </si>
  <si>
    <t>ST_EDULEVEL1_13</t>
  </si>
  <si>
    <t>ST_PARTICIPANTJOB1_14</t>
  </si>
  <si>
    <t>ST_SELFBUILTHOUSE1_15</t>
  </si>
  <si>
    <t>ST_VEGES1_16</t>
  </si>
  <si>
    <t>ST_FLOODEXP1_17</t>
  </si>
  <si>
    <t>ST_FIREEXP1_18</t>
  </si>
  <si>
    <t>ST_WATERSOURCE1_19</t>
  </si>
  <si>
    <t>StatTools Report</t>
  </si>
  <si>
    <t>Analysis:</t>
  </si>
  <si>
    <t>Correlation and Covariance</t>
  </si>
  <si>
    <t>Performed By:</t>
  </si>
  <si>
    <t>Dorin</t>
  </si>
  <si>
    <t>Date:</t>
  </si>
  <si>
    <t>Updating:</t>
  </si>
  <si>
    <t>Live</t>
  </si>
  <si>
    <t>Linear Correlation Table</t>
  </si>
  <si>
    <t>VGB7B5CFA9357E37</t>
  </si>
  <si>
    <t>VG20B624EF2C069235</t>
  </si>
  <si>
    <t>VG2C2CD6533A455805</t>
  </si>
  <si>
    <t>VG1ED407BD30025E16</t>
  </si>
  <si>
    <t>VG1BAF22B728F8F440</t>
  </si>
  <si>
    <t>VG339D1E3C25988710</t>
  </si>
  <si>
    <t>VGC1F1C453F34C13</t>
  </si>
  <si>
    <t>VG73A0AD31862EC30</t>
  </si>
  <si>
    <t>VG25A2B8A1C8F0043</t>
  </si>
  <si>
    <t>VGF8912742A01577</t>
  </si>
  <si>
    <t>VG373801501034F0B</t>
  </si>
  <si>
    <t>VG51761A31F97CBD6</t>
  </si>
  <si>
    <t>VGC97BD88155FCBB3</t>
  </si>
  <si>
    <t>VG30A1406F27C4243C</t>
  </si>
  <si>
    <t>VG3A9ADFA611CA3731</t>
  </si>
  <si>
    <t>VG2CC859313CECE4</t>
  </si>
  <si>
    <t>VG16EF1377437DD</t>
  </si>
  <si>
    <t>VG5F4D5922BAC6495</t>
  </si>
  <si>
    <t>VG146638E0294C209D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</si>
</sst>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NumberFormat="1" applyAlignment="1">
      <alignment horizontal="left"/>
    </xf>
    <xf numFmtId="0" fontId="2" fillId="4" borderId="0" xfId="0" applyFont="1" applyFill="1"/>
    <xf numFmtId="0" fontId="2" fillId="4" borderId="13" xfId="0" applyFont="1" applyFill="1" applyBorder="1"/>
    <xf numFmtId="0" fontId="3" fillId="4" borderId="0" xfId="0" applyFont="1" applyFill="1" applyAlignment="1">
      <alignment horizontal="right"/>
    </xf>
    <xf numFmtId="0" fontId="3" fillId="4" borderId="13" xfId="0" applyFont="1" applyFill="1" applyBorder="1" applyAlignment="1">
      <alignment horizontal="right"/>
    </xf>
    <xf numFmtId="0" fontId="2" fillId="4" borderId="0" xfId="0" applyFont="1" applyFill="1" applyAlignment="1">
      <alignment horizontal="left"/>
    </xf>
    <xf numFmtId="0" fontId="2" fillId="4" borderId="13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15" fontId="2" fillId="4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center"/>
    </xf>
    <xf numFmtId="49" fontId="3" fillId="0" borderId="1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14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12D9-D0FA-47F2-A044-24EF53527A3D}">
  <dimension ref="A1:V158"/>
  <sheetViews>
    <sheetView zoomScale="99" workbookViewId="0">
      <selection sqref="A1:V1048576"/>
    </sheetView>
  </sheetViews>
  <sheetFormatPr defaultRowHeight="14.4" x14ac:dyDescent="0.3"/>
  <sheetData>
    <row r="1" spans="1:22" ht="15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  <row r="2" spans="1:22" x14ac:dyDescent="0.3">
      <c r="A2" s="6" t="s">
        <v>164</v>
      </c>
      <c r="B2" s="7">
        <v>1</v>
      </c>
      <c r="C2" s="7">
        <v>1</v>
      </c>
      <c r="D2" s="7">
        <v>2</v>
      </c>
      <c r="E2" s="7">
        <v>1</v>
      </c>
      <c r="F2" s="7">
        <v>0</v>
      </c>
      <c r="G2" s="7">
        <v>0</v>
      </c>
      <c r="H2" s="7"/>
      <c r="I2" s="7">
        <v>5</v>
      </c>
      <c r="J2" s="7">
        <v>2</v>
      </c>
      <c r="K2" s="7">
        <v>4</v>
      </c>
      <c r="L2" s="7">
        <v>1</v>
      </c>
      <c r="M2" s="7">
        <v>5</v>
      </c>
      <c r="N2" s="7">
        <v>3</v>
      </c>
      <c r="O2" s="7">
        <v>0</v>
      </c>
      <c r="P2" s="7">
        <v>0</v>
      </c>
      <c r="Q2" s="7">
        <v>0</v>
      </c>
      <c r="R2" s="7"/>
      <c r="S2" s="7">
        <v>0</v>
      </c>
      <c r="T2" s="7" t="e">
        <v>#N/A</v>
      </c>
      <c r="U2" s="7">
        <v>1</v>
      </c>
      <c r="V2" s="8">
        <v>1</v>
      </c>
    </row>
    <row r="3" spans="1:22" x14ac:dyDescent="0.3">
      <c r="A3" s="9" t="s">
        <v>163</v>
      </c>
      <c r="B3" s="10">
        <v>1</v>
      </c>
      <c r="C3" s="10">
        <v>1</v>
      </c>
      <c r="D3" s="10">
        <v>1</v>
      </c>
      <c r="E3" s="10">
        <v>1</v>
      </c>
      <c r="F3" s="10">
        <v>0</v>
      </c>
      <c r="G3" s="10">
        <v>0</v>
      </c>
      <c r="H3" s="10">
        <v>1000</v>
      </c>
      <c r="I3" s="10">
        <v>2</v>
      </c>
      <c r="J3" s="10">
        <v>2</v>
      </c>
      <c r="K3" s="10">
        <v>5</v>
      </c>
      <c r="L3" s="10">
        <v>1</v>
      </c>
      <c r="M3" s="10">
        <v>4</v>
      </c>
      <c r="N3" s="10">
        <v>3</v>
      </c>
      <c r="O3" s="10">
        <v>1</v>
      </c>
      <c r="P3" s="10">
        <v>0</v>
      </c>
      <c r="Q3" s="10">
        <v>0</v>
      </c>
      <c r="R3" s="10"/>
      <c r="S3" s="10">
        <v>1</v>
      </c>
      <c r="T3" s="10">
        <v>0</v>
      </c>
      <c r="U3" s="10" t="e">
        <v>#N/A</v>
      </c>
      <c r="V3" s="11">
        <v>1</v>
      </c>
    </row>
    <row r="4" spans="1:22" x14ac:dyDescent="0.3">
      <c r="A4" s="9" t="s">
        <v>162</v>
      </c>
      <c r="B4" s="10">
        <v>1</v>
      </c>
      <c r="C4" s="10">
        <v>1</v>
      </c>
      <c r="D4" s="10">
        <v>5</v>
      </c>
      <c r="E4" s="10">
        <v>6</v>
      </c>
      <c r="F4" s="10">
        <v>0</v>
      </c>
      <c r="G4" s="10">
        <v>0</v>
      </c>
      <c r="H4" s="10" t="s">
        <v>24</v>
      </c>
      <c r="I4" s="10">
        <v>2</v>
      </c>
      <c r="J4" s="10">
        <v>3</v>
      </c>
      <c r="K4" s="10">
        <v>3</v>
      </c>
      <c r="L4" s="10">
        <v>1</v>
      </c>
      <c r="M4" s="10">
        <v>4</v>
      </c>
      <c r="N4" s="10">
        <v>3</v>
      </c>
      <c r="O4" s="10">
        <v>1</v>
      </c>
      <c r="P4" s="10">
        <v>0</v>
      </c>
      <c r="Q4" s="10">
        <v>1</v>
      </c>
      <c r="R4" s="10">
        <v>2</v>
      </c>
      <c r="S4" s="10">
        <v>1</v>
      </c>
      <c r="T4" s="10" t="e">
        <v>#N/A</v>
      </c>
      <c r="U4" s="10">
        <v>4</v>
      </c>
      <c r="V4" s="11">
        <v>1</v>
      </c>
    </row>
    <row r="5" spans="1:22" x14ac:dyDescent="0.3">
      <c r="A5" s="9" t="s">
        <v>161</v>
      </c>
      <c r="B5" s="10">
        <v>1</v>
      </c>
      <c r="C5" s="10">
        <v>1</v>
      </c>
      <c r="D5" s="10">
        <v>5</v>
      </c>
      <c r="E5" s="10">
        <v>6</v>
      </c>
      <c r="F5" s="10">
        <v>0</v>
      </c>
      <c r="G5" s="10">
        <v>0</v>
      </c>
      <c r="H5" s="10" t="s">
        <v>24</v>
      </c>
      <c r="I5" s="10">
        <v>8</v>
      </c>
      <c r="J5" s="10">
        <v>2</v>
      </c>
      <c r="K5" s="10">
        <v>2</v>
      </c>
      <c r="L5" s="10">
        <v>2</v>
      </c>
      <c r="M5" s="10">
        <v>4</v>
      </c>
      <c r="N5" s="10">
        <v>3</v>
      </c>
      <c r="O5" s="10">
        <v>0</v>
      </c>
      <c r="P5" s="10">
        <v>0</v>
      </c>
      <c r="Q5" s="10">
        <v>0</v>
      </c>
      <c r="R5" s="10"/>
      <c r="S5" s="10">
        <v>1</v>
      </c>
      <c r="T5" s="10">
        <v>0</v>
      </c>
      <c r="U5" s="10">
        <v>4</v>
      </c>
      <c r="V5" s="11">
        <v>1</v>
      </c>
    </row>
    <row r="6" spans="1:22" x14ac:dyDescent="0.3">
      <c r="A6" s="9" t="s">
        <v>160</v>
      </c>
      <c r="B6" s="10">
        <v>1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3500</v>
      </c>
      <c r="I6" s="10">
        <v>2</v>
      </c>
      <c r="J6" s="10">
        <v>3</v>
      </c>
      <c r="K6" s="10">
        <v>4</v>
      </c>
      <c r="L6" s="10">
        <v>1</v>
      </c>
      <c r="M6" s="10">
        <v>4</v>
      </c>
      <c r="N6" s="10">
        <v>4</v>
      </c>
      <c r="O6" s="10">
        <v>0</v>
      </c>
      <c r="P6" s="10">
        <v>0</v>
      </c>
      <c r="Q6" s="10">
        <v>0</v>
      </c>
      <c r="R6" s="10"/>
      <c r="S6" s="10">
        <v>1</v>
      </c>
      <c r="T6" s="10">
        <v>0</v>
      </c>
      <c r="U6" s="10">
        <v>2</v>
      </c>
      <c r="V6" s="11">
        <v>1</v>
      </c>
    </row>
    <row r="7" spans="1:22" x14ac:dyDescent="0.3">
      <c r="A7" s="9" t="s">
        <v>159</v>
      </c>
      <c r="B7" s="10">
        <v>1</v>
      </c>
      <c r="C7" s="10">
        <v>0</v>
      </c>
      <c r="D7" s="10">
        <v>5</v>
      </c>
      <c r="E7" s="10">
        <v>6</v>
      </c>
      <c r="F7" s="10">
        <v>0</v>
      </c>
      <c r="G7" s="10">
        <v>7</v>
      </c>
      <c r="H7" s="10">
        <v>1000</v>
      </c>
      <c r="I7" s="10">
        <v>2</v>
      </c>
      <c r="J7" s="10">
        <v>1</v>
      </c>
      <c r="K7" s="10">
        <v>4</v>
      </c>
      <c r="L7" s="10">
        <v>2</v>
      </c>
      <c r="M7" s="10">
        <v>3</v>
      </c>
      <c r="N7" s="10">
        <v>4</v>
      </c>
      <c r="O7" s="10">
        <v>0</v>
      </c>
      <c r="P7" s="10">
        <v>0</v>
      </c>
      <c r="Q7" s="10">
        <v>1</v>
      </c>
      <c r="R7" s="10">
        <v>3</v>
      </c>
      <c r="S7" s="10">
        <v>1</v>
      </c>
      <c r="T7" s="10">
        <v>0</v>
      </c>
      <c r="U7" s="10" t="e">
        <v>#N/A</v>
      </c>
      <c r="V7" s="11">
        <v>1</v>
      </c>
    </row>
    <row r="8" spans="1:22" x14ac:dyDescent="0.3">
      <c r="A8" s="9" t="s">
        <v>158</v>
      </c>
      <c r="B8" s="10">
        <v>1</v>
      </c>
      <c r="C8" s="10">
        <v>1</v>
      </c>
      <c r="D8" s="10">
        <v>1</v>
      </c>
      <c r="E8" s="10">
        <v>1</v>
      </c>
      <c r="F8" s="10">
        <v>0</v>
      </c>
      <c r="G8" s="10">
        <v>7</v>
      </c>
      <c r="H8" s="10">
        <v>1500</v>
      </c>
      <c r="I8" s="10">
        <v>2</v>
      </c>
      <c r="J8" s="10">
        <v>2</v>
      </c>
      <c r="K8" s="10">
        <v>3</v>
      </c>
      <c r="L8" s="10">
        <v>1</v>
      </c>
      <c r="M8" s="10">
        <v>4</v>
      </c>
      <c r="N8" s="10">
        <v>3</v>
      </c>
      <c r="O8" s="10">
        <v>1</v>
      </c>
      <c r="P8" s="10">
        <v>0</v>
      </c>
      <c r="Q8" s="10">
        <v>0</v>
      </c>
      <c r="R8" s="10"/>
      <c r="S8" s="10">
        <v>1</v>
      </c>
      <c r="T8" s="10" t="e">
        <v>#N/A</v>
      </c>
      <c r="U8" s="10">
        <v>4</v>
      </c>
      <c r="V8" s="11">
        <v>1</v>
      </c>
    </row>
    <row r="9" spans="1:22" x14ac:dyDescent="0.3">
      <c r="A9" s="9" t="s">
        <v>157</v>
      </c>
      <c r="B9" s="10">
        <v>1</v>
      </c>
      <c r="C9" s="10">
        <v>1</v>
      </c>
      <c r="D9" s="10">
        <v>1</v>
      </c>
      <c r="E9" s="10">
        <v>1</v>
      </c>
      <c r="F9" s="10">
        <v>0</v>
      </c>
      <c r="G9" s="10">
        <v>0</v>
      </c>
      <c r="H9" s="10">
        <v>2500</v>
      </c>
      <c r="I9" s="10">
        <v>5</v>
      </c>
      <c r="J9" s="10">
        <v>2</v>
      </c>
      <c r="K9" s="10">
        <v>4</v>
      </c>
      <c r="L9" s="10">
        <v>1</v>
      </c>
      <c r="M9" s="10">
        <v>4</v>
      </c>
      <c r="N9" s="10">
        <v>4</v>
      </c>
      <c r="O9" s="10">
        <v>0</v>
      </c>
      <c r="P9" s="10">
        <v>0</v>
      </c>
      <c r="Q9" s="10">
        <v>0</v>
      </c>
      <c r="R9" s="10"/>
      <c r="S9" s="10">
        <v>1</v>
      </c>
      <c r="T9" s="10">
        <v>0</v>
      </c>
      <c r="U9" s="10">
        <v>2</v>
      </c>
      <c r="V9" s="11">
        <v>1</v>
      </c>
    </row>
    <row r="10" spans="1:22" x14ac:dyDescent="0.3">
      <c r="A10" s="9" t="s">
        <v>156</v>
      </c>
      <c r="B10" s="10">
        <v>1</v>
      </c>
      <c r="C10" s="10">
        <v>1</v>
      </c>
      <c r="D10" s="10">
        <v>0</v>
      </c>
      <c r="E10" s="10">
        <v>1</v>
      </c>
      <c r="F10" s="10">
        <v>0</v>
      </c>
      <c r="G10" s="10">
        <v>7</v>
      </c>
      <c r="H10" s="10" t="s">
        <v>24</v>
      </c>
      <c r="I10" s="10">
        <v>6</v>
      </c>
      <c r="J10" s="10">
        <v>1</v>
      </c>
      <c r="K10" s="10">
        <v>3</v>
      </c>
      <c r="L10" s="10">
        <v>1</v>
      </c>
      <c r="M10" s="10">
        <v>4</v>
      </c>
      <c r="N10" s="10">
        <v>3</v>
      </c>
      <c r="O10" s="10">
        <v>0</v>
      </c>
      <c r="P10" s="10">
        <v>0</v>
      </c>
      <c r="Q10" s="10">
        <v>0</v>
      </c>
      <c r="R10" s="10"/>
      <c r="S10" s="10">
        <v>1</v>
      </c>
      <c r="T10" s="10">
        <v>0</v>
      </c>
      <c r="U10" s="10" t="e">
        <v>#N/A</v>
      </c>
      <c r="V10" s="11">
        <v>1</v>
      </c>
    </row>
    <row r="11" spans="1:22" x14ac:dyDescent="0.3">
      <c r="A11" s="9" t="s">
        <v>155</v>
      </c>
      <c r="B11" s="10">
        <v>1</v>
      </c>
      <c r="C11" s="10">
        <v>1</v>
      </c>
      <c r="D11" s="10">
        <v>2</v>
      </c>
      <c r="E11" s="10">
        <v>1</v>
      </c>
      <c r="F11" s="10">
        <v>0</v>
      </c>
      <c r="G11" s="10">
        <v>0</v>
      </c>
      <c r="H11" s="10">
        <v>3000</v>
      </c>
      <c r="I11" s="10">
        <v>2</v>
      </c>
      <c r="J11" s="10">
        <v>2</v>
      </c>
      <c r="K11" s="10">
        <v>4</v>
      </c>
      <c r="L11" s="10">
        <v>1</v>
      </c>
      <c r="M11" s="10">
        <v>4</v>
      </c>
      <c r="N11" s="10">
        <v>2</v>
      </c>
      <c r="O11" s="10">
        <v>1</v>
      </c>
      <c r="P11" s="10">
        <v>0</v>
      </c>
      <c r="Q11" s="10">
        <v>0</v>
      </c>
      <c r="R11" s="10"/>
      <c r="S11" s="10">
        <v>0</v>
      </c>
      <c r="T11" s="10">
        <v>0</v>
      </c>
      <c r="U11" s="10">
        <v>2</v>
      </c>
      <c r="V11" s="11">
        <v>1</v>
      </c>
    </row>
    <row r="12" spans="1:22" x14ac:dyDescent="0.3">
      <c r="A12" s="9" t="s">
        <v>154</v>
      </c>
      <c r="B12" s="10">
        <v>0</v>
      </c>
      <c r="C12" s="10">
        <v>1</v>
      </c>
      <c r="D12" s="10">
        <v>1</v>
      </c>
      <c r="E12" s="10">
        <v>6</v>
      </c>
      <c r="F12" s="10">
        <v>0</v>
      </c>
      <c r="G12" s="10">
        <v>1</v>
      </c>
      <c r="H12" s="10">
        <v>1000</v>
      </c>
      <c r="I12" s="10">
        <v>5</v>
      </c>
      <c r="J12" s="10">
        <v>4</v>
      </c>
      <c r="K12" s="10">
        <v>4</v>
      </c>
      <c r="L12" s="10">
        <v>1</v>
      </c>
      <c r="M12" s="10">
        <v>4</v>
      </c>
      <c r="N12" s="10">
        <v>2</v>
      </c>
      <c r="O12" s="10">
        <v>1</v>
      </c>
      <c r="P12" s="10">
        <v>0</v>
      </c>
      <c r="Q12" s="10">
        <v>0</v>
      </c>
      <c r="R12" s="10"/>
      <c r="S12" s="10">
        <v>1</v>
      </c>
      <c r="T12" s="10">
        <v>0</v>
      </c>
      <c r="U12" s="10">
        <v>2</v>
      </c>
      <c r="V12" s="11">
        <v>1</v>
      </c>
    </row>
    <row r="13" spans="1:22" x14ac:dyDescent="0.3">
      <c r="A13" s="9" t="s">
        <v>153</v>
      </c>
      <c r="B13" s="10">
        <v>1</v>
      </c>
      <c r="C13" s="10">
        <v>1</v>
      </c>
      <c r="D13" s="10">
        <v>1</v>
      </c>
      <c r="E13" s="10">
        <v>1</v>
      </c>
      <c r="F13" s="10">
        <v>0</v>
      </c>
      <c r="G13" s="10">
        <v>0</v>
      </c>
      <c r="H13" s="10">
        <v>2500</v>
      </c>
      <c r="I13" s="10">
        <v>2</v>
      </c>
      <c r="J13" s="10">
        <v>4</v>
      </c>
      <c r="K13" s="10">
        <v>3</v>
      </c>
      <c r="L13" s="10">
        <v>2</v>
      </c>
      <c r="M13" s="10">
        <v>3</v>
      </c>
      <c r="N13" s="10">
        <v>4</v>
      </c>
      <c r="O13" s="10">
        <v>0</v>
      </c>
      <c r="P13" s="10">
        <v>1</v>
      </c>
      <c r="Q13" s="10">
        <v>0</v>
      </c>
      <c r="R13" s="10"/>
      <c r="S13" s="10">
        <v>1</v>
      </c>
      <c r="T13" s="10">
        <v>1</v>
      </c>
      <c r="U13" s="10">
        <v>2</v>
      </c>
      <c r="V13" s="11">
        <v>1</v>
      </c>
    </row>
    <row r="14" spans="1:22" x14ac:dyDescent="0.3">
      <c r="A14" s="9" t="s">
        <v>152</v>
      </c>
      <c r="B14" s="10">
        <v>1</v>
      </c>
      <c r="C14" s="10">
        <v>1</v>
      </c>
      <c r="D14" s="10">
        <v>2</v>
      </c>
      <c r="E14" s="10">
        <v>6</v>
      </c>
      <c r="F14" s="10">
        <v>0</v>
      </c>
      <c r="G14" s="10">
        <v>7</v>
      </c>
      <c r="H14" s="10">
        <v>1000</v>
      </c>
      <c r="I14" s="10">
        <v>2</v>
      </c>
      <c r="J14" s="10">
        <v>2</v>
      </c>
      <c r="K14" s="10">
        <v>3</v>
      </c>
      <c r="L14" s="10">
        <v>2</v>
      </c>
      <c r="M14" s="10">
        <v>4</v>
      </c>
      <c r="N14" s="10">
        <v>2</v>
      </c>
      <c r="O14" s="10">
        <v>0</v>
      </c>
      <c r="P14" s="10">
        <v>0</v>
      </c>
      <c r="Q14" s="10">
        <v>0</v>
      </c>
      <c r="R14" s="10"/>
      <c r="S14" s="10">
        <v>1</v>
      </c>
      <c r="T14" s="10">
        <v>0</v>
      </c>
      <c r="U14" s="10">
        <v>4</v>
      </c>
      <c r="V14" s="11">
        <v>1</v>
      </c>
    </row>
    <row r="15" spans="1:22" x14ac:dyDescent="0.3">
      <c r="A15" s="9" t="s">
        <v>151</v>
      </c>
      <c r="B15" s="10">
        <v>1</v>
      </c>
      <c r="C15" s="10">
        <v>1</v>
      </c>
      <c r="D15" s="10">
        <v>1</v>
      </c>
      <c r="E15" s="10">
        <v>1</v>
      </c>
      <c r="F15" s="10">
        <v>0</v>
      </c>
      <c r="G15" s="10">
        <v>7</v>
      </c>
      <c r="H15" s="10">
        <v>2500</v>
      </c>
      <c r="I15" s="10">
        <v>2</v>
      </c>
      <c r="J15" s="10">
        <v>2</v>
      </c>
      <c r="K15" s="10">
        <v>4</v>
      </c>
      <c r="L15" s="10">
        <v>2</v>
      </c>
      <c r="M15" s="10">
        <v>4</v>
      </c>
      <c r="N15" s="10">
        <v>4</v>
      </c>
      <c r="O15" s="10">
        <v>0</v>
      </c>
      <c r="P15" s="10">
        <v>0</v>
      </c>
      <c r="Q15" s="10">
        <v>0</v>
      </c>
      <c r="R15" s="10"/>
      <c r="S15" s="10">
        <v>0</v>
      </c>
      <c r="T15" s="10">
        <v>1</v>
      </c>
      <c r="U15" s="10">
        <v>2</v>
      </c>
      <c r="V15" s="11">
        <v>1</v>
      </c>
    </row>
    <row r="16" spans="1:22" x14ac:dyDescent="0.3">
      <c r="A16" s="9" t="s">
        <v>150</v>
      </c>
      <c r="B16" s="10">
        <v>1</v>
      </c>
      <c r="C16" s="10">
        <v>1</v>
      </c>
      <c r="D16" s="10">
        <v>1</v>
      </c>
      <c r="E16" s="10">
        <v>1</v>
      </c>
      <c r="F16" s="10">
        <v>0</v>
      </c>
      <c r="G16" s="10">
        <v>7</v>
      </c>
      <c r="H16" s="10">
        <v>2000</v>
      </c>
      <c r="I16" s="10">
        <v>2</v>
      </c>
      <c r="J16" s="10">
        <v>1</v>
      </c>
      <c r="K16" s="10">
        <v>4</v>
      </c>
      <c r="L16" s="10">
        <v>1</v>
      </c>
      <c r="M16" s="10">
        <v>5</v>
      </c>
      <c r="N16" s="10">
        <v>4</v>
      </c>
      <c r="O16" s="10">
        <v>0</v>
      </c>
      <c r="P16" s="10">
        <v>1</v>
      </c>
      <c r="Q16" s="10">
        <v>0</v>
      </c>
      <c r="R16" s="10"/>
      <c r="S16" s="10">
        <v>1</v>
      </c>
      <c r="T16" s="10">
        <v>1</v>
      </c>
      <c r="U16" s="10">
        <v>2</v>
      </c>
      <c r="V16" s="11">
        <v>1</v>
      </c>
    </row>
    <row r="17" spans="1:22" x14ac:dyDescent="0.3">
      <c r="A17" s="9" t="s">
        <v>149</v>
      </c>
      <c r="B17" s="10">
        <v>1</v>
      </c>
      <c r="C17" s="10">
        <v>1</v>
      </c>
      <c r="D17" s="10">
        <v>1</v>
      </c>
      <c r="E17" s="10">
        <v>1</v>
      </c>
      <c r="F17" s="10">
        <v>0</v>
      </c>
      <c r="G17" s="10">
        <v>0</v>
      </c>
      <c r="H17" s="10">
        <v>1500</v>
      </c>
      <c r="I17" s="10">
        <v>2</v>
      </c>
      <c r="J17" s="10">
        <v>2</v>
      </c>
      <c r="K17" s="10">
        <v>4</v>
      </c>
      <c r="L17" s="10">
        <v>1</v>
      </c>
      <c r="M17" s="10">
        <v>4</v>
      </c>
      <c r="N17" s="10">
        <v>4</v>
      </c>
      <c r="O17" s="10">
        <v>0</v>
      </c>
      <c r="P17" s="10">
        <v>0</v>
      </c>
      <c r="Q17" s="10">
        <v>1</v>
      </c>
      <c r="R17" s="10">
        <v>5</v>
      </c>
      <c r="S17" s="10">
        <v>1</v>
      </c>
      <c r="T17" s="10">
        <v>0</v>
      </c>
      <c r="U17" s="10">
        <v>2</v>
      </c>
      <c r="V17" s="11">
        <v>1</v>
      </c>
    </row>
    <row r="18" spans="1:22" x14ac:dyDescent="0.3">
      <c r="A18" s="9" t="s">
        <v>148</v>
      </c>
      <c r="B18" s="10">
        <v>1</v>
      </c>
      <c r="C18" s="10">
        <v>0</v>
      </c>
      <c r="D18" s="10">
        <v>2</v>
      </c>
      <c r="E18" s="10">
        <v>6</v>
      </c>
      <c r="F18" s="10">
        <v>0</v>
      </c>
      <c r="G18" s="10">
        <v>7</v>
      </c>
      <c r="H18" s="10">
        <v>500</v>
      </c>
      <c r="I18" s="10">
        <v>2</v>
      </c>
      <c r="J18" s="10">
        <v>1</v>
      </c>
      <c r="K18" s="10">
        <v>4</v>
      </c>
      <c r="L18" s="10">
        <v>1</v>
      </c>
      <c r="M18" s="10">
        <v>3</v>
      </c>
      <c r="N18" s="10">
        <v>3</v>
      </c>
      <c r="O18" s="10">
        <v>0</v>
      </c>
      <c r="P18" s="10">
        <v>0</v>
      </c>
      <c r="Q18" s="10">
        <v>0</v>
      </c>
      <c r="R18" s="10"/>
      <c r="S18" s="10">
        <v>1</v>
      </c>
      <c r="T18" s="10">
        <v>0</v>
      </c>
      <c r="U18" s="10">
        <v>2</v>
      </c>
      <c r="V18" s="11">
        <v>1</v>
      </c>
    </row>
    <row r="19" spans="1:22" x14ac:dyDescent="0.3">
      <c r="A19" s="9" t="s">
        <v>147</v>
      </c>
      <c r="B19" s="10">
        <v>1</v>
      </c>
      <c r="C19" s="10">
        <v>0</v>
      </c>
      <c r="D19" s="10">
        <v>2</v>
      </c>
      <c r="E19" s="10">
        <v>6</v>
      </c>
      <c r="F19" s="10">
        <v>0</v>
      </c>
      <c r="G19" s="10">
        <v>4</v>
      </c>
      <c r="H19" s="10">
        <v>1500</v>
      </c>
      <c r="I19" s="10">
        <v>5</v>
      </c>
      <c r="J19" s="10">
        <v>7</v>
      </c>
      <c r="K19" s="10">
        <v>4</v>
      </c>
      <c r="L19" s="10">
        <v>1</v>
      </c>
      <c r="M19" s="10">
        <v>4</v>
      </c>
      <c r="N19" s="10">
        <v>3</v>
      </c>
      <c r="O19" s="10">
        <v>1</v>
      </c>
      <c r="P19" s="10">
        <v>0</v>
      </c>
      <c r="Q19" s="10">
        <v>0</v>
      </c>
      <c r="R19" s="10"/>
      <c r="S19" s="10">
        <v>1</v>
      </c>
      <c r="T19" s="10">
        <v>0</v>
      </c>
      <c r="U19" s="10">
        <v>4</v>
      </c>
      <c r="V19" s="11">
        <v>1</v>
      </c>
    </row>
    <row r="20" spans="1:22" x14ac:dyDescent="0.3">
      <c r="A20" s="9" t="s">
        <v>146</v>
      </c>
      <c r="B20" s="10">
        <v>1</v>
      </c>
      <c r="C20" s="10">
        <v>1</v>
      </c>
      <c r="D20" s="10">
        <v>0</v>
      </c>
      <c r="E20" s="10">
        <v>1</v>
      </c>
      <c r="F20" s="10">
        <v>0</v>
      </c>
      <c r="G20" s="10">
        <v>7</v>
      </c>
      <c r="H20" s="10">
        <v>2500</v>
      </c>
      <c r="I20" s="10">
        <v>2</v>
      </c>
      <c r="J20" s="10">
        <v>1</v>
      </c>
      <c r="K20" s="10">
        <v>4</v>
      </c>
      <c r="L20" s="10">
        <v>1</v>
      </c>
      <c r="M20" s="10">
        <v>4</v>
      </c>
      <c r="N20" s="10">
        <v>2</v>
      </c>
      <c r="O20" s="10">
        <v>0</v>
      </c>
      <c r="P20" s="10">
        <v>0</v>
      </c>
      <c r="Q20" s="10">
        <v>0</v>
      </c>
      <c r="R20" s="10"/>
      <c r="S20" s="10">
        <v>1</v>
      </c>
      <c r="T20" s="10">
        <v>0</v>
      </c>
      <c r="U20" s="10" t="e">
        <v>#N/A</v>
      </c>
      <c r="V20" s="11">
        <v>1</v>
      </c>
    </row>
    <row r="21" spans="1:22" x14ac:dyDescent="0.3">
      <c r="A21" s="9" t="s">
        <v>145</v>
      </c>
      <c r="B21" s="10">
        <v>1</v>
      </c>
      <c r="C21" s="10">
        <v>0</v>
      </c>
      <c r="D21" s="10">
        <v>1</v>
      </c>
      <c r="E21" s="10">
        <v>6</v>
      </c>
      <c r="F21" s="10">
        <v>0</v>
      </c>
      <c r="G21" s="10">
        <v>7</v>
      </c>
      <c r="H21" s="10">
        <v>1500</v>
      </c>
      <c r="I21" s="10">
        <v>5</v>
      </c>
      <c r="J21" s="10">
        <v>3</v>
      </c>
      <c r="K21" s="10">
        <v>4</v>
      </c>
      <c r="L21" s="10">
        <v>1</v>
      </c>
      <c r="M21" s="10">
        <v>4</v>
      </c>
      <c r="N21" s="10">
        <v>1</v>
      </c>
      <c r="O21" s="10">
        <v>0</v>
      </c>
      <c r="P21" s="10">
        <v>0</v>
      </c>
      <c r="Q21" s="10">
        <v>0</v>
      </c>
      <c r="R21" s="10"/>
      <c r="S21" s="10">
        <v>1</v>
      </c>
      <c r="T21" s="10" t="e">
        <v>#N/A</v>
      </c>
      <c r="U21" s="10">
        <v>4</v>
      </c>
      <c r="V21" s="11">
        <v>1</v>
      </c>
    </row>
    <row r="22" spans="1:22" x14ac:dyDescent="0.3">
      <c r="A22" s="9" t="s">
        <v>144</v>
      </c>
      <c r="B22" s="10">
        <v>1</v>
      </c>
      <c r="C22" s="10">
        <v>1</v>
      </c>
      <c r="D22" s="10">
        <v>1</v>
      </c>
      <c r="E22" s="10">
        <v>1</v>
      </c>
      <c r="F22" s="10">
        <v>0</v>
      </c>
      <c r="G22" s="10">
        <v>7</v>
      </c>
      <c r="H22" s="10">
        <v>2500</v>
      </c>
      <c r="I22" s="10">
        <v>2</v>
      </c>
      <c r="J22" s="10">
        <v>2</v>
      </c>
      <c r="K22" s="10">
        <v>3</v>
      </c>
      <c r="L22" s="10">
        <v>1</v>
      </c>
      <c r="M22" s="10">
        <v>5</v>
      </c>
      <c r="N22" s="10">
        <v>4</v>
      </c>
      <c r="O22" s="10">
        <v>0</v>
      </c>
      <c r="P22" s="10">
        <v>0</v>
      </c>
      <c r="Q22" s="10">
        <v>0</v>
      </c>
      <c r="R22" s="10"/>
      <c r="S22" s="10">
        <v>1</v>
      </c>
      <c r="T22" s="10">
        <v>0</v>
      </c>
      <c r="U22" s="10">
        <v>4</v>
      </c>
      <c r="V22" s="11">
        <v>1</v>
      </c>
    </row>
    <row r="23" spans="1:22" x14ac:dyDescent="0.3">
      <c r="A23" s="9" t="s">
        <v>143</v>
      </c>
      <c r="B23" s="10">
        <v>1</v>
      </c>
      <c r="C23" s="10">
        <v>1</v>
      </c>
      <c r="D23" s="10">
        <v>1</v>
      </c>
      <c r="E23" s="10">
        <v>1</v>
      </c>
      <c r="F23" s="10">
        <v>0</v>
      </c>
      <c r="G23" s="10">
        <v>0</v>
      </c>
      <c r="H23" s="10">
        <v>500</v>
      </c>
      <c r="I23" s="10">
        <v>5</v>
      </c>
      <c r="J23" s="10">
        <v>2</v>
      </c>
      <c r="K23" s="10">
        <v>3</v>
      </c>
      <c r="L23" s="10">
        <v>1</v>
      </c>
      <c r="M23" s="10">
        <v>4</v>
      </c>
      <c r="N23" s="10">
        <v>3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0</v>
      </c>
      <c r="U23" s="10">
        <v>2</v>
      </c>
      <c r="V23" s="11">
        <v>1</v>
      </c>
    </row>
    <row r="24" spans="1:22" x14ac:dyDescent="0.3">
      <c r="A24" s="9" t="s">
        <v>142</v>
      </c>
      <c r="B24" s="10">
        <v>1</v>
      </c>
      <c r="C24" s="10">
        <v>0</v>
      </c>
      <c r="D24" s="10">
        <v>5</v>
      </c>
      <c r="E24" s="10">
        <v>6</v>
      </c>
      <c r="F24" s="10">
        <v>0</v>
      </c>
      <c r="G24" s="10">
        <v>7</v>
      </c>
      <c r="H24" s="10" t="s">
        <v>24</v>
      </c>
      <c r="I24" s="10">
        <v>2</v>
      </c>
      <c r="J24" s="10">
        <v>2</v>
      </c>
      <c r="K24" s="10">
        <v>2</v>
      </c>
      <c r="L24" s="10">
        <v>1</v>
      </c>
      <c r="M24" s="10">
        <v>4</v>
      </c>
      <c r="N24" s="10">
        <v>3</v>
      </c>
      <c r="O24" s="10">
        <v>1</v>
      </c>
      <c r="P24" s="10">
        <v>0</v>
      </c>
      <c r="Q24" s="10">
        <v>1</v>
      </c>
      <c r="R24" s="10">
        <v>3</v>
      </c>
      <c r="S24" s="10">
        <v>1</v>
      </c>
      <c r="T24" s="10">
        <v>0</v>
      </c>
      <c r="U24" s="10" t="e">
        <v>#N/A</v>
      </c>
      <c r="V24" s="11">
        <v>1</v>
      </c>
    </row>
    <row r="25" spans="1:22" x14ac:dyDescent="0.3">
      <c r="A25" s="9" t="s">
        <v>141</v>
      </c>
      <c r="B25" s="10">
        <v>1</v>
      </c>
      <c r="C25" s="10">
        <v>0</v>
      </c>
      <c r="D25" s="10">
        <v>1</v>
      </c>
      <c r="E25" s="10">
        <v>1</v>
      </c>
      <c r="F25" s="10">
        <v>0</v>
      </c>
      <c r="G25" s="10">
        <v>7</v>
      </c>
      <c r="H25" s="10" t="s">
        <v>24</v>
      </c>
      <c r="I25" s="10">
        <v>5</v>
      </c>
      <c r="J25" s="10">
        <v>1</v>
      </c>
      <c r="K25" s="10">
        <v>4</v>
      </c>
      <c r="L25" s="10">
        <v>1</v>
      </c>
      <c r="M25" s="10">
        <v>3</v>
      </c>
      <c r="N25" s="10">
        <v>3</v>
      </c>
      <c r="O25" s="10">
        <v>1</v>
      </c>
      <c r="P25" s="10">
        <v>0</v>
      </c>
      <c r="Q25" s="10">
        <v>0</v>
      </c>
      <c r="R25" s="10"/>
      <c r="S25" s="10">
        <v>0</v>
      </c>
      <c r="T25" s="10">
        <v>0</v>
      </c>
      <c r="U25" s="10">
        <v>4</v>
      </c>
      <c r="V25" s="11">
        <v>1</v>
      </c>
    </row>
    <row r="26" spans="1:22" x14ac:dyDescent="0.3">
      <c r="A26" s="9" t="s">
        <v>140</v>
      </c>
      <c r="B26" s="10">
        <v>1</v>
      </c>
      <c r="C26" s="10">
        <v>0</v>
      </c>
      <c r="D26" s="10">
        <v>1</v>
      </c>
      <c r="E26" s="10">
        <v>6</v>
      </c>
      <c r="F26" s="10">
        <v>1</v>
      </c>
      <c r="G26" s="10">
        <v>7</v>
      </c>
      <c r="H26" s="10">
        <v>500</v>
      </c>
      <c r="I26" s="10">
        <v>5</v>
      </c>
      <c r="J26" s="10">
        <v>4</v>
      </c>
      <c r="K26" s="10">
        <v>4</v>
      </c>
      <c r="L26" s="10">
        <v>1</v>
      </c>
      <c r="M26" s="10">
        <v>4</v>
      </c>
      <c r="N26" s="10">
        <v>3</v>
      </c>
      <c r="O26" s="10">
        <v>1</v>
      </c>
      <c r="P26" s="10">
        <v>1</v>
      </c>
      <c r="Q26" s="10">
        <v>0</v>
      </c>
      <c r="R26" s="10"/>
      <c r="S26" s="10">
        <v>1</v>
      </c>
      <c r="T26" s="10">
        <v>1</v>
      </c>
      <c r="U26" s="10">
        <v>4</v>
      </c>
      <c r="V26" s="11">
        <v>1</v>
      </c>
    </row>
    <row r="27" spans="1:22" x14ac:dyDescent="0.3">
      <c r="A27" s="9" t="s">
        <v>139</v>
      </c>
      <c r="B27" s="10">
        <v>1</v>
      </c>
      <c r="C27" s="10">
        <v>0</v>
      </c>
      <c r="D27" s="10">
        <v>1</v>
      </c>
      <c r="E27" s="10">
        <v>1</v>
      </c>
      <c r="F27" s="10">
        <v>0</v>
      </c>
      <c r="G27" s="10">
        <v>1</v>
      </c>
      <c r="H27" s="10" t="s">
        <v>24</v>
      </c>
      <c r="I27" s="10">
        <v>5</v>
      </c>
      <c r="J27" s="10">
        <v>6</v>
      </c>
      <c r="K27" s="10">
        <v>4</v>
      </c>
      <c r="L27" s="10">
        <v>1</v>
      </c>
      <c r="M27" s="10">
        <v>3</v>
      </c>
      <c r="N27" s="10">
        <v>3</v>
      </c>
      <c r="O27" s="10">
        <v>1</v>
      </c>
      <c r="P27" s="10">
        <v>0</v>
      </c>
      <c r="Q27" s="10">
        <v>1</v>
      </c>
      <c r="R27" s="10">
        <v>3</v>
      </c>
      <c r="S27" s="10">
        <v>0</v>
      </c>
      <c r="T27" s="10">
        <v>1</v>
      </c>
      <c r="U27" s="10">
        <v>4</v>
      </c>
      <c r="V27" s="11">
        <v>1</v>
      </c>
    </row>
    <row r="28" spans="1:22" x14ac:dyDescent="0.3">
      <c r="A28" s="9" t="s">
        <v>138</v>
      </c>
      <c r="B28" s="10">
        <v>1</v>
      </c>
      <c r="C28" s="10">
        <v>0</v>
      </c>
      <c r="D28" s="10">
        <v>2</v>
      </c>
      <c r="E28" s="10">
        <v>1</v>
      </c>
      <c r="F28" s="10">
        <v>0</v>
      </c>
      <c r="G28" s="10">
        <v>1</v>
      </c>
      <c r="H28" s="10" t="s">
        <v>24</v>
      </c>
      <c r="I28" s="10">
        <v>5</v>
      </c>
      <c r="J28" s="10">
        <v>5</v>
      </c>
      <c r="K28" s="10">
        <v>2</v>
      </c>
      <c r="L28" s="10">
        <v>1</v>
      </c>
      <c r="M28" s="10">
        <v>3</v>
      </c>
      <c r="N28" s="10">
        <v>3</v>
      </c>
      <c r="O28" s="10">
        <v>1</v>
      </c>
      <c r="P28" s="10">
        <v>0</v>
      </c>
      <c r="Q28" s="10">
        <v>0</v>
      </c>
      <c r="R28" s="10"/>
      <c r="S28" s="10">
        <v>0</v>
      </c>
      <c r="T28" s="10">
        <v>1</v>
      </c>
      <c r="U28" s="10">
        <v>4</v>
      </c>
      <c r="V28" s="11">
        <v>1</v>
      </c>
    </row>
    <row r="29" spans="1:22" x14ac:dyDescent="0.3">
      <c r="A29" s="9" t="s">
        <v>137</v>
      </c>
      <c r="B29" s="10">
        <v>1</v>
      </c>
      <c r="C29" s="10">
        <v>1</v>
      </c>
      <c r="D29" s="10">
        <v>0</v>
      </c>
      <c r="E29" s="10">
        <v>1</v>
      </c>
      <c r="F29" s="10">
        <v>1</v>
      </c>
      <c r="G29" s="10">
        <v>1</v>
      </c>
      <c r="H29" s="10" t="s">
        <v>24</v>
      </c>
      <c r="I29" s="10">
        <v>5</v>
      </c>
      <c r="J29" s="10">
        <v>7</v>
      </c>
      <c r="K29" s="10">
        <v>4</v>
      </c>
      <c r="L29" s="10">
        <v>1</v>
      </c>
      <c r="M29" s="10">
        <v>4</v>
      </c>
      <c r="N29" s="10">
        <v>3</v>
      </c>
      <c r="O29" s="10">
        <v>0</v>
      </c>
      <c r="P29" s="10">
        <v>0</v>
      </c>
      <c r="Q29" s="10">
        <v>1</v>
      </c>
      <c r="R29" s="10">
        <v>2</v>
      </c>
      <c r="S29" s="10">
        <v>1</v>
      </c>
      <c r="T29" s="10">
        <v>1</v>
      </c>
      <c r="U29" s="10">
        <v>2</v>
      </c>
      <c r="V29" s="11">
        <v>1</v>
      </c>
    </row>
    <row r="30" spans="1:22" x14ac:dyDescent="0.3">
      <c r="A30" s="9" t="s">
        <v>136</v>
      </c>
      <c r="B30" s="10">
        <v>1</v>
      </c>
      <c r="C30" s="10">
        <v>0</v>
      </c>
      <c r="D30" s="10">
        <v>2</v>
      </c>
      <c r="E30" s="10">
        <v>1</v>
      </c>
      <c r="F30" s="10">
        <v>0</v>
      </c>
      <c r="G30" s="10">
        <v>1</v>
      </c>
      <c r="H30" s="10" t="s">
        <v>24</v>
      </c>
      <c r="I30" s="10">
        <v>5</v>
      </c>
      <c r="J30" s="10">
        <v>6</v>
      </c>
      <c r="K30" s="10">
        <v>4</v>
      </c>
      <c r="L30" s="10">
        <v>1</v>
      </c>
      <c r="M30" s="10">
        <v>3</v>
      </c>
      <c r="N30" s="10">
        <v>3</v>
      </c>
      <c r="O30" s="10">
        <v>1</v>
      </c>
      <c r="P30" s="10">
        <v>0</v>
      </c>
      <c r="Q30" s="10">
        <v>0</v>
      </c>
      <c r="R30" s="10"/>
      <c r="S30" s="10">
        <v>0</v>
      </c>
      <c r="T30" s="10">
        <v>1</v>
      </c>
      <c r="U30" s="10">
        <v>4</v>
      </c>
      <c r="V30" s="11">
        <v>1</v>
      </c>
    </row>
    <row r="31" spans="1:22" x14ac:dyDescent="0.3">
      <c r="A31" s="9" t="s">
        <v>135</v>
      </c>
      <c r="B31" s="10">
        <v>1</v>
      </c>
      <c r="C31" s="10">
        <v>0</v>
      </c>
      <c r="D31" s="10">
        <v>4</v>
      </c>
      <c r="E31" s="10">
        <v>6</v>
      </c>
      <c r="F31" s="10">
        <v>0</v>
      </c>
      <c r="G31" s="10">
        <v>7</v>
      </c>
      <c r="H31" s="10">
        <v>1000</v>
      </c>
      <c r="I31" s="10">
        <v>5</v>
      </c>
      <c r="J31" s="10">
        <v>3</v>
      </c>
      <c r="K31" s="10">
        <v>4</v>
      </c>
      <c r="L31" s="10">
        <v>1</v>
      </c>
      <c r="M31" s="10">
        <v>4</v>
      </c>
      <c r="N31" s="10">
        <v>3</v>
      </c>
      <c r="O31" s="10">
        <v>0</v>
      </c>
      <c r="P31" s="10">
        <v>0</v>
      </c>
      <c r="Q31" s="10">
        <v>0</v>
      </c>
      <c r="R31" s="10"/>
      <c r="S31" s="10">
        <v>1</v>
      </c>
      <c r="T31" s="10" t="e">
        <v>#N/A</v>
      </c>
      <c r="U31" s="10">
        <v>4</v>
      </c>
      <c r="V31" s="11">
        <v>1</v>
      </c>
    </row>
    <row r="32" spans="1:22" x14ac:dyDescent="0.3">
      <c r="A32" s="9" t="s">
        <v>134</v>
      </c>
      <c r="B32" s="10">
        <v>1</v>
      </c>
      <c r="C32" s="10">
        <v>0</v>
      </c>
      <c r="D32" s="10">
        <v>1</v>
      </c>
      <c r="E32" s="10">
        <v>1</v>
      </c>
      <c r="F32" s="10">
        <v>0</v>
      </c>
      <c r="G32" s="10">
        <v>1</v>
      </c>
      <c r="H32" s="10" t="s">
        <v>24</v>
      </c>
      <c r="I32" s="10">
        <v>9</v>
      </c>
      <c r="J32" s="10">
        <v>3</v>
      </c>
      <c r="K32" s="10">
        <v>4</v>
      </c>
      <c r="L32" s="10">
        <v>1</v>
      </c>
      <c r="M32" s="10">
        <v>3</v>
      </c>
      <c r="N32" s="10">
        <v>3</v>
      </c>
      <c r="O32" s="10">
        <v>1</v>
      </c>
      <c r="P32" s="10">
        <v>0</v>
      </c>
      <c r="Q32" s="10">
        <v>1</v>
      </c>
      <c r="R32" s="10">
        <v>3</v>
      </c>
      <c r="S32" s="10">
        <v>1</v>
      </c>
      <c r="T32" s="10">
        <v>0</v>
      </c>
      <c r="U32" s="10">
        <v>4</v>
      </c>
      <c r="V32" s="11">
        <v>1</v>
      </c>
    </row>
    <row r="33" spans="1:22" x14ac:dyDescent="0.3">
      <c r="A33" s="9" t="s">
        <v>133</v>
      </c>
      <c r="B33" s="10">
        <v>1</v>
      </c>
      <c r="C33" s="10">
        <v>0</v>
      </c>
      <c r="D33" s="10">
        <v>1</v>
      </c>
      <c r="E33" s="10">
        <v>1</v>
      </c>
      <c r="F33" s="10">
        <v>1</v>
      </c>
      <c r="G33" s="10">
        <v>2</v>
      </c>
      <c r="H33" s="10">
        <v>2000</v>
      </c>
      <c r="I33" s="10">
        <v>5</v>
      </c>
      <c r="J33" s="10">
        <v>4</v>
      </c>
      <c r="K33" s="10">
        <v>3</v>
      </c>
      <c r="L33" s="10">
        <v>1</v>
      </c>
      <c r="M33" s="10">
        <v>4</v>
      </c>
      <c r="N33" s="10">
        <v>4</v>
      </c>
      <c r="O33" s="10">
        <v>0</v>
      </c>
      <c r="P33" s="10">
        <v>0</v>
      </c>
      <c r="Q33" s="10">
        <v>0</v>
      </c>
      <c r="R33" s="10"/>
      <c r="S33" s="10">
        <v>1</v>
      </c>
      <c r="T33" s="10">
        <v>1</v>
      </c>
      <c r="U33" s="10">
        <v>2</v>
      </c>
      <c r="V33" s="11">
        <v>1</v>
      </c>
    </row>
    <row r="34" spans="1:22" x14ac:dyDescent="0.3">
      <c r="A34" s="9" t="s">
        <v>132</v>
      </c>
      <c r="B34" s="10">
        <v>1</v>
      </c>
      <c r="C34" s="10">
        <v>0</v>
      </c>
      <c r="D34" s="10">
        <v>2</v>
      </c>
      <c r="E34" s="10">
        <v>1</v>
      </c>
      <c r="F34" s="10">
        <v>0</v>
      </c>
      <c r="G34" s="10">
        <v>1</v>
      </c>
      <c r="H34" s="10" t="s">
        <v>24</v>
      </c>
      <c r="I34" s="10">
        <v>5</v>
      </c>
      <c r="J34" s="10">
        <v>3</v>
      </c>
      <c r="K34" s="10">
        <v>4</v>
      </c>
      <c r="L34" s="10">
        <v>1</v>
      </c>
      <c r="M34" s="10">
        <v>3</v>
      </c>
      <c r="N34" s="10">
        <v>3</v>
      </c>
      <c r="O34" s="10">
        <v>1</v>
      </c>
      <c r="P34" s="10">
        <v>0</v>
      </c>
      <c r="Q34" s="10">
        <v>0</v>
      </c>
      <c r="R34" s="10"/>
      <c r="S34" s="10">
        <v>0</v>
      </c>
      <c r="T34" s="10">
        <v>1</v>
      </c>
      <c r="U34" s="10">
        <v>4</v>
      </c>
      <c r="V34" s="11">
        <v>1</v>
      </c>
    </row>
    <row r="35" spans="1:22" x14ac:dyDescent="0.3">
      <c r="A35" s="9" t="s">
        <v>131</v>
      </c>
      <c r="B35" s="10">
        <v>1</v>
      </c>
      <c r="C35" s="10">
        <v>0</v>
      </c>
      <c r="D35" s="10">
        <v>2</v>
      </c>
      <c r="E35" s="10">
        <v>1</v>
      </c>
      <c r="F35" s="10">
        <v>0</v>
      </c>
      <c r="G35" s="10">
        <v>1</v>
      </c>
      <c r="H35" s="10" t="s">
        <v>24</v>
      </c>
      <c r="I35" s="10">
        <v>5</v>
      </c>
      <c r="J35" s="10">
        <v>1</v>
      </c>
      <c r="K35" s="10">
        <v>4</v>
      </c>
      <c r="L35" s="10">
        <v>1</v>
      </c>
      <c r="M35" s="10">
        <v>3</v>
      </c>
      <c r="N35" s="10">
        <v>3</v>
      </c>
      <c r="O35" s="10">
        <v>1</v>
      </c>
      <c r="P35" s="10">
        <v>0</v>
      </c>
      <c r="Q35" s="10">
        <v>0</v>
      </c>
      <c r="R35" s="10"/>
      <c r="S35" s="10">
        <v>0</v>
      </c>
      <c r="T35" s="10">
        <v>1</v>
      </c>
      <c r="U35" s="10">
        <v>4</v>
      </c>
      <c r="V35" s="11">
        <v>1</v>
      </c>
    </row>
    <row r="36" spans="1:22" x14ac:dyDescent="0.3">
      <c r="A36" s="9" t="s">
        <v>130</v>
      </c>
      <c r="B36" s="10">
        <v>1</v>
      </c>
      <c r="C36" s="10">
        <v>1</v>
      </c>
      <c r="D36" s="10">
        <v>1</v>
      </c>
      <c r="E36" s="10">
        <v>1</v>
      </c>
      <c r="F36" s="10">
        <v>0</v>
      </c>
      <c r="G36" s="10">
        <v>7</v>
      </c>
      <c r="H36" s="10">
        <v>2000</v>
      </c>
      <c r="I36" s="10">
        <v>6</v>
      </c>
      <c r="J36" s="10">
        <v>2</v>
      </c>
      <c r="K36" s="10">
        <v>4</v>
      </c>
      <c r="L36" s="10">
        <v>1</v>
      </c>
      <c r="M36" s="10">
        <v>4</v>
      </c>
      <c r="N36" s="10">
        <v>2</v>
      </c>
      <c r="O36" s="10">
        <v>1</v>
      </c>
      <c r="P36" s="10">
        <v>0</v>
      </c>
      <c r="Q36" s="10">
        <v>1</v>
      </c>
      <c r="R36" s="10">
        <v>2</v>
      </c>
      <c r="S36" s="10">
        <v>0</v>
      </c>
      <c r="T36" s="10">
        <v>1</v>
      </c>
      <c r="U36" s="10">
        <v>2</v>
      </c>
      <c r="V36" s="11">
        <v>1</v>
      </c>
    </row>
    <row r="37" spans="1:22" x14ac:dyDescent="0.3">
      <c r="A37" s="9" t="s">
        <v>129</v>
      </c>
      <c r="B37" s="10">
        <v>1</v>
      </c>
      <c r="C37" s="10">
        <v>1</v>
      </c>
      <c r="D37" s="10">
        <v>1</v>
      </c>
      <c r="E37" s="10">
        <v>1</v>
      </c>
      <c r="F37" s="10">
        <v>0</v>
      </c>
      <c r="G37" s="10">
        <v>7</v>
      </c>
      <c r="H37" s="10">
        <v>2500</v>
      </c>
      <c r="I37" s="10">
        <v>6</v>
      </c>
      <c r="J37" s="10">
        <v>2</v>
      </c>
      <c r="K37" s="10">
        <v>4</v>
      </c>
      <c r="L37" s="10">
        <v>2</v>
      </c>
      <c r="M37" s="10">
        <v>4</v>
      </c>
      <c r="N37" s="10">
        <v>4</v>
      </c>
      <c r="O37" s="10">
        <v>0</v>
      </c>
      <c r="P37" s="10">
        <v>0</v>
      </c>
      <c r="Q37" s="10">
        <v>1</v>
      </c>
      <c r="R37" s="10">
        <v>2</v>
      </c>
      <c r="S37" s="10">
        <v>0</v>
      </c>
      <c r="T37" s="10">
        <v>1</v>
      </c>
      <c r="U37" s="10" t="e">
        <v>#N/A</v>
      </c>
      <c r="V37" s="11">
        <v>1</v>
      </c>
    </row>
    <row r="38" spans="1:22" x14ac:dyDescent="0.3">
      <c r="A38" s="9" t="s">
        <v>128</v>
      </c>
      <c r="B38" s="10">
        <v>1</v>
      </c>
      <c r="C38" s="10">
        <v>1</v>
      </c>
      <c r="D38" s="10">
        <v>1</v>
      </c>
      <c r="E38" s="10">
        <v>1</v>
      </c>
      <c r="F38" s="10">
        <v>0</v>
      </c>
      <c r="G38" s="10">
        <v>7</v>
      </c>
      <c r="H38" s="10">
        <v>1000</v>
      </c>
      <c r="I38" s="10">
        <v>9</v>
      </c>
      <c r="J38" s="10">
        <v>1</v>
      </c>
      <c r="K38" s="10">
        <v>4</v>
      </c>
      <c r="L38" s="10">
        <v>1</v>
      </c>
      <c r="M38" s="10">
        <v>4</v>
      </c>
      <c r="N38" s="10">
        <v>4</v>
      </c>
      <c r="O38" s="10">
        <v>0</v>
      </c>
      <c r="P38" s="10">
        <v>0</v>
      </c>
      <c r="Q38" s="10">
        <v>1</v>
      </c>
      <c r="R38" s="10">
        <v>2</v>
      </c>
      <c r="S38" s="10">
        <v>1</v>
      </c>
      <c r="T38" s="10" t="e">
        <v>#N/A</v>
      </c>
      <c r="U38" s="10" t="e">
        <v>#N/A</v>
      </c>
      <c r="V38" s="11">
        <v>1</v>
      </c>
    </row>
    <row r="39" spans="1:22" x14ac:dyDescent="0.3">
      <c r="A39" s="9" t="s">
        <v>127</v>
      </c>
      <c r="B39" s="10">
        <v>1</v>
      </c>
      <c r="C39" s="10">
        <v>1</v>
      </c>
      <c r="D39" s="10">
        <v>1</v>
      </c>
      <c r="E39" s="10">
        <v>3</v>
      </c>
      <c r="F39" s="10">
        <v>0</v>
      </c>
      <c r="G39" s="10">
        <v>7</v>
      </c>
      <c r="H39" s="10" t="s">
        <v>24</v>
      </c>
      <c r="I39" s="10">
        <v>2</v>
      </c>
      <c r="J39" s="10">
        <v>1</v>
      </c>
      <c r="K39" s="10" t="e">
        <v>#N/A</v>
      </c>
      <c r="L39" s="10">
        <v>1</v>
      </c>
      <c r="M39" s="10">
        <v>4</v>
      </c>
      <c r="N39" s="10">
        <v>3</v>
      </c>
      <c r="O39" s="10">
        <v>1</v>
      </c>
      <c r="P39" s="10">
        <v>0</v>
      </c>
      <c r="Q39" s="10">
        <v>1</v>
      </c>
      <c r="R39" s="10">
        <v>12</v>
      </c>
      <c r="S39" s="10">
        <v>1</v>
      </c>
      <c r="T39" s="10" t="e">
        <v>#N/A</v>
      </c>
      <c r="U39" s="10" t="e">
        <v>#N/A</v>
      </c>
      <c r="V39" s="11">
        <v>1</v>
      </c>
    </row>
    <row r="40" spans="1:22" x14ac:dyDescent="0.3">
      <c r="A40" s="9" t="s">
        <v>126</v>
      </c>
      <c r="B40" s="10">
        <v>1</v>
      </c>
      <c r="C40" s="10">
        <v>0</v>
      </c>
      <c r="D40" s="10">
        <v>2</v>
      </c>
      <c r="E40" s="10">
        <v>1</v>
      </c>
      <c r="F40" s="10">
        <v>1</v>
      </c>
      <c r="G40" s="10">
        <v>6</v>
      </c>
      <c r="H40" s="10">
        <v>2000</v>
      </c>
      <c r="I40" s="10">
        <v>2</v>
      </c>
      <c r="J40" s="10">
        <v>2</v>
      </c>
      <c r="K40" s="10">
        <v>4</v>
      </c>
      <c r="L40" s="10">
        <v>1</v>
      </c>
      <c r="M40" s="10">
        <v>4</v>
      </c>
      <c r="N40" s="10">
        <v>3</v>
      </c>
      <c r="O40" s="10">
        <v>1</v>
      </c>
      <c r="P40" s="10">
        <v>0</v>
      </c>
      <c r="Q40" s="10">
        <v>1</v>
      </c>
      <c r="R40" s="10">
        <v>50</v>
      </c>
      <c r="S40" s="10">
        <v>1</v>
      </c>
      <c r="T40" s="10">
        <v>0</v>
      </c>
      <c r="U40" s="10" t="e">
        <v>#N/A</v>
      </c>
      <c r="V40" s="11">
        <v>1</v>
      </c>
    </row>
    <row r="41" spans="1:22" x14ac:dyDescent="0.3">
      <c r="A41" s="9" t="s">
        <v>125</v>
      </c>
      <c r="B41" s="10">
        <v>1</v>
      </c>
      <c r="C41" s="10">
        <v>0</v>
      </c>
      <c r="D41" s="10">
        <v>3</v>
      </c>
      <c r="E41" s="10">
        <v>4</v>
      </c>
      <c r="F41" s="10">
        <v>0</v>
      </c>
      <c r="G41" s="10">
        <v>7</v>
      </c>
      <c r="H41" s="10">
        <v>500</v>
      </c>
      <c r="I41" s="10">
        <v>2</v>
      </c>
      <c r="J41" s="10">
        <v>2</v>
      </c>
      <c r="K41" s="10">
        <v>4</v>
      </c>
      <c r="L41" s="10">
        <v>1</v>
      </c>
      <c r="M41" s="10">
        <v>4</v>
      </c>
      <c r="N41" s="10">
        <v>3</v>
      </c>
      <c r="O41" s="10">
        <v>0</v>
      </c>
      <c r="P41" s="10">
        <v>1</v>
      </c>
      <c r="Q41" s="10">
        <v>1</v>
      </c>
      <c r="R41" s="10">
        <v>3</v>
      </c>
      <c r="S41" s="10">
        <v>1</v>
      </c>
      <c r="T41" s="10" t="e">
        <v>#N/A</v>
      </c>
      <c r="U41" s="10" t="e">
        <v>#N/A</v>
      </c>
      <c r="V41" s="11">
        <v>1</v>
      </c>
    </row>
    <row r="42" spans="1:22" x14ac:dyDescent="0.3">
      <c r="A42" s="9" t="s">
        <v>124</v>
      </c>
      <c r="B42" s="10">
        <v>1</v>
      </c>
      <c r="C42" s="10">
        <v>0</v>
      </c>
      <c r="D42" s="10">
        <v>1</v>
      </c>
      <c r="E42" s="10">
        <v>1</v>
      </c>
      <c r="F42" s="10">
        <v>1</v>
      </c>
      <c r="G42" s="10">
        <v>9</v>
      </c>
      <c r="H42" s="10" t="s">
        <v>24</v>
      </c>
      <c r="I42" s="10">
        <v>2</v>
      </c>
      <c r="J42" s="10">
        <v>4</v>
      </c>
      <c r="K42" s="10">
        <v>4</v>
      </c>
      <c r="L42" s="10">
        <v>1</v>
      </c>
      <c r="M42" s="10">
        <v>4</v>
      </c>
      <c r="N42" s="10">
        <v>3</v>
      </c>
      <c r="O42" s="10">
        <v>1</v>
      </c>
      <c r="P42" s="10">
        <v>1</v>
      </c>
      <c r="Q42" s="10">
        <v>1</v>
      </c>
      <c r="R42" s="10">
        <v>2</v>
      </c>
      <c r="S42" s="10">
        <v>0</v>
      </c>
      <c r="T42" s="10" t="e">
        <v>#N/A</v>
      </c>
      <c r="U42" s="10">
        <v>4</v>
      </c>
      <c r="V42" s="11">
        <v>1</v>
      </c>
    </row>
    <row r="43" spans="1:22" x14ac:dyDescent="0.3">
      <c r="A43" s="9" t="s">
        <v>123</v>
      </c>
      <c r="B43" s="10">
        <v>1</v>
      </c>
      <c r="C43" s="10">
        <v>0</v>
      </c>
      <c r="D43" s="10">
        <v>1</v>
      </c>
      <c r="E43" s="10">
        <v>1</v>
      </c>
      <c r="F43" s="10">
        <v>0</v>
      </c>
      <c r="G43" s="10">
        <v>7</v>
      </c>
      <c r="H43" s="10" t="s">
        <v>24</v>
      </c>
      <c r="I43" s="10">
        <v>5</v>
      </c>
      <c r="J43" s="10">
        <v>3</v>
      </c>
      <c r="K43" s="10">
        <v>4</v>
      </c>
      <c r="L43" s="10">
        <v>1</v>
      </c>
      <c r="M43" s="10">
        <v>4</v>
      </c>
      <c r="N43" s="10">
        <v>3</v>
      </c>
      <c r="O43" s="10">
        <v>1</v>
      </c>
      <c r="P43" s="10">
        <v>0</v>
      </c>
      <c r="Q43" s="10">
        <v>1</v>
      </c>
      <c r="R43" s="10">
        <v>3</v>
      </c>
      <c r="S43" s="10">
        <v>0</v>
      </c>
      <c r="T43" s="10">
        <v>1</v>
      </c>
      <c r="U43" s="10">
        <v>4</v>
      </c>
      <c r="V43" s="11">
        <v>1</v>
      </c>
    </row>
    <row r="44" spans="1:22" x14ac:dyDescent="0.3">
      <c r="A44" s="9" t="s">
        <v>122</v>
      </c>
      <c r="B44" s="10">
        <v>1</v>
      </c>
      <c r="C44" s="10">
        <v>0</v>
      </c>
      <c r="D44" s="10">
        <v>2</v>
      </c>
      <c r="E44" s="10">
        <v>1</v>
      </c>
      <c r="F44" s="10">
        <v>0</v>
      </c>
      <c r="G44" s="10">
        <v>7</v>
      </c>
      <c r="H44" s="10" t="s">
        <v>24</v>
      </c>
      <c r="I44" s="10">
        <v>2</v>
      </c>
      <c r="J44" s="10">
        <v>4</v>
      </c>
      <c r="K44" s="10">
        <v>2</v>
      </c>
      <c r="L44" s="10">
        <v>1</v>
      </c>
      <c r="M44" s="10">
        <v>4</v>
      </c>
      <c r="N44" s="10">
        <v>3</v>
      </c>
      <c r="O44" s="10">
        <v>1</v>
      </c>
      <c r="P44" s="10">
        <v>0</v>
      </c>
      <c r="Q44" s="10">
        <v>1</v>
      </c>
      <c r="R44" s="10">
        <v>3</v>
      </c>
      <c r="S44" s="10">
        <v>1</v>
      </c>
      <c r="T44" s="10">
        <v>1</v>
      </c>
      <c r="U44" s="10">
        <v>4</v>
      </c>
      <c r="V44" s="11">
        <v>1</v>
      </c>
    </row>
    <row r="45" spans="1:22" x14ac:dyDescent="0.3">
      <c r="A45" s="9" t="s">
        <v>121</v>
      </c>
      <c r="B45" s="10">
        <v>1</v>
      </c>
      <c r="C45" s="10">
        <v>0</v>
      </c>
      <c r="D45" s="10">
        <v>5</v>
      </c>
      <c r="E45" s="10">
        <v>6</v>
      </c>
      <c r="F45" s="10">
        <v>0</v>
      </c>
      <c r="G45" s="10">
        <v>1</v>
      </c>
      <c r="H45" s="10">
        <v>1000</v>
      </c>
      <c r="I45" s="10">
        <v>2</v>
      </c>
      <c r="J45" s="10">
        <v>2</v>
      </c>
      <c r="K45" s="10">
        <v>4</v>
      </c>
      <c r="L45" s="10">
        <v>1</v>
      </c>
      <c r="M45" s="10">
        <v>3</v>
      </c>
      <c r="N45" s="10">
        <v>3</v>
      </c>
      <c r="O45" s="10">
        <v>1</v>
      </c>
      <c r="P45" s="10">
        <v>0</v>
      </c>
      <c r="Q45" s="10">
        <v>1</v>
      </c>
      <c r="R45" s="10">
        <v>3</v>
      </c>
      <c r="S45" s="10">
        <v>0</v>
      </c>
      <c r="T45" s="10">
        <v>1</v>
      </c>
      <c r="U45" s="10">
        <v>3</v>
      </c>
      <c r="V45" s="11">
        <v>1</v>
      </c>
    </row>
    <row r="46" spans="1:22" x14ac:dyDescent="0.3">
      <c r="A46" s="9" t="s">
        <v>120</v>
      </c>
      <c r="B46" s="10">
        <v>1</v>
      </c>
      <c r="C46" s="10">
        <v>0</v>
      </c>
      <c r="D46" s="10">
        <v>5</v>
      </c>
      <c r="E46" s="10">
        <v>6</v>
      </c>
      <c r="F46" s="10">
        <v>0</v>
      </c>
      <c r="G46" s="10">
        <v>7</v>
      </c>
      <c r="H46" s="10">
        <v>500</v>
      </c>
      <c r="I46" s="10">
        <v>6</v>
      </c>
      <c r="J46" s="10">
        <v>4</v>
      </c>
      <c r="K46" s="10">
        <v>4</v>
      </c>
      <c r="L46" s="10">
        <v>2</v>
      </c>
      <c r="M46" s="10">
        <v>4</v>
      </c>
      <c r="N46" s="10">
        <v>3</v>
      </c>
      <c r="O46" s="10">
        <v>0</v>
      </c>
      <c r="P46" s="10">
        <v>0</v>
      </c>
      <c r="Q46" s="10">
        <v>1</v>
      </c>
      <c r="R46" s="10">
        <v>3</v>
      </c>
      <c r="S46" s="10">
        <v>0</v>
      </c>
      <c r="T46" s="10">
        <v>1</v>
      </c>
      <c r="U46" s="10">
        <v>2</v>
      </c>
      <c r="V46" s="11">
        <v>1</v>
      </c>
    </row>
    <row r="47" spans="1:22" x14ac:dyDescent="0.3">
      <c r="A47" s="9" t="s">
        <v>119</v>
      </c>
      <c r="B47" s="10">
        <v>1</v>
      </c>
      <c r="C47" s="10">
        <v>0</v>
      </c>
      <c r="D47" s="10">
        <v>4</v>
      </c>
      <c r="E47" s="10">
        <v>1</v>
      </c>
      <c r="F47" s="10">
        <v>0</v>
      </c>
      <c r="G47" s="10">
        <v>1</v>
      </c>
      <c r="H47" s="10" t="s">
        <v>24</v>
      </c>
      <c r="I47" s="10">
        <v>5</v>
      </c>
      <c r="J47" s="10">
        <v>6</v>
      </c>
      <c r="K47" s="10">
        <v>4</v>
      </c>
      <c r="L47" s="10">
        <v>1</v>
      </c>
      <c r="M47" s="10">
        <v>4</v>
      </c>
      <c r="N47" s="10">
        <v>3</v>
      </c>
      <c r="O47" s="10">
        <v>1</v>
      </c>
      <c r="P47" s="10">
        <v>0</v>
      </c>
      <c r="Q47" s="10">
        <v>1</v>
      </c>
      <c r="R47" s="10">
        <v>3</v>
      </c>
      <c r="S47" s="10">
        <v>0</v>
      </c>
      <c r="T47" s="10">
        <v>1</v>
      </c>
      <c r="U47" s="10">
        <v>1</v>
      </c>
      <c r="V47" s="11">
        <v>1</v>
      </c>
    </row>
    <row r="48" spans="1:22" x14ac:dyDescent="0.3">
      <c r="A48" s="9" t="s">
        <v>118</v>
      </c>
      <c r="B48" s="10">
        <v>1</v>
      </c>
      <c r="C48" s="10">
        <v>0</v>
      </c>
      <c r="D48" s="10">
        <v>2</v>
      </c>
      <c r="E48" s="10">
        <v>1</v>
      </c>
      <c r="F48" s="10">
        <v>0</v>
      </c>
      <c r="G48" s="10">
        <v>7</v>
      </c>
      <c r="H48" s="10" t="s">
        <v>24</v>
      </c>
      <c r="I48" s="10">
        <v>5</v>
      </c>
      <c r="J48" s="10">
        <v>2</v>
      </c>
      <c r="K48" s="10">
        <v>3</v>
      </c>
      <c r="L48" s="10">
        <v>1</v>
      </c>
      <c r="M48" s="10">
        <v>5</v>
      </c>
      <c r="N48" s="10">
        <v>3</v>
      </c>
      <c r="O48" s="10">
        <v>1</v>
      </c>
      <c r="P48" s="10">
        <v>0</v>
      </c>
      <c r="Q48" s="10">
        <v>0</v>
      </c>
      <c r="R48" s="10"/>
      <c r="S48" s="10">
        <v>1</v>
      </c>
      <c r="T48" s="10">
        <v>1</v>
      </c>
      <c r="U48" s="10">
        <v>2</v>
      </c>
      <c r="V48" s="11">
        <v>1</v>
      </c>
    </row>
    <row r="49" spans="1:22" x14ac:dyDescent="0.3">
      <c r="A49" s="9" t="s">
        <v>117</v>
      </c>
      <c r="B49" s="10">
        <v>1</v>
      </c>
      <c r="C49" s="10">
        <v>0</v>
      </c>
      <c r="D49" s="10">
        <v>1</v>
      </c>
      <c r="E49" s="10">
        <v>1</v>
      </c>
      <c r="F49" s="10">
        <v>0</v>
      </c>
      <c r="G49" s="10">
        <v>7</v>
      </c>
      <c r="H49" s="10" t="s">
        <v>24</v>
      </c>
      <c r="I49" s="10">
        <v>7</v>
      </c>
      <c r="J49" s="10">
        <v>7</v>
      </c>
      <c r="K49" s="10">
        <v>4</v>
      </c>
      <c r="L49" s="10">
        <v>1</v>
      </c>
      <c r="M49" s="10">
        <v>4</v>
      </c>
      <c r="N49" s="10">
        <v>3</v>
      </c>
      <c r="O49" s="10">
        <v>1</v>
      </c>
      <c r="P49" s="10">
        <v>0</v>
      </c>
      <c r="Q49" s="10">
        <v>1</v>
      </c>
      <c r="R49" s="10">
        <v>3</v>
      </c>
      <c r="S49" s="10">
        <v>0</v>
      </c>
      <c r="T49" s="10">
        <v>1</v>
      </c>
      <c r="U49" s="10">
        <v>3</v>
      </c>
      <c r="V49" s="11">
        <v>3</v>
      </c>
    </row>
    <row r="50" spans="1:22" x14ac:dyDescent="0.3">
      <c r="A50" s="9" t="s">
        <v>116</v>
      </c>
      <c r="B50" s="10">
        <v>1</v>
      </c>
      <c r="C50" s="10">
        <v>0</v>
      </c>
      <c r="D50" s="10">
        <v>2</v>
      </c>
      <c r="E50" s="10">
        <v>1</v>
      </c>
      <c r="F50" s="10">
        <v>0</v>
      </c>
      <c r="G50" s="10">
        <v>7</v>
      </c>
      <c r="H50" s="10" t="s">
        <v>24</v>
      </c>
      <c r="I50" s="10">
        <v>2</v>
      </c>
      <c r="J50" s="10">
        <v>1</v>
      </c>
      <c r="K50" s="10">
        <v>3</v>
      </c>
      <c r="L50" s="10">
        <v>1</v>
      </c>
      <c r="M50" s="10">
        <v>4</v>
      </c>
      <c r="N50" s="10">
        <v>3</v>
      </c>
      <c r="O50" s="10">
        <v>1</v>
      </c>
      <c r="P50" s="10">
        <v>0</v>
      </c>
      <c r="Q50" s="10">
        <v>1</v>
      </c>
      <c r="R50" s="10">
        <v>4</v>
      </c>
      <c r="S50" s="10">
        <v>1</v>
      </c>
      <c r="T50" s="10">
        <v>1</v>
      </c>
      <c r="U50" s="10">
        <v>1</v>
      </c>
      <c r="V50" s="11">
        <v>1</v>
      </c>
    </row>
    <row r="51" spans="1:22" x14ac:dyDescent="0.3">
      <c r="A51" s="9" t="s">
        <v>115</v>
      </c>
      <c r="B51" s="10">
        <v>1</v>
      </c>
      <c r="C51" s="10">
        <v>0</v>
      </c>
      <c r="D51" s="10">
        <v>4</v>
      </c>
      <c r="E51" s="10">
        <v>1</v>
      </c>
      <c r="F51" s="10">
        <v>0</v>
      </c>
      <c r="G51" s="10">
        <v>3</v>
      </c>
      <c r="H51" s="10" t="s">
        <v>24</v>
      </c>
      <c r="I51" s="10">
        <v>4</v>
      </c>
      <c r="J51" s="10">
        <v>6</v>
      </c>
      <c r="K51" s="10">
        <v>3</v>
      </c>
      <c r="L51" s="10">
        <v>1</v>
      </c>
      <c r="M51" s="10">
        <v>4</v>
      </c>
      <c r="N51" s="10">
        <v>1</v>
      </c>
      <c r="O51" s="10">
        <v>1</v>
      </c>
      <c r="P51" s="10">
        <v>1</v>
      </c>
      <c r="Q51" s="10">
        <v>1</v>
      </c>
      <c r="R51" s="10">
        <v>20</v>
      </c>
      <c r="S51" s="10">
        <v>1</v>
      </c>
      <c r="T51" s="10">
        <v>1</v>
      </c>
      <c r="U51" s="10">
        <v>2</v>
      </c>
      <c r="V51" s="11">
        <v>1</v>
      </c>
    </row>
    <row r="52" spans="1:22" x14ac:dyDescent="0.3">
      <c r="A52" s="9" t="s">
        <v>114</v>
      </c>
      <c r="B52" s="10">
        <v>1</v>
      </c>
      <c r="C52" s="10">
        <v>0</v>
      </c>
      <c r="D52" s="10">
        <v>5</v>
      </c>
      <c r="E52" s="10">
        <v>1</v>
      </c>
      <c r="F52" s="10">
        <v>0</v>
      </c>
      <c r="G52" s="10">
        <v>7</v>
      </c>
      <c r="H52" s="10" t="s">
        <v>24</v>
      </c>
      <c r="I52" s="10">
        <v>2</v>
      </c>
      <c r="J52" s="10">
        <v>10</v>
      </c>
      <c r="K52" s="10">
        <v>2</v>
      </c>
      <c r="L52" s="10">
        <v>1</v>
      </c>
      <c r="M52" s="10">
        <v>4</v>
      </c>
      <c r="N52" s="10">
        <v>3</v>
      </c>
      <c r="O52" s="10">
        <v>0</v>
      </c>
      <c r="P52" s="10">
        <v>0</v>
      </c>
      <c r="Q52" s="10">
        <v>1</v>
      </c>
      <c r="R52" s="10">
        <v>3</v>
      </c>
      <c r="S52" s="10">
        <v>1</v>
      </c>
      <c r="T52" s="10">
        <v>0</v>
      </c>
      <c r="U52" s="10">
        <v>1</v>
      </c>
      <c r="V52" s="11">
        <v>1</v>
      </c>
    </row>
    <row r="53" spans="1:22" x14ac:dyDescent="0.3">
      <c r="A53" s="9" t="s">
        <v>113</v>
      </c>
      <c r="B53" s="10">
        <v>1</v>
      </c>
      <c r="C53" s="10">
        <v>0</v>
      </c>
      <c r="D53" s="10">
        <v>1</v>
      </c>
      <c r="E53" s="10">
        <v>1</v>
      </c>
      <c r="F53" s="10">
        <v>0</v>
      </c>
      <c r="G53" s="10">
        <v>7</v>
      </c>
      <c r="H53" s="10">
        <v>1000</v>
      </c>
      <c r="I53" s="10">
        <v>2</v>
      </c>
      <c r="J53" s="10">
        <v>1</v>
      </c>
      <c r="K53" s="10">
        <v>4</v>
      </c>
      <c r="L53" s="10">
        <v>1</v>
      </c>
      <c r="M53" s="10">
        <v>4</v>
      </c>
      <c r="N53" s="10">
        <v>4</v>
      </c>
      <c r="O53" s="10">
        <v>1</v>
      </c>
      <c r="P53" s="10">
        <v>0</v>
      </c>
      <c r="Q53" s="10">
        <v>1</v>
      </c>
      <c r="R53" s="10">
        <v>4</v>
      </c>
      <c r="S53" s="10">
        <v>1</v>
      </c>
      <c r="T53" s="10">
        <v>1</v>
      </c>
      <c r="U53" s="10">
        <v>2</v>
      </c>
      <c r="V53" s="11">
        <v>1</v>
      </c>
    </row>
    <row r="54" spans="1:22" x14ac:dyDescent="0.3">
      <c r="A54" s="9" t="s">
        <v>112</v>
      </c>
      <c r="B54" s="10">
        <v>0</v>
      </c>
      <c r="C54" s="10">
        <v>0</v>
      </c>
      <c r="D54" s="10">
        <v>2</v>
      </c>
      <c r="E54" s="10">
        <v>1</v>
      </c>
      <c r="F54" s="10">
        <v>0</v>
      </c>
      <c r="G54" s="10">
        <v>7</v>
      </c>
      <c r="H54" s="10">
        <v>500</v>
      </c>
      <c r="I54" s="10">
        <v>2</v>
      </c>
      <c r="J54" s="10">
        <v>5</v>
      </c>
      <c r="K54" s="10">
        <v>3</v>
      </c>
      <c r="L54" s="10">
        <v>1</v>
      </c>
      <c r="M54" s="10">
        <v>5</v>
      </c>
      <c r="N54" s="10">
        <v>3</v>
      </c>
      <c r="O54" s="10">
        <v>0</v>
      </c>
      <c r="P54" s="10">
        <v>0</v>
      </c>
      <c r="Q54" s="10">
        <v>0</v>
      </c>
      <c r="R54" s="10"/>
      <c r="S54" s="10">
        <v>1</v>
      </c>
      <c r="T54" s="10">
        <v>1</v>
      </c>
      <c r="U54" s="10" t="e">
        <v>#N/A</v>
      </c>
      <c r="V54" s="11">
        <v>1</v>
      </c>
    </row>
    <row r="55" spans="1:22" x14ac:dyDescent="0.3">
      <c r="A55" s="9" t="s">
        <v>111</v>
      </c>
      <c r="B55" s="10">
        <v>1</v>
      </c>
      <c r="C55" s="10">
        <v>0</v>
      </c>
      <c r="D55" s="10">
        <v>1</v>
      </c>
      <c r="E55" s="10">
        <v>6</v>
      </c>
      <c r="F55" s="10">
        <v>0</v>
      </c>
      <c r="G55" s="10">
        <v>7</v>
      </c>
      <c r="H55" s="10" t="s">
        <v>24</v>
      </c>
      <c r="I55" s="10">
        <v>2</v>
      </c>
      <c r="J55" s="10">
        <v>5</v>
      </c>
      <c r="K55" s="10">
        <v>3</v>
      </c>
      <c r="L55" s="10">
        <v>1</v>
      </c>
      <c r="M55" s="10">
        <v>4</v>
      </c>
      <c r="N55" s="10">
        <v>3</v>
      </c>
      <c r="O55" s="10">
        <v>0</v>
      </c>
      <c r="P55" s="10">
        <v>0</v>
      </c>
      <c r="Q55" s="10">
        <v>1</v>
      </c>
      <c r="R55" s="10">
        <v>5</v>
      </c>
      <c r="S55" s="10">
        <v>0</v>
      </c>
      <c r="T55" s="10" t="e">
        <v>#N/A</v>
      </c>
      <c r="U55" s="10">
        <v>2</v>
      </c>
      <c r="V55" s="11">
        <v>1</v>
      </c>
    </row>
    <row r="56" spans="1:22" x14ac:dyDescent="0.3">
      <c r="A56" s="9" t="s">
        <v>110</v>
      </c>
      <c r="B56" s="10">
        <v>1</v>
      </c>
      <c r="C56" s="10">
        <v>0</v>
      </c>
      <c r="D56" s="10">
        <v>0</v>
      </c>
      <c r="E56" s="10">
        <v>6</v>
      </c>
      <c r="F56" s="10">
        <v>0</v>
      </c>
      <c r="G56" s="10">
        <v>7</v>
      </c>
      <c r="H56" s="10">
        <v>1000</v>
      </c>
      <c r="I56" s="10">
        <v>2</v>
      </c>
      <c r="J56" s="10">
        <v>1</v>
      </c>
      <c r="K56" s="10">
        <v>4</v>
      </c>
      <c r="L56" s="10">
        <v>2</v>
      </c>
      <c r="M56" s="10">
        <v>4</v>
      </c>
      <c r="N56" s="10">
        <v>4</v>
      </c>
      <c r="O56" s="10">
        <v>0</v>
      </c>
      <c r="P56" s="10">
        <v>0</v>
      </c>
      <c r="Q56" s="10">
        <v>0</v>
      </c>
      <c r="R56" s="10"/>
      <c r="S56" s="10">
        <v>0</v>
      </c>
      <c r="T56" s="10">
        <v>1</v>
      </c>
      <c r="U56" s="10">
        <v>2</v>
      </c>
      <c r="V56" s="11">
        <v>1</v>
      </c>
    </row>
    <row r="57" spans="1:22" x14ac:dyDescent="0.3">
      <c r="A57" s="9" t="s">
        <v>109</v>
      </c>
      <c r="B57" s="10">
        <v>1</v>
      </c>
      <c r="C57" s="10">
        <v>0</v>
      </c>
      <c r="D57" s="10">
        <v>2</v>
      </c>
      <c r="E57" s="10">
        <v>1</v>
      </c>
      <c r="F57" s="10">
        <v>0</v>
      </c>
      <c r="G57" s="10">
        <v>7</v>
      </c>
      <c r="H57" s="10">
        <v>500</v>
      </c>
      <c r="I57" s="10">
        <v>5</v>
      </c>
      <c r="J57" s="10">
        <v>3</v>
      </c>
      <c r="K57" s="10">
        <v>5</v>
      </c>
      <c r="L57" s="10">
        <v>1</v>
      </c>
      <c r="M57" s="10">
        <v>4</v>
      </c>
      <c r="N57" s="10">
        <v>2</v>
      </c>
      <c r="O57" s="10">
        <v>0</v>
      </c>
      <c r="P57" s="10">
        <v>0</v>
      </c>
      <c r="Q57" s="10">
        <v>1</v>
      </c>
      <c r="R57" s="10">
        <v>1</v>
      </c>
      <c r="S57" s="10">
        <v>1</v>
      </c>
      <c r="T57" s="10">
        <v>1</v>
      </c>
      <c r="U57" s="10" t="e">
        <v>#N/A</v>
      </c>
      <c r="V57" s="11">
        <v>1</v>
      </c>
    </row>
    <row r="58" spans="1:22" x14ac:dyDescent="0.3">
      <c r="A58" s="9" t="s">
        <v>108</v>
      </c>
      <c r="B58" s="10">
        <v>1</v>
      </c>
      <c r="C58" s="10">
        <v>0</v>
      </c>
      <c r="D58" s="10">
        <v>2</v>
      </c>
      <c r="E58" s="10">
        <v>1</v>
      </c>
      <c r="F58" s="10">
        <v>0</v>
      </c>
      <c r="G58" s="10">
        <v>7</v>
      </c>
      <c r="H58" s="10">
        <v>500</v>
      </c>
      <c r="I58" s="10">
        <v>8</v>
      </c>
      <c r="J58" s="10">
        <v>2</v>
      </c>
      <c r="K58" s="10">
        <v>3</v>
      </c>
      <c r="L58" s="10">
        <v>1</v>
      </c>
      <c r="M58" s="10">
        <v>4</v>
      </c>
      <c r="N58" s="10">
        <v>3</v>
      </c>
      <c r="O58" s="10">
        <v>0</v>
      </c>
      <c r="P58" s="10">
        <v>0</v>
      </c>
      <c r="Q58" s="10">
        <v>0</v>
      </c>
      <c r="R58" s="10"/>
      <c r="S58" s="10">
        <v>1</v>
      </c>
      <c r="T58" s="10" t="e">
        <v>#N/A</v>
      </c>
      <c r="U58" s="10" t="e">
        <v>#N/A</v>
      </c>
      <c r="V58" s="11">
        <v>1</v>
      </c>
    </row>
    <row r="59" spans="1:22" x14ac:dyDescent="0.3">
      <c r="A59" s="9" t="s">
        <v>107</v>
      </c>
      <c r="B59" s="10">
        <v>1</v>
      </c>
      <c r="C59" s="10">
        <v>0</v>
      </c>
      <c r="D59" s="10">
        <v>2</v>
      </c>
      <c r="E59" s="10">
        <v>1</v>
      </c>
      <c r="F59" s="10">
        <v>0</v>
      </c>
      <c r="G59" s="10">
        <v>7</v>
      </c>
      <c r="H59" s="10">
        <v>2000</v>
      </c>
      <c r="I59" s="10">
        <v>2</v>
      </c>
      <c r="J59" s="10">
        <v>2</v>
      </c>
      <c r="K59" s="10">
        <v>3</v>
      </c>
      <c r="L59" s="10">
        <v>1</v>
      </c>
      <c r="M59" s="10">
        <v>5</v>
      </c>
      <c r="N59" s="10">
        <v>3</v>
      </c>
      <c r="O59" s="10">
        <v>0</v>
      </c>
      <c r="P59" s="10">
        <v>0</v>
      </c>
      <c r="Q59" s="10">
        <v>1</v>
      </c>
      <c r="R59" s="10">
        <v>4</v>
      </c>
      <c r="S59" s="10">
        <v>1</v>
      </c>
      <c r="T59" s="10" t="e">
        <v>#N/A</v>
      </c>
      <c r="U59" s="10">
        <v>2</v>
      </c>
      <c r="V59" s="11">
        <v>1</v>
      </c>
    </row>
    <row r="60" spans="1:22" x14ac:dyDescent="0.3">
      <c r="A60" s="9" t="s">
        <v>106</v>
      </c>
      <c r="B60" s="10">
        <v>0</v>
      </c>
      <c r="C60" s="10">
        <v>0</v>
      </c>
      <c r="D60" s="10">
        <v>2</v>
      </c>
      <c r="E60" s="10">
        <v>1</v>
      </c>
      <c r="F60" s="10">
        <v>0</v>
      </c>
      <c r="G60" s="10">
        <v>7</v>
      </c>
      <c r="H60" s="10" t="s">
        <v>24</v>
      </c>
      <c r="I60" s="10">
        <v>2</v>
      </c>
      <c r="J60" s="10">
        <v>1</v>
      </c>
      <c r="K60" s="10">
        <v>3</v>
      </c>
      <c r="L60" s="10">
        <v>1</v>
      </c>
      <c r="M60" s="10">
        <v>4</v>
      </c>
      <c r="N60" s="10">
        <v>3</v>
      </c>
      <c r="O60" s="10">
        <v>0</v>
      </c>
      <c r="P60" s="10">
        <v>0</v>
      </c>
      <c r="Q60" s="10">
        <v>0</v>
      </c>
      <c r="R60" s="10"/>
      <c r="S60" s="10">
        <v>1</v>
      </c>
      <c r="T60" s="10">
        <v>0</v>
      </c>
      <c r="U60" s="10" t="e">
        <v>#N/A</v>
      </c>
      <c r="V60" s="11">
        <v>1</v>
      </c>
    </row>
    <row r="61" spans="1:22" x14ac:dyDescent="0.3">
      <c r="A61" s="9" t="s">
        <v>105</v>
      </c>
      <c r="B61" s="10">
        <v>1</v>
      </c>
      <c r="C61" s="10">
        <v>0</v>
      </c>
      <c r="D61" s="10">
        <v>2</v>
      </c>
      <c r="E61" s="10">
        <v>1</v>
      </c>
      <c r="F61" s="10">
        <v>0</v>
      </c>
      <c r="G61" s="10">
        <v>7</v>
      </c>
      <c r="H61" s="10" t="s">
        <v>24</v>
      </c>
      <c r="I61" s="10">
        <v>6</v>
      </c>
      <c r="J61" s="10">
        <v>5</v>
      </c>
      <c r="K61" s="10">
        <v>4</v>
      </c>
      <c r="L61" s="10">
        <v>1</v>
      </c>
      <c r="M61" s="10">
        <v>3</v>
      </c>
      <c r="N61" s="10">
        <v>1</v>
      </c>
      <c r="O61" s="10">
        <v>0</v>
      </c>
      <c r="P61" s="10">
        <v>0</v>
      </c>
      <c r="Q61" s="10">
        <v>1</v>
      </c>
      <c r="R61" s="10">
        <v>2</v>
      </c>
      <c r="S61" s="10">
        <v>1</v>
      </c>
      <c r="T61" s="10" t="e">
        <v>#N/A</v>
      </c>
      <c r="U61" s="10">
        <v>2</v>
      </c>
      <c r="V61" s="11">
        <v>1</v>
      </c>
    </row>
    <row r="62" spans="1:22" x14ac:dyDescent="0.3">
      <c r="A62" s="9" t="s">
        <v>104</v>
      </c>
      <c r="B62" s="10">
        <v>0</v>
      </c>
      <c r="C62" s="10">
        <v>0</v>
      </c>
      <c r="D62" s="10">
        <v>2</v>
      </c>
      <c r="E62" s="10">
        <v>1</v>
      </c>
      <c r="F62" s="10">
        <v>1</v>
      </c>
      <c r="G62" s="10">
        <v>7</v>
      </c>
      <c r="H62" s="10">
        <v>500</v>
      </c>
      <c r="I62" s="10">
        <v>2</v>
      </c>
      <c r="J62" s="10">
        <v>3</v>
      </c>
      <c r="K62" s="10">
        <v>5</v>
      </c>
      <c r="L62" s="10">
        <v>1</v>
      </c>
      <c r="M62" s="10">
        <v>4</v>
      </c>
      <c r="N62" s="10">
        <v>3</v>
      </c>
      <c r="O62" s="10">
        <v>0</v>
      </c>
      <c r="P62" s="10">
        <v>0</v>
      </c>
      <c r="Q62" s="10">
        <v>0</v>
      </c>
      <c r="R62" s="10"/>
      <c r="S62" s="10">
        <v>1</v>
      </c>
      <c r="T62" s="10">
        <v>1</v>
      </c>
      <c r="U62" s="10" t="e">
        <v>#N/A</v>
      </c>
      <c r="V62" s="11">
        <v>1</v>
      </c>
    </row>
    <row r="63" spans="1:22" x14ac:dyDescent="0.3">
      <c r="A63" s="9" t="s">
        <v>103</v>
      </c>
      <c r="B63" s="10">
        <v>0</v>
      </c>
      <c r="C63" s="10">
        <v>0</v>
      </c>
      <c r="D63" s="10">
        <v>5</v>
      </c>
      <c r="E63" s="10">
        <v>6</v>
      </c>
      <c r="F63" s="10">
        <v>0</v>
      </c>
      <c r="G63" s="10">
        <v>7</v>
      </c>
      <c r="H63" s="10">
        <v>500</v>
      </c>
      <c r="I63" s="10">
        <v>2</v>
      </c>
      <c r="J63" s="10">
        <v>2</v>
      </c>
      <c r="K63" s="10">
        <v>4</v>
      </c>
      <c r="L63" s="10">
        <v>1</v>
      </c>
      <c r="M63" s="10">
        <v>3</v>
      </c>
      <c r="N63" s="10">
        <v>4</v>
      </c>
      <c r="O63" s="10">
        <v>1</v>
      </c>
      <c r="P63" s="10">
        <v>0</v>
      </c>
      <c r="Q63" s="10">
        <v>1</v>
      </c>
      <c r="R63" s="10">
        <v>8</v>
      </c>
      <c r="S63" s="10">
        <v>0</v>
      </c>
      <c r="T63" s="10" t="e">
        <v>#N/A</v>
      </c>
      <c r="U63" s="10">
        <v>2</v>
      </c>
      <c r="V63" s="11">
        <v>1</v>
      </c>
    </row>
    <row r="64" spans="1:22" x14ac:dyDescent="0.3">
      <c r="A64" s="9" t="s">
        <v>102</v>
      </c>
      <c r="B64" s="10">
        <v>1</v>
      </c>
      <c r="C64" s="10">
        <v>0</v>
      </c>
      <c r="D64" s="10">
        <v>5</v>
      </c>
      <c r="E64" s="10">
        <v>6</v>
      </c>
      <c r="F64" s="10">
        <v>0</v>
      </c>
      <c r="G64" s="10">
        <v>7</v>
      </c>
      <c r="H64" s="10">
        <v>2000</v>
      </c>
      <c r="I64" s="10">
        <v>2</v>
      </c>
      <c r="J64" s="10">
        <v>2</v>
      </c>
      <c r="K64" s="10">
        <v>4</v>
      </c>
      <c r="L64" s="10">
        <v>2</v>
      </c>
      <c r="M64" s="10">
        <v>3</v>
      </c>
      <c r="N64" s="10">
        <v>4</v>
      </c>
      <c r="O64" s="10">
        <v>0</v>
      </c>
      <c r="P64" s="10">
        <v>0</v>
      </c>
      <c r="Q64" s="10">
        <v>0</v>
      </c>
      <c r="R64" s="10"/>
      <c r="S64" s="10">
        <v>0</v>
      </c>
      <c r="T64" s="10">
        <v>0</v>
      </c>
      <c r="U64" s="10">
        <v>2</v>
      </c>
      <c r="V64" s="11">
        <v>1</v>
      </c>
    </row>
    <row r="65" spans="1:22" x14ac:dyDescent="0.3">
      <c r="A65" s="9" t="s">
        <v>101</v>
      </c>
      <c r="B65" s="10">
        <v>1</v>
      </c>
      <c r="C65" s="10">
        <v>0</v>
      </c>
      <c r="D65" s="10">
        <v>1</v>
      </c>
      <c r="E65" s="10">
        <v>0</v>
      </c>
      <c r="F65" s="10">
        <v>0</v>
      </c>
      <c r="G65" s="10">
        <v>7</v>
      </c>
      <c r="H65" s="10">
        <v>500</v>
      </c>
      <c r="I65" s="10">
        <v>2</v>
      </c>
      <c r="J65" s="10">
        <v>4</v>
      </c>
      <c r="K65" s="10">
        <v>3</v>
      </c>
      <c r="L65" s="10">
        <v>1</v>
      </c>
      <c r="M65" s="10">
        <v>5</v>
      </c>
      <c r="N65" s="10">
        <v>3</v>
      </c>
      <c r="O65" s="10">
        <v>0</v>
      </c>
      <c r="P65" s="10">
        <v>0</v>
      </c>
      <c r="Q65" s="10">
        <v>1</v>
      </c>
      <c r="R65" s="10"/>
      <c r="S65" s="10">
        <v>1</v>
      </c>
      <c r="T65" s="10">
        <v>0</v>
      </c>
      <c r="U65" s="10" t="e">
        <v>#N/A</v>
      </c>
      <c r="V65" s="11">
        <v>1</v>
      </c>
    </row>
    <row r="66" spans="1:22" x14ac:dyDescent="0.3">
      <c r="A66" s="9" t="s">
        <v>100</v>
      </c>
      <c r="B66" s="10">
        <v>0</v>
      </c>
      <c r="C66" s="10">
        <v>1</v>
      </c>
      <c r="D66" s="10">
        <v>4</v>
      </c>
      <c r="E66" s="10">
        <v>3</v>
      </c>
      <c r="F66" s="10">
        <v>0</v>
      </c>
      <c r="G66" s="10" t="e">
        <v>#N/A</v>
      </c>
      <c r="H66" s="10">
        <v>500</v>
      </c>
      <c r="I66" s="10">
        <v>5</v>
      </c>
      <c r="J66" s="10">
        <v>3</v>
      </c>
      <c r="K66" s="10">
        <v>4</v>
      </c>
      <c r="L66" s="10">
        <v>1</v>
      </c>
      <c r="M66" s="10">
        <v>4</v>
      </c>
      <c r="N66" s="10">
        <v>2</v>
      </c>
      <c r="O66" s="10">
        <v>0</v>
      </c>
      <c r="P66" s="10">
        <v>1</v>
      </c>
      <c r="Q66" s="10">
        <v>1</v>
      </c>
      <c r="R66" s="10">
        <v>2022</v>
      </c>
      <c r="S66" s="10">
        <v>1</v>
      </c>
      <c r="T66" s="10" t="e">
        <v>#N/A</v>
      </c>
      <c r="U66" s="10">
        <v>1</v>
      </c>
      <c r="V66" s="11">
        <v>1</v>
      </c>
    </row>
    <row r="67" spans="1:22" x14ac:dyDescent="0.3">
      <c r="A67" s="9" t="s">
        <v>99</v>
      </c>
      <c r="B67" s="10" t="e">
        <v>#N/A</v>
      </c>
      <c r="C67" s="10">
        <v>0</v>
      </c>
      <c r="D67" s="10">
        <v>1</v>
      </c>
      <c r="E67" s="10">
        <v>3</v>
      </c>
      <c r="F67" s="10">
        <v>0</v>
      </c>
      <c r="G67" s="10">
        <v>7</v>
      </c>
      <c r="H67" s="10" t="s">
        <v>24</v>
      </c>
      <c r="I67" s="10">
        <v>2</v>
      </c>
      <c r="J67" s="10">
        <v>1</v>
      </c>
      <c r="K67" s="10">
        <v>4</v>
      </c>
      <c r="L67" s="10">
        <v>1</v>
      </c>
      <c r="M67" s="10">
        <v>4</v>
      </c>
      <c r="N67" s="10">
        <v>3</v>
      </c>
      <c r="O67" s="10">
        <v>1</v>
      </c>
      <c r="P67" s="10">
        <v>0</v>
      </c>
      <c r="Q67" s="10">
        <v>1</v>
      </c>
      <c r="R67" s="10">
        <v>3</v>
      </c>
      <c r="S67" s="10">
        <v>1</v>
      </c>
      <c r="T67" s="10">
        <v>1</v>
      </c>
      <c r="U67" s="10">
        <v>1</v>
      </c>
      <c r="V67" s="11">
        <v>1</v>
      </c>
    </row>
    <row r="68" spans="1:22" x14ac:dyDescent="0.3">
      <c r="A68" s="9" t="s">
        <v>98</v>
      </c>
      <c r="B68" s="10">
        <v>0</v>
      </c>
      <c r="C68" s="10">
        <v>0</v>
      </c>
      <c r="D68" s="10">
        <v>5</v>
      </c>
      <c r="E68" s="10">
        <v>6</v>
      </c>
      <c r="F68" s="10">
        <v>0</v>
      </c>
      <c r="G68" s="10">
        <v>7</v>
      </c>
      <c r="H68" s="10">
        <v>500</v>
      </c>
      <c r="I68" s="10">
        <v>7</v>
      </c>
      <c r="J68" s="10">
        <v>1</v>
      </c>
      <c r="K68" s="10">
        <v>4</v>
      </c>
      <c r="L68" s="10">
        <v>1</v>
      </c>
      <c r="M68" s="10">
        <v>4</v>
      </c>
      <c r="N68" s="10">
        <v>3</v>
      </c>
      <c r="O68" s="10">
        <v>0</v>
      </c>
      <c r="P68" s="10">
        <v>0</v>
      </c>
      <c r="Q68" s="10">
        <v>0</v>
      </c>
      <c r="R68" s="10"/>
      <c r="S68" s="10">
        <v>1</v>
      </c>
      <c r="T68" s="10">
        <v>1</v>
      </c>
      <c r="U68" s="10">
        <v>2</v>
      </c>
      <c r="V68" s="11">
        <v>1</v>
      </c>
    </row>
    <row r="69" spans="1:22" x14ac:dyDescent="0.3">
      <c r="A69" s="9" t="s">
        <v>97</v>
      </c>
      <c r="B69" s="10">
        <v>0</v>
      </c>
      <c r="C69" s="10">
        <v>1</v>
      </c>
      <c r="D69" s="10">
        <v>4</v>
      </c>
      <c r="E69" s="10">
        <v>5</v>
      </c>
      <c r="F69" s="10">
        <v>0</v>
      </c>
      <c r="G69" s="10">
        <v>5</v>
      </c>
      <c r="H69" s="10">
        <v>1000</v>
      </c>
      <c r="I69" s="10">
        <v>5</v>
      </c>
      <c r="J69" s="10">
        <v>4</v>
      </c>
      <c r="K69" s="10">
        <v>4</v>
      </c>
      <c r="L69" s="10">
        <v>1</v>
      </c>
      <c r="M69" s="10">
        <v>4</v>
      </c>
      <c r="N69" s="10">
        <v>2</v>
      </c>
      <c r="O69" s="10">
        <v>0</v>
      </c>
      <c r="P69" s="10">
        <v>0</v>
      </c>
      <c r="Q69" s="10">
        <v>1</v>
      </c>
      <c r="R69" s="10">
        <v>2021</v>
      </c>
      <c r="S69" s="10">
        <v>1</v>
      </c>
      <c r="T69" s="10">
        <v>1</v>
      </c>
      <c r="U69" s="10">
        <v>2</v>
      </c>
      <c r="V69" s="11">
        <v>1</v>
      </c>
    </row>
    <row r="70" spans="1:22" x14ac:dyDescent="0.3">
      <c r="A70" s="9" t="s">
        <v>96</v>
      </c>
      <c r="B70" s="10">
        <v>0</v>
      </c>
      <c r="C70" s="10">
        <v>1</v>
      </c>
      <c r="D70" s="10">
        <v>4</v>
      </c>
      <c r="E70" s="10">
        <v>5</v>
      </c>
      <c r="F70" s="10">
        <v>0</v>
      </c>
      <c r="G70" s="10">
        <v>5</v>
      </c>
      <c r="H70" s="10">
        <v>500</v>
      </c>
      <c r="I70" s="10">
        <v>5</v>
      </c>
      <c r="J70" s="10">
        <v>3</v>
      </c>
      <c r="K70" s="10">
        <v>4</v>
      </c>
      <c r="L70" s="10">
        <v>1</v>
      </c>
      <c r="M70" s="10">
        <v>4</v>
      </c>
      <c r="N70" s="10">
        <v>2</v>
      </c>
      <c r="O70" s="10">
        <v>0</v>
      </c>
      <c r="P70" s="10">
        <v>0</v>
      </c>
      <c r="Q70" s="10">
        <v>1</v>
      </c>
      <c r="R70" s="10">
        <v>2020</v>
      </c>
      <c r="S70" s="10">
        <v>0</v>
      </c>
      <c r="T70" s="10">
        <v>1</v>
      </c>
      <c r="U70" s="10" t="e">
        <v>#N/A</v>
      </c>
      <c r="V70" s="11">
        <v>1</v>
      </c>
    </row>
    <row r="71" spans="1:22" x14ac:dyDescent="0.3">
      <c r="A71" s="9" t="s">
        <v>95</v>
      </c>
      <c r="B71" s="10">
        <v>0</v>
      </c>
      <c r="C71" s="10">
        <v>0</v>
      </c>
      <c r="D71" s="10">
        <v>1</v>
      </c>
      <c r="E71" s="10">
        <v>1</v>
      </c>
      <c r="F71" s="10">
        <v>0</v>
      </c>
      <c r="G71" s="10">
        <v>7</v>
      </c>
      <c r="H71" s="10">
        <v>1000</v>
      </c>
      <c r="I71" s="10">
        <v>8</v>
      </c>
      <c r="J71" s="10">
        <v>3</v>
      </c>
      <c r="K71" s="10">
        <v>3</v>
      </c>
      <c r="L71" s="10">
        <v>2</v>
      </c>
      <c r="M71" s="10">
        <v>4</v>
      </c>
      <c r="N71" s="10">
        <v>3</v>
      </c>
      <c r="O71" s="10">
        <v>0</v>
      </c>
      <c r="P71" s="10">
        <v>0</v>
      </c>
      <c r="Q71" s="10">
        <v>0</v>
      </c>
      <c r="R71" s="10"/>
      <c r="S71" s="10">
        <v>0</v>
      </c>
      <c r="T71" s="10" t="e">
        <v>#N/A</v>
      </c>
      <c r="U71" s="10">
        <v>2</v>
      </c>
      <c r="V71" s="11">
        <v>1</v>
      </c>
    </row>
    <row r="72" spans="1:22" x14ac:dyDescent="0.3">
      <c r="A72" s="9" t="s">
        <v>94</v>
      </c>
      <c r="B72" s="10">
        <v>0</v>
      </c>
      <c r="C72" s="10">
        <v>1</v>
      </c>
      <c r="D72" s="10">
        <v>5</v>
      </c>
      <c r="E72" s="10">
        <v>6</v>
      </c>
      <c r="F72" s="10">
        <v>0</v>
      </c>
      <c r="G72" s="10">
        <v>7</v>
      </c>
      <c r="H72" s="10">
        <v>1500</v>
      </c>
      <c r="I72" s="10">
        <v>2</v>
      </c>
      <c r="J72" s="10">
        <v>2</v>
      </c>
      <c r="K72" s="10">
        <v>4</v>
      </c>
      <c r="L72" s="10">
        <v>1</v>
      </c>
      <c r="M72" s="10">
        <v>4</v>
      </c>
      <c r="N72" s="10">
        <v>4</v>
      </c>
      <c r="O72" s="10">
        <v>0</v>
      </c>
      <c r="P72" s="10">
        <v>0</v>
      </c>
      <c r="Q72" s="10">
        <v>0</v>
      </c>
      <c r="R72" s="10"/>
      <c r="S72" s="10">
        <v>1</v>
      </c>
      <c r="T72" s="10">
        <v>1</v>
      </c>
      <c r="U72" s="10">
        <v>2</v>
      </c>
      <c r="V72" s="11">
        <v>1</v>
      </c>
    </row>
    <row r="73" spans="1:22" x14ac:dyDescent="0.3">
      <c r="A73" s="9" t="s">
        <v>93</v>
      </c>
      <c r="B73" s="10">
        <v>0</v>
      </c>
      <c r="C73" s="10">
        <v>1</v>
      </c>
      <c r="D73" s="10">
        <v>2</v>
      </c>
      <c r="E73" s="10">
        <v>3</v>
      </c>
      <c r="F73" s="10">
        <v>0</v>
      </c>
      <c r="G73" s="10">
        <v>4</v>
      </c>
      <c r="H73" s="10">
        <v>500</v>
      </c>
      <c r="I73" s="10">
        <v>2</v>
      </c>
      <c r="J73" s="10">
        <v>3</v>
      </c>
      <c r="K73" s="10">
        <v>4</v>
      </c>
      <c r="L73" s="10">
        <v>1</v>
      </c>
      <c r="M73" s="10">
        <v>4</v>
      </c>
      <c r="N73" s="10">
        <v>2</v>
      </c>
      <c r="O73" s="10">
        <v>0</v>
      </c>
      <c r="P73" s="10">
        <v>0</v>
      </c>
      <c r="Q73" s="10">
        <v>0</v>
      </c>
      <c r="R73" s="10"/>
      <c r="S73" s="10">
        <v>0</v>
      </c>
      <c r="T73" s="10">
        <v>0</v>
      </c>
      <c r="U73" s="10" t="e">
        <v>#N/A</v>
      </c>
      <c r="V73" s="11">
        <v>1</v>
      </c>
    </row>
    <row r="74" spans="1:22" x14ac:dyDescent="0.3">
      <c r="A74" s="9" t="s">
        <v>92</v>
      </c>
      <c r="B74" s="10">
        <v>0</v>
      </c>
      <c r="C74" s="10">
        <v>1</v>
      </c>
      <c r="D74" s="10">
        <v>2</v>
      </c>
      <c r="E74" s="10">
        <v>6</v>
      </c>
      <c r="F74" s="10">
        <v>0</v>
      </c>
      <c r="G74" s="10">
        <v>4</v>
      </c>
      <c r="H74" s="10">
        <v>1000</v>
      </c>
      <c r="I74" s="10">
        <v>2</v>
      </c>
      <c r="J74" s="10">
        <v>3</v>
      </c>
      <c r="K74" s="10">
        <v>4</v>
      </c>
      <c r="L74" s="10">
        <v>1</v>
      </c>
      <c r="M74" s="10">
        <v>4</v>
      </c>
      <c r="N74" s="10">
        <v>2</v>
      </c>
      <c r="O74" s="10">
        <v>0</v>
      </c>
      <c r="P74" s="10">
        <v>0</v>
      </c>
      <c r="Q74" s="10">
        <v>0</v>
      </c>
      <c r="R74" s="10"/>
      <c r="S74" s="10">
        <v>1</v>
      </c>
      <c r="T74" s="10" t="e">
        <v>#N/A</v>
      </c>
      <c r="U74" s="10">
        <v>2</v>
      </c>
      <c r="V74" s="11">
        <v>1</v>
      </c>
    </row>
    <row r="75" spans="1:22" x14ac:dyDescent="0.3">
      <c r="A75" s="9" t="s">
        <v>91</v>
      </c>
      <c r="B75" s="10">
        <v>0</v>
      </c>
      <c r="C75" s="10">
        <v>1</v>
      </c>
      <c r="D75" s="10">
        <v>4</v>
      </c>
      <c r="E75" s="10">
        <v>5</v>
      </c>
      <c r="F75" s="10">
        <v>0</v>
      </c>
      <c r="G75" s="10">
        <v>5</v>
      </c>
      <c r="H75" s="10">
        <v>1000</v>
      </c>
      <c r="I75" s="10">
        <v>5</v>
      </c>
      <c r="J75" s="10">
        <v>2</v>
      </c>
      <c r="K75" s="10">
        <v>4</v>
      </c>
      <c r="L75" s="10">
        <v>1</v>
      </c>
      <c r="M75" s="10">
        <v>4</v>
      </c>
      <c r="N75" s="10">
        <v>2</v>
      </c>
      <c r="O75" s="10">
        <v>0</v>
      </c>
      <c r="P75" s="10">
        <v>0</v>
      </c>
      <c r="Q75" s="10">
        <v>0</v>
      </c>
      <c r="R75" s="10"/>
      <c r="S75" s="10">
        <v>1</v>
      </c>
      <c r="T75" s="10">
        <v>1</v>
      </c>
      <c r="U75" s="10">
        <v>2</v>
      </c>
      <c r="V75" s="11">
        <v>1</v>
      </c>
    </row>
    <row r="76" spans="1:22" x14ac:dyDescent="0.3">
      <c r="A76" s="9" t="s">
        <v>90</v>
      </c>
      <c r="B76" s="10">
        <v>0</v>
      </c>
      <c r="C76" s="10">
        <v>0</v>
      </c>
      <c r="D76" s="10">
        <v>1</v>
      </c>
      <c r="E76" s="10">
        <v>1</v>
      </c>
      <c r="F76" s="10">
        <v>1</v>
      </c>
      <c r="G76" s="10">
        <v>2</v>
      </c>
      <c r="H76" s="10">
        <v>1000</v>
      </c>
      <c r="I76" s="10">
        <v>1</v>
      </c>
      <c r="J76" s="10">
        <v>1</v>
      </c>
      <c r="K76" s="10">
        <v>4</v>
      </c>
      <c r="L76" s="10">
        <v>1</v>
      </c>
      <c r="M76" s="10">
        <v>4</v>
      </c>
      <c r="N76" s="10">
        <v>4</v>
      </c>
      <c r="O76" s="10">
        <v>0</v>
      </c>
      <c r="P76" s="10">
        <v>0</v>
      </c>
      <c r="Q76" s="10">
        <v>0</v>
      </c>
      <c r="R76" s="10"/>
      <c r="S76" s="10">
        <v>1</v>
      </c>
      <c r="T76" s="10">
        <v>1</v>
      </c>
      <c r="U76" s="10">
        <v>2</v>
      </c>
      <c r="V76" s="11">
        <v>1</v>
      </c>
    </row>
    <row r="77" spans="1:22" x14ac:dyDescent="0.3">
      <c r="A77" s="9" t="s">
        <v>89</v>
      </c>
      <c r="B77" s="10">
        <v>0</v>
      </c>
      <c r="C77" s="10">
        <v>0</v>
      </c>
      <c r="D77" s="10">
        <v>5</v>
      </c>
      <c r="E77" s="10">
        <v>6</v>
      </c>
      <c r="F77" s="10">
        <v>0</v>
      </c>
      <c r="G77" s="10">
        <v>7</v>
      </c>
      <c r="H77" s="10">
        <v>1000</v>
      </c>
      <c r="I77" s="10">
        <v>5</v>
      </c>
      <c r="J77" s="10">
        <v>4</v>
      </c>
      <c r="K77" s="10">
        <v>4</v>
      </c>
      <c r="L77" s="10">
        <v>1</v>
      </c>
      <c r="M77" s="10">
        <v>4</v>
      </c>
      <c r="N77" s="10">
        <v>2</v>
      </c>
      <c r="O77" s="10">
        <v>0</v>
      </c>
      <c r="P77" s="10">
        <v>0</v>
      </c>
      <c r="Q77" s="10">
        <v>0</v>
      </c>
      <c r="R77" s="10"/>
      <c r="S77" s="10">
        <v>1</v>
      </c>
      <c r="T77" s="10">
        <v>1</v>
      </c>
      <c r="U77" s="10">
        <v>2</v>
      </c>
      <c r="V77" s="11">
        <v>1</v>
      </c>
    </row>
    <row r="78" spans="1:22" x14ac:dyDescent="0.3">
      <c r="A78" s="9" t="s">
        <v>88</v>
      </c>
      <c r="B78" s="10">
        <v>0</v>
      </c>
      <c r="C78" s="10">
        <v>1</v>
      </c>
      <c r="D78" s="10">
        <v>3</v>
      </c>
      <c r="E78" s="10">
        <v>4</v>
      </c>
      <c r="F78" s="10">
        <v>0</v>
      </c>
      <c r="G78" s="10">
        <v>7</v>
      </c>
      <c r="H78" s="10">
        <v>1000</v>
      </c>
      <c r="I78" s="10">
        <v>8</v>
      </c>
      <c r="J78" s="10">
        <v>2</v>
      </c>
      <c r="K78" s="10">
        <v>4</v>
      </c>
      <c r="L78" s="10">
        <v>1</v>
      </c>
      <c r="M78" s="10">
        <v>4</v>
      </c>
      <c r="N78" s="10">
        <v>2</v>
      </c>
      <c r="O78" s="10">
        <v>1</v>
      </c>
      <c r="P78" s="10">
        <v>0</v>
      </c>
      <c r="Q78" s="10">
        <v>0</v>
      </c>
      <c r="R78" s="10"/>
      <c r="S78" s="10">
        <v>1</v>
      </c>
      <c r="T78" s="10">
        <v>0</v>
      </c>
      <c r="U78" s="10">
        <v>2</v>
      </c>
      <c r="V78" s="11">
        <v>1</v>
      </c>
    </row>
    <row r="79" spans="1:22" x14ac:dyDescent="0.3">
      <c r="A79" s="9" t="s">
        <v>87</v>
      </c>
      <c r="B79" s="10">
        <v>1</v>
      </c>
      <c r="C79" s="10">
        <v>1</v>
      </c>
      <c r="D79" s="10">
        <v>2</v>
      </c>
      <c r="E79" s="10">
        <v>3</v>
      </c>
      <c r="F79" s="10">
        <v>0</v>
      </c>
      <c r="G79" s="10" t="e">
        <v>#N/A</v>
      </c>
      <c r="H79" s="10" t="s">
        <v>24</v>
      </c>
      <c r="I79" s="10">
        <v>2</v>
      </c>
      <c r="J79" s="10">
        <v>5</v>
      </c>
      <c r="K79" s="10">
        <v>2</v>
      </c>
      <c r="L79" s="10">
        <v>1</v>
      </c>
      <c r="M79" s="10">
        <v>4</v>
      </c>
      <c r="N79" s="10">
        <v>3</v>
      </c>
      <c r="O79" s="10">
        <v>0</v>
      </c>
      <c r="P79" s="10">
        <v>0</v>
      </c>
      <c r="Q79" s="10">
        <v>1</v>
      </c>
      <c r="R79" s="10">
        <v>2022</v>
      </c>
      <c r="S79" s="10">
        <v>1</v>
      </c>
      <c r="T79" s="10">
        <v>1</v>
      </c>
      <c r="U79" s="10" t="e">
        <v>#N/A</v>
      </c>
      <c r="V79" s="11">
        <v>1</v>
      </c>
    </row>
    <row r="80" spans="1:22" x14ac:dyDescent="0.3">
      <c r="A80" s="9" t="s">
        <v>86</v>
      </c>
      <c r="B80" s="10">
        <v>1</v>
      </c>
      <c r="C80" s="10">
        <v>1</v>
      </c>
      <c r="D80" s="10">
        <v>5</v>
      </c>
      <c r="E80" s="10">
        <v>6</v>
      </c>
      <c r="F80" s="10">
        <v>1</v>
      </c>
      <c r="G80" s="10" t="e">
        <v>#N/A</v>
      </c>
      <c r="H80" s="10" t="s">
        <v>24</v>
      </c>
      <c r="I80" s="10">
        <v>7</v>
      </c>
      <c r="J80" s="10">
        <v>5</v>
      </c>
      <c r="K80" s="10">
        <v>3</v>
      </c>
      <c r="L80" s="10">
        <v>1</v>
      </c>
      <c r="M80" s="10">
        <v>4</v>
      </c>
      <c r="N80" s="10">
        <v>3</v>
      </c>
      <c r="O80" s="10">
        <v>0</v>
      </c>
      <c r="P80" s="10">
        <v>0</v>
      </c>
      <c r="Q80" s="10">
        <v>0</v>
      </c>
      <c r="R80" s="10"/>
      <c r="S80" s="10">
        <v>1</v>
      </c>
      <c r="T80" s="10" t="e">
        <v>#N/A</v>
      </c>
      <c r="U80" s="10">
        <v>2</v>
      </c>
      <c r="V80" s="11">
        <v>1</v>
      </c>
    </row>
    <row r="81" spans="1:22" x14ac:dyDescent="0.3">
      <c r="A81" s="9" t="s">
        <v>85</v>
      </c>
      <c r="B81" s="10">
        <v>0</v>
      </c>
      <c r="C81" s="10">
        <v>1</v>
      </c>
      <c r="D81" s="10">
        <v>1</v>
      </c>
      <c r="E81" s="10">
        <v>1</v>
      </c>
      <c r="F81" s="10">
        <v>0</v>
      </c>
      <c r="G81" s="10">
        <v>7</v>
      </c>
      <c r="H81" s="10">
        <v>2000</v>
      </c>
      <c r="I81" s="10">
        <v>6</v>
      </c>
      <c r="J81" s="10">
        <v>3</v>
      </c>
      <c r="K81" s="10">
        <v>3</v>
      </c>
      <c r="L81" s="10">
        <v>1</v>
      </c>
      <c r="M81" s="10">
        <v>4</v>
      </c>
      <c r="N81" s="10">
        <v>4</v>
      </c>
      <c r="O81" s="10">
        <v>1</v>
      </c>
      <c r="P81" s="10">
        <v>0</v>
      </c>
      <c r="Q81" s="10">
        <v>1</v>
      </c>
      <c r="R81" s="10">
        <v>2</v>
      </c>
      <c r="S81" s="10">
        <v>1</v>
      </c>
      <c r="T81" s="10">
        <v>1</v>
      </c>
      <c r="U81" s="10">
        <v>2</v>
      </c>
      <c r="V81" s="11">
        <v>1</v>
      </c>
    </row>
    <row r="82" spans="1:22" x14ac:dyDescent="0.3">
      <c r="A82" s="9" t="s">
        <v>84</v>
      </c>
      <c r="B82" s="10">
        <v>1</v>
      </c>
      <c r="C82" s="10">
        <v>0</v>
      </c>
      <c r="D82" s="10">
        <v>5</v>
      </c>
      <c r="E82" s="10">
        <v>6</v>
      </c>
      <c r="F82" s="10">
        <v>0</v>
      </c>
      <c r="G82" s="10">
        <v>7</v>
      </c>
      <c r="H82" s="10">
        <v>1500</v>
      </c>
      <c r="I82" s="10">
        <v>5</v>
      </c>
      <c r="J82" s="10">
        <v>5</v>
      </c>
      <c r="K82" s="10">
        <v>4</v>
      </c>
      <c r="L82" s="10">
        <v>1</v>
      </c>
      <c r="M82" s="10">
        <v>4</v>
      </c>
      <c r="N82" s="10">
        <v>3</v>
      </c>
      <c r="O82" s="10">
        <v>1</v>
      </c>
      <c r="P82" s="10">
        <v>0</v>
      </c>
      <c r="Q82" s="10">
        <v>0</v>
      </c>
      <c r="R82" s="10"/>
      <c r="S82" s="10">
        <v>1</v>
      </c>
      <c r="T82" s="10">
        <v>1</v>
      </c>
      <c r="U82" s="10">
        <v>4</v>
      </c>
      <c r="V82" s="11">
        <v>1</v>
      </c>
    </row>
    <row r="83" spans="1:22" x14ac:dyDescent="0.3">
      <c r="A83" s="9" t="s">
        <v>83</v>
      </c>
      <c r="B83" s="10">
        <v>1</v>
      </c>
      <c r="C83" s="10">
        <v>1</v>
      </c>
      <c r="D83" s="10">
        <v>2</v>
      </c>
      <c r="E83" s="10">
        <v>3</v>
      </c>
      <c r="F83" s="10">
        <v>0</v>
      </c>
      <c r="G83" s="10">
        <v>5</v>
      </c>
      <c r="H83" s="10">
        <v>500</v>
      </c>
      <c r="I83" s="10">
        <v>8</v>
      </c>
      <c r="J83" s="10">
        <v>3</v>
      </c>
      <c r="K83" s="10">
        <v>4</v>
      </c>
      <c r="L83" s="10">
        <v>2</v>
      </c>
      <c r="M83" s="10">
        <v>4</v>
      </c>
      <c r="N83" s="10">
        <v>2</v>
      </c>
      <c r="O83" s="10">
        <v>0</v>
      </c>
      <c r="P83" s="10">
        <v>0</v>
      </c>
      <c r="Q83" s="10">
        <v>1</v>
      </c>
      <c r="R83" s="10">
        <v>2021</v>
      </c>
      <c r="S83" s="10">
        <v>1</v>
      </c>
      <c r="T83" s="10">
        <v>0</v>
      </c>
      <c r="U83" s="10">
        <v>2</v>
      </c>
      <c r="V83" s="11">
        <v>1</v>
      </c>
    </row>
    <row r="84" spans="1:22" x14ac:dyDescent="0.3">
      <c r="A84" s="9" t="s">
        <v>82</v>
      </c>
      <c r="B84" s="10">
        <v>0</v>
      </c>
      <c r="C84" s="10">
        <v>0</v>
      </c>
      <c r="D84" s="10">
        <v>5</v>
      </c>
      <c r="E84" s="10">
        <v>6</v>
      </c>
      <c r="F84" s="10">
        <v>0</v>
      </c>
      <c r="G84" s="10">
        <v>7</v>
      </c>
      <c r="H84" s="10" t="s">
        <v>24</v>
      </c>
      <c r="I84" s="10">
        <v>2</v>
      </c>
      <c r="J84" s="10">
        <v>3</v>
      </c>
      <c r="K84" s="10">
        <v>4</v>
      </c>
      <c r="L84" s="10">
        <v>1</v>
      </c>
      <c r="M84" s="10">
        <v>4</v>
      </c>
      <c r="N84" s="10">
        <v>3</v>
      </c>
      <c r="O84" s="10">
        <v>0</v>
      </c>
      <c r="P84" s="10">
        <v>0</v>
      </c>
      <c r="Q84" s="10">
        <v>1</v>
      </c>
      <c r="R84" s="10">
        <v>15</v>
      </c>
      <c r="S84" s="10">
        <v>1</v>
      </c>
      <c r="T84" s="10">
        <v>1</v>
      </c>
      <c r="U84" s="10">
        <v>2</v>
      </c>
      <c r="V84" s="11">
        <v>1</v>
      </c>
    </row>
    <row r="85" spans="1:22" x14ac:dyDescent="0.3">
      <c r="A85" s="9" t="s">
        <v>81</v>
      </c>
      <c r="B85" s="10">
        <v>1</v>
      </c>
      <c r="C85" s="10">
        <v>0</v>
      </c>
      <c r="D85" s="10">
        <v>2</v>
      </c>
      <c r="E85" s="10">
        <v>1</v>
      </c>
      <c r="F85" s="10">
        <v>0</v>
      </c>
      <c r="G85" s="10">
        <v>7</v>
      </c>
      <c r="H85" s="10">
        <v>500</v>
      </c>
      <c r="I85" s="10">
        <v>5</v>
      </c>
      <c r="J85" s="10">
        <v>4</v>
      </c>
      <c r="K85" s="10">
        <v>4</v>
      </c>
      <c r="L85" s="10">
        <v>1</v>
      </c>
      <c r="M85" s="10">
        <v>4</v>
      </c>
      <c r="N85" s="10">
        <v>1</v>
      </c>
      <c r="O85" s="10">
        <v>1</v>
      </c>
      <c r="P85" s="10">
        <v>0</v>
      </c>
      <c r="Q85" s="10">
        <v>0</v>
      </c>
      <c r="R85" s="10"/>
      <c r="S85" s="10">
        <v>0</v>
      </c>
      <c r="T85" s="10">
        <v>1</v>
      </c>
      <c r="U85" s="10">
        <v>2</v>
      </c>
      <c r="V85" s="11">
        <v>1</v>
      </c>
    </row>
    <row r="86" spans="1:22" x14ac:dyDescent="0.3">
      <c r="A86" s="9" t="s">
        <v>80</v>
      </c>
      <c r="B86" s="10">
        <v>1</v>
      </c>
      <c r="C86" s="10">
        <v>1</v>
      </c>
      <c r="D86" s="10">
        <v>2</v>
      </c>
      <c r="E86" s="10">
        <v>3</v>
      </c>
      <c r="F86" s="10">
        <v>0</v>
      </c>
      <c r="G86" s="10">
        <v>4</v>
      </c>
      <c r="H86" s="10" t="s">
        <v>24</v>
      </c>
      <c r="I86" s="10">
        <v>5</v>
      </c>
      <c r="J86" s="10">
        <v>2</v>
      </c>
      <c r="K86" s="10">
        <v>4</v>
      </c>
      <c r="L86" s="10">
        <v>1</v>
      </c>
      <c r="M86" s="10">
        <v>3</v>
      </c>
      <c r="N86" s="10">
        <v>3</v>
      </c>
      <c r="O86" s="10">
        <v>0</v>
      </c>
      <c r="P86" s="10">
        <v>0</v>
      </c>
      <c r="Q86" s="10">
        <v>1</v>
      </c>
      <c r="R86" s="10">
        <v>2021</v>
      </c>
      <c r="S86" s="10">
        <v>0</v>
      </c>
      <c r="T86" s="10">
        <v>1</v>
      </c>
      <c r="U86" s="10">
        <v>2</v>
      </c>
      <c r="V86" s="11">
        <v>1</v>
      </c>
    </row>
    <row r="87" spans="1:22" x14ac:dyDescent="0.3">
      <c r="A87" s="9" t="s">
        <v>79</v>
      </c>
      <c r="B87" s="10">
        <v>1</v>
      </c>
      <c r="C87" s="10">
        <v>0</v>
      </c>
      <c r="D87" s="10">
        <v>5</v>
      </c>
      <c r="E87" s="10">
        <v>1</v>
      </c>
      <c r="F87" s="10">
        <v>0</v>
      </c>
      <c r="G87" s="10">
        <v>7</v>
      </c>
      <c r="H87" s="10" t="s">
        <v>24</v>
      </c>
      <c r="I87" s="10">
        <v>2</v>
      </c>
      <c r="J87" s="10">
        <v>4</v>
      </c>
      <c r="K87" s="10">
        <v>4</v>
      </c>
      <c r="L87" s="10">
        <v>1</v>
      </c>
      <c r="M87" s="10">
        <v>3</v>
      </c>
      <c r="N87" s="10">
        <v>3</v>
      </c>
      <c r="O87" s="10">
        <v>1</v>
      </c>
      <c r="P87" s="10">
        <v>0</v>
      </c>
      <c r="Q87" s="10">
        <v>0</v>
      </c>
      <c r="R87" s="10"/>
      <c r="S87" s="10">
        <v>1</v>
      </c>
      <c r="T87" s="10">
        <v>1</v>
      </c>
      <c r="U87" s="10">
        <v>2</v>
      </c>
      <c r="V87" s="11">
        <v>1</v>
      </c>
    </row>
    <row r="88" spans="1:22" x14ac:dyDescent="0.3">
      <c r="A88" s="9" t="s">
        <v>78</v>
      </c>
      <c r="B88" s="10">
        <v>1</v>
      </c>
      <c r="C88" s="10">
        <v>1</v>
      </c>
      <c r="D88" s="10">
        <v>5</v>
      </c>
      <c r="E88" s="10">
        <v>6</v>
      </c>
      <c r="F88" s="10">
        <v>0</v>
      </c>
      <c r="G88" s="10">
        <v>7</v>
      </c>
      <c r="H88" s="10" t="s">
        <v>24</v>
      </c>
      <c r="I88" s="10">
        <v>2</v>
      </c>
      <c r="J88" s="10">
        <v>2</v>
      </c>
      <c r="K88" s="10">
        <v>3</v>
      </c>
      <c r="L88" s="10">
        <v>1</v>
      </c>
      <c r="M88" s="10">
        <v>4</v>
      </c>
      <c r="N88" s="10">
        <v>3</v>
      </c>
      <c r="O88" s="10">
        <v>1</v>
      </c>
      <c r="P88" s="10">
        <v>0</v>
      </c>
      <c r="Q88" s="10">
        <v>0</v>
      </c>
      <c r="R88" s="10"/>
      <c r="S88" s="10">
        <v>1</v>
      </c>
      <c r="T88" s="10">
        <v>1</v>
      </c>
      <c r="U88" s="10">
        <v>2</v>
      </c>
      <c r="V88" s="11">
        <v>1</v>
      </c>
    </row>
    <row r="89" spans="1:22" x14ac:dyDescent="0.3">
      <c r="A89" s="9" t="s">
        <v>77</v>
      </c>
      <c r="B89" s="10">
        <v>1</v>
      </c>
      <c r="C89" s="10">
        <v>0</v>
      </c>
      <c r="D89" s="10">
        <v>1</v>
      </c>
      <c r="E89" s="10">
        <v>1</v>
      </c>
      <c r="F89" s="10">
        <v>0</v>
      </c>
      <c r="G89" s="10">
        <v>7</v>
      </c>
      <c r="H89" s="10" t="s">
        <v>24</v>
      </c>
      <c r="I89" s="10">
        <v>2</v>
      </c>
      <c r="J89" s="10">
        <v>5</v>
      </c>
      <c r="K89" s="10">
        <v>4</v>
      </c>
      <c r="L89" s="10">
        <v>1</v>
      </c>
      <c r="M89" s="10">
        <v>4</v>
      </c>
      <c r="N89" s="10">
        <v>3</v>
      </c>
      <c r="O89" s="10">
        <v>0</v>
      </c>
      <c r="P89" s="10">
        <v>0</v>
      </c>
      <c r="Q89" s="10">
        <v>0</v>
      </c>
      <c r="R89" s="10"/>
      <c r="S89" s="10">
        <v>1</v>
      </c>
      <c r="T89" s="10">
        <v>0</v>
      </c>
      <c r="U89" s="10">
        <v>2</v>
      </c>
      <c r="V89" s="11">
        <v>1</v>
      </c>
    </row>
    <row r="90" spans="1:22" x14ac:dyDescent="0.3">
      <c r="A90" s="9" t="s">
        <v>76</v>
      </c>
      <c r="B90" s="10">
        <v>1</v>
      </c>
      <c r="C90" s="10">
        <v>0</v>
      </c>
      <c r="D90" s="10">
        <v>1</v>
      </c>
      <c r="E90" s="10">
        <v>1</v>
      </c>
      <c r="F90" s="10">
        <v>0</v>
      </c>
      <c r="G90" s="10">
        <v>7</v>
      </c>
      <c r="H90" s="10">
        <v>1000</v>
      </c>
      <c r="I90" s="10">
        <v>5</v>
      </c>
      <c r="J90" s="10">
        <v>3</v>
      </c>
      <c r="K90" s="10">
        <v>5</v>
      </c>
      <c r="L90" s="10">
        <v>1</v>
      </c>
      <c r="M90" s="10">
        <v>4</v>
      </c>
      <c r="N90" s="10">
        <v>3</v>
      </c>
      <c r="O90" s="10">
        <v>1</v>
      </c>
      <c r="P90" s="10">
        <v>0</v>
      </c>
      <c r="Q90" s="10">
        <v>1</v>
      </c>
      <c r="R90" s="10">
        <v>2</v>
      </c>
      <c r="S90" s="10">
        <v>1</v>
      </c>
      <c r="T90" s="10">
        <v>0</v>
      </c>
      <c r="U90" s="10" t="e">
        <v>#N/A</v>
      </c>
      <c r="V90" s="11">
        <v>1</v>
      </c>
    </row>
    <row r="91" spans="1:22" x14ac:dyDescent="0.3">
      <c r="A91" s="9" t="s">
        <v>75</v>
      </c>
      <c r="B91" s="10">
        <v>1</v>
      </c>
      <c r="C91" s="10">
        <v>0</v>
      </c>
      <c r="D91" s="10">
        <v>5</v>
      </c>
      <c r="E91" s="10">
        <v>1</v>
      </c>
      <c r="F91" s="10">
        <v>0</v>
      </c>
      <c r="G91" s="10">
        <v>7</v>
      </c>
      <c r="H91" s="10">
        <v>1500</v>
      </c>
      <c r="I91" s="10">
        <v>5</v>
      </c>
      <c r="J91" s="10">
        <v>5</v>
      </c>
      <c r="K91" s="10">
        <v>4</v>
      </c>
      <c r="L91" s="10">
        <v>1</v>
      </c>
      <c r="M91" s="10">
        <v>4</v>
      </c>
      <c r="N91" s="10">
        <v>4</v>
      </c>
      <c r="O91" s="10">
        <v>0</v>
      </c>
      <c r="P91" s="10">
        <v>0</v>
      </c>
      <c r="Q91" s="10">
        <v>0</v>
      </c>
      <c r="R91" s="10"/>
      <c r="S91" s="10">
        <v>0</v>
      </c>
      <c r="T91" s="10" t="e">
        <v>#N/A</v>
      </c>
      <c r="U91" s="10">
        <v>2</v>
      </c>
      <c r="V91" s="11">
        <v>1</v>
      </c>
    </row>
    <row r="92" spans="1:22" x14ac:dyDescent="0.3">
      <c r="A92" s="9" t="s">
        <v>74</v>
      </c>
      <c r="B92" s="10">
        <v>1</v>
      </c>
      <c r="C92" s="10">
        <v>1</v>
      </c>
      <c r="D92" s="10" t="e">
        <v>#N/A</v>
      </c>
      <c r="E92" s="10">
        <v>2</v>
      </c>
      <c r="F92" s="10">
        <v>0</v>
      </c>
      <c r="G92" s="10">
        <v>4</v>
      </c>
      <c r="H92" s="10" t="s">
        <v>24</v>
      </c>
      <c r="I92" s="10">
        <v>2</v>
      </c>
      <c r="J92" s="10">
        <v>3</v>
      </c>
      <c r="K92" s="10">
        <v>4</v>
      </c>
      <c r="L92" s="10">
        <v>1</v>
      </c>
      <c r="M92" s="10">
        <v>4</v>
      </c>
      <c r="N92" s="10">
        <v>3</v>
      </c>
      <c r="O92" s="10">
        <v>0</v>
      </c>
      <c r="P92" s="10">
        <v>0</v>
      </c>
      <c r="Q92" s="10">
        <v>1</v>
      </c>
      <c r="R92" s="10">
        <v>1</v>
      </c>
      <c r="S92" s="10">
        <v>1</v>
      </c>
      <c r="T92" s="10">
        <v>0</v>
      </c>
      <c r="U92" s="10">
        <v>2</v>
      </c>
      <c r="V92" s="11">
        <v>1</v>
      </c>
    </row>
    <row r="93" spans="1:22" x14ac:dyDescent="0.3">
      <c r="A93" s="9" t="s">
        <v>73</v>
      </c>
      <c r="B93" s="10">
        <v>0</v>
      </c>
      <c r="C93" s="10">
        <v>0</v>
      </c>
      <c r="D93" s="10">
        <v>5</v>
      </c>
      <c r="E93" s="10">
        <v>6</v>
      </c>
      <c r="F93" s="10">
        <v>0</v>
      </c>
      <c r="G93" s="10">
        <v>7</v>
      </c>
      <c r="H93" s="10" t="s">
        <v>24</v>
      </c>
      <c r="I93" s="10">
        <v>2</v>
      </c>
      <c r="J93" s="10">
        <v>2</v>
      </c>
      <c r="K93" s="10">
        <v>4</v>
      </c>
      <c r="L93" s="10">
        <v>1</v>
      </c>
      <c r="M93" s="10">
        <v>4</v>
      </c>
      <c r="N93" s="10">
        <v>3</v>
      </c>
      <c r="O93" s="10">
        <v>0</v>
      </c>
      <c r="P93" s="10">
        <v>0</v>
      </c>
      <c r="Q93" s="10">
        <v>0</v>
      </c>
      <c r="R93" s="10"/>
      <c r="S93" s="10">
        <v>1</v>
      </c>
      <c r="T93" s="10" t="e">
        <v>#N/A</v>
      </c>
      <c r="U93" s="10">
        <v>2</v>
      </c>
      <c r="V93" s="11">
        <v>1</v>
      </c>
    </row>
    <row r="94" spans="1:22" x14ac:dyDescent="0.3">
      <c r="A94" s="9" t="s">
        <v>72</v>
      </c>
      <c r="B94" s="10">
        <v>1</v>
      </c>
      <c r="C94" s="10">
        <v>0</v>
      </c>
      <c r="D94" s="10">
        <v>2</v>
      </c>
      <c r="E94" s="10">
        <v>1</v>
      </c>
      <c r="F94" s="10">
        <v>0</v>
      </c>
      <c r="G94" s="10">
        <v>7</v>
      </c>
      <c r="H94" s="10" t="s">
        <v>24</v>
      </c>
      <c r="I94" s="10">
        <v>5</v>
      </c>
      <c r="J94" s="10">
        <v>5</v>
      </c>
      <c r="K94" s="10">
        <v>4</v>
      </c>
      <c r="L94" s="10">
        <v>1</v>
      </c>
      <c r="M94" s="10">
        <v>3</v>
      </c>
      <c r="N94" s="10">
        <v>1</v>
      </c>
      <c r="O94" s="10">
        <v>1</v>
      </c>
      <c r="P94" s="10">
        <v>0</v>
      </c>
      <c r="Q94" s="10">
        <v>0</v>
      </c>
      <c r="R94" s="10"/>
      <c r="S94" s="10">
        <v>0</v>
      </c>
      <c r="T94" s="10">
        <v>0</v>
      </c>
      <c r="U94" s="10">
        <v>2</v>
      </c>
      <c r="V94" s="11">
        <v>1</v>
      </c>
    </row>
    <row r="95" spans="1:22" x14ac:dyDescent="0.3">
      <c r="A95" s="9" t="s">
        <v>71</v>
      </c>
      <c r="B95" s="10">
        <v>1</v>
      </c>
      <c r="C95" s="10">
        <v>0</v>
      </c>
      <c r="D95" s="10">
        <v>1</v>
      </c>
      <c r="E95" s="10">
        <v>1</v>
      </c>
      <c r="F95" s="10">
        <v>0</v>
      </c>
      <c r="G95" s="10">
        <v>7</v>
      </c>
      <c r="H95" s="10">
        <v>500</v>
      </c>
      <c r="I95" s="10">
        <v>5</v>
      </c>
      <c r="J95" s="10">
        <v>4</v>
      </c>
      <c r="K95" s="10">
        <v>5</v>
      </c>
      <c r="L95" s="10">
        <v>2</v>
      </c>
      <c r="M95" s="10">
        <v>4</v>
      </c>
      <c r="N95" s="10">
        <v>3</v>
      </c>
      <c r="O95" s="10">
        <v>0</v>
      </c>
      <c r="P95" s="10">
        <v>0</v>
      </c>
      <c r="Q95" s="10">
        <v>1</v>
      </c>
      <c r="R95" s="10">
        <v>2</v>
      </c>
      <c r="S95" s="10">
        <v>1</v>
      </c>
      <c r="T95" s="10">
        <v>1</v>
      </c>
      <c r="U95" s="10">
        <v>2</v>
      </c>
      <c r="V95" s="11">
        <v>1</v>
      </c>
    </row>
    <row r="96" spans="1:22" x14ac:dyDescent="0.3">
      <c r="A96" s="9" t="s">
        <v>70</v>
      </c>
      <c r="B96" s="10">
        <v>1</v>
      </c>
      <c r="C96" s="10">
        <v>1</v>
      </c>
      <c r="D96" s="10">
        <v>5</v>
      </c>
      <c r="E96" s="10">
        <v>6</v>
      </c>
      <c r="F96" s="10">
        <v>0</v>
      </c>
      <c r="G96" s="10">
        <v>7</v>
      </c>
      <c r="H96" s="10">
        <v>1000</v>
      </c>
      <c r="I96" s="10">
        <v>5</v>
      </c>
      <c r="J96" s="10">
        <v>2</v>
      </c>
      <c r="K96" s="10">
        <v>2</v>
      </c>
      <c r="L96" s="10">
        <v>1</v>
      </c>
      <c r="M96" s="10">
        <v>5</v>
      </c>
      <c r="N96" s="10">
        <v>3</v>
      </c>
      <c r="O96" s="10">
        <v>0</v>
      </c>
      <c r="P96" s="10">
        <v>0</v>
      </c>
      <c r="Q96" s="10">
        <v>0</v>
      </c>
      <c r="R96" s="10"/>
      <c r="S96" s="10">
        <v>0</v>
      </c>
      <c r="T96" s="10">
        <v>1</v>
      </c>
      <c r="U96" s="10">
        <v>4</v>
      </c>
      <c r="V96" s="11">
        <v>1</v>
      </c>
    </row>
    <row r="97" spans="1:22" x14ac:dyDescent="0.3">
      <c r="A97" s="9" t="s">
        <v>69</v>
      </c>
      <c r="B97" s="10">
        <v>1</v>
      </c>
      <c r="C97" s="10">
        <v>0</v>
      </c>
      <c r="D97" s="10">
        <v>1</v>
      </c>
      <c r="E97" s="10">
        <v>1</v>
      </c>
      <c r="F97" s="10">
        <v>0</v>
      </c>
      <c r="G97" s="10">
        <v>7</v>
      </c>
      <c r="H97" s="10">
        <v>1500</v>
      </c>
      <c r="I97" s="10">
        <v>2</v>
      </c>
      <c r="J97" s="10">
        <v>3</v>
      </c>
      <c r="K97" s="10">
        <v>5</v>
      </c>
      <c r="L97" s="10">
        <v>1</v>
      </c>
      <c r="M97" s="10">
        <v>3</v>
      </c>
      <c r="N97" s="10">
        <v>4</v>
      </c>
      <c r="O97" s="10" t="e">
        <v>#N/A</v>
      </c>
      <c r="P97" s="10">
        <v>0</v>
      </c>
      <c r="Q97" s="10">
        <v>1</v>
      </c>
      <c r="R97" s="10">
        <v>2</v>
      </c>
      <c r="S97" s="10">
        <v>1</v>
      </c>
      <c r="T97" s="10">
        <v>0</v>
      </c>
      <c r="U97" s="10" t="e">
        <v>#N/A</v>
      </c>
      <c r="V97" s="11">
        <v>1</v>
      </c>
    </row>
    <row r="98" spans="1:22" x14ac:dyDescent="0.3">
      <c r="A98" s="9" t="s">
        <v>68</v>
      </c>
      <c r="B98" s="10">
        <v>1</v>
      </c>
      <c r="C98" s="10">
        <v>1</v>
      </c>
      <c r="D98" s="10">
        <v>2</v>
      </c>
      <c r="E98" s="10">
        <v>6</v>
      </c>
      <c r="F98" s="10">
        <v>0</v>
      </c>
      <c r="G98" s="10">
        <v>7</v>
      </c>
      <c r="H98" s="10" t="s">
        <v>24</v>
      </c>
      <c r="I98" s="10">
        <v>2</v>
      </c>
      <c r="J98" s="10">
        <v>1</v>
      </c>
      <c r="K98" s="10">
        <v>4</v>
      </c>
      <c r="L98" s="10">
        <v>1</v>
      </c>
      <c r="M98" s="10">
        <v>4</v>
      </c>
      <c r="N98" s="10">
        <v>3</v>
      </c>
      <c r="O98" s="10">
        <v>1</v>
      </c>
      <c r="P98" s="10">
        <v>0</v>
      </c>
      <c r="Q98" s="10">
        <v>1</v>
      </c>
      <c r="R98" s="10">
        <v>15</v>
      </c>
      <c r="S98" s="10">
        <v>1</v>
      </c>
      <c r="T98" s="10" t="e">
        <v>#N/A</v>
      </c>
      <c r="U98" s="10">
        <v>2</v>
      </c>
      <c r="V98" s="11">
        <v>1</v>
      </c>
    </row>
    <row r="99" spans="1:22" x14ac:dyDescent="0.3">
      <c r="A99" s="9" t="s">
        <v>67</v>
      </c>
      <c r="B99" s="10">
        <v>1</v>
      </c>
      <c r="C99" s="10">
        <v>0</v>
      </c>
      <c r="D99" s="10">
        <v>2</v>
      </c>
      <c r="E99" s="10">
        <v>1</v>
      </c>
      <c r="F99" s="10">
        <v>0</v>
      </c>
      <c r="G99" s="10">
        <v>8</v>
      </c>
      <c r="H99" s="10" t="s">
        <v>24</v>
      </c>
      <c r="I99" s="10">
        <v>5</v>
      </c>
      <c r="J99" s="10">
        <v>1</v>
      </c>
      <c r="K99" s="10">
        <v>4</v>
      </c>
      <c r="L99" s="10">
        <v>1</v>
      </c>
      <c r="M99" s="10">
        <v>3</v>
      </c>
      <c r="N99" s="10">
        <v>1</v>
      </c>
      <c r="O99" s="10">
        <v>1</v>
      </c>
      <c r="P99" s="10">
        <v>0</v>
      </c>
      <c r="Q99" s="10">
        <v>1</v>
      </c>
      <c r="R99" s="10">
        <v>2</v>
      </c>
      <c r="S99" s="10">
        <v>0</v>
      </c>
      <c r="T99" s="10">
        <v>0</v>
      </c>
      <c r="U99" s="10">
        <v>2</v>
      </c>
      <c r="V99" s="11">
        <v>2</v>
      </c>
    </row>
    <row r="100" spans="1:22" x14ac:dyDescent="0.3">
      <c r="A100" s="9" t="s">
        <v>66</v>
      </c>
      <c r="B100" s="10">
        <v>1</v>
      </c>
      <c r="C100" s="10">
        <v>0</v>
      </c>
      <c r="D100" s="10">
        <v>0</v>
      </c>
      <c r="E100" s="10">
        <v>1</v>
      </c>
      <c r="F100" s="10">
        <v>1</v>
      </c>
      <c r="G100" s="10">
        <v>2</v>
      </c>
      <c r="H100" s="10" t="s">
        <v>24</v>
      </c>
      <c r="I100" s="10">
        <v>2</v>
      </c>
      <c r="J100" s="10">
        <v>4</v>
      </c>
      <c r="K100" s="10">
        <v>4</v>
      </c>
      <c r="L100" s="10">
        <v>1</v>
      </c>
      <c r="M100" s="10">
        <v>4</v>
      </c>
      <c r="N100" s="10">
        <v>1</v>
      </c>
      <c r="O100" s="10">
        <v>1</v>
      </c>
      <c r="P100" s="10">
        <v>1</v>
      </c>
      <c r="Q100" s="10">
        <v>1</v>
      </c>
      <c r="R100" s="10"/>
      <c r="S100" s="10">
        <v>1</v>
      </c>
      <c r="T100" s="10">
        <v>1</v>
      </c>
      <c r="U100" s="10" t="e">
        <v>#N/A</v>
      </c>
      <c r="V100" s="11">
        <v>1</v>
      </c>
    </row>
    <row r="101" spans="1:22" x14ac:dyDescent="0.3">
      <c r="A101" s="9" t="s">
        <v>65</v>
      </c>
      <c r="B101" s="10">
        <v>1</v>
      </c>
      <c r="C101" s="10">
        <v>0</v>
      </c>
      <c r="D101" s="10">
        <v>1</v>
      </c>
      <c r="E101" s="10">
        <v>6</v>
      </c>
      <c r="F101" s="10">
        <v>0</v>
      </c>
      <c r="G101" s="10">
        <v>7</v>
      </c>
      <c r="H101" s="10">
        <v>1000</v>
      </c>
      <c r="I101" s="10">
        <v>2</v>
      </c>
      <c r="J101" s="10">
        <v>5</v>
      </c>
      <c r="K101" s="10">
        <v>4</v>
      </c>
      <c r="L101" s="10">
        <v>1</v>
      </c>
      <c r="M101" s="10">
        <v>4</v>
      </c>
      <c r="N101" s="10">
        <v>3</v>
      </c>
      <c r="O101" s="10">
        <v>0</v>
      </c>
      <c r="P101" s="10">
        <v>0</v>
      </c>
      <c r="Q101" s="10">
        <v>0</v>
      </c>
      <c r="R101" s="10"/>
      <c r="S101" s="10">
        <v>1</v>
      </c>
      <c r="T101" s="10" t="e">
        <v>#N/A</v>
      </c>
      <c r="U101" s="10" t="e">
        <v>#N/A</v>
      </c>
      <c r="V101" s="11">
        <v>1</v>
      </c>
    </row>
    <row r="102" spans="1:22" x14ac:dyDescent="0.3">
      <c r="A102" s="9" t="s">
        <v>64</v>
      </c>
      <c r="B102" s="10">
        <v>1</v>
      </c>
      <c r="C102" s="10">
        <v>1</v>
      </c>
      <c r="D102" s="10">
        <v>1</v>
      </c>
      <c r="E102" s="10">
        <v>1</v>
      </c>
      <c r="F102" s="10">
        <v>0</v>
      </c>
      <c r="G102" s="10">
        <v>5</v>
      </c>
      <c r="H102" s="10" t="s">
        <v>24</v>
      </c>
      <c r="I102" s="10">
        <v>2</v>
      </c>
      <c r="J102" s="10">
        <v>1</v>
      </c>
      <c r="K102" s="10">
        <v>4</v>
      </c>
      <c r="L102" s="10">
        <v>1</v>
      </c>
      <c r="M102" s="10">
        <v>4</v>
      </c>
      <c r="N102" s="10">
        <v>3</v>
      </c>
      <c r="O102" s="10">
        <v>0</v>
      </c>
      <c r="P102" s="10">
        <v>0</v>
      </c>
      <c r="Q102" s="10">
        <v>0</v>
      </c>
      <c r="R102" s="10"/>
      <c r="S102" s="10">
        <v>1</v>
      </c>
      <c r="T102" s="10">
        <v>0</v>
      </c>
      <c r="U102" s="10" t="e">
        <v>#N/A</v>
      </c>
      <c r="V102" s="11">
        <v>1</v>
      </c>
    </row>
    <row r="103" spans="1:22" x14ac:dyDescent="0.3">
      <c r="A103" s="9" t="s">
        <v>63</v>
      </c>
      <c r="B103" s="10">
        <v>1</v>
      </c>
      <c r="C103" s="10">
        <v>0</v>
      </c>
      <c r="D103" s="10">
        <v>1</v>
      </c>
      <c r="E103" s="10">
        <v>1</v>
      </c>
      <c r="F103" s="10">
        <v>0</v>
      </c>
      <c r="G103" s="10">
        <v>7</v>
      </c>
      <c r="H103" s="10">
        <v>1500</v>
      </c>
      <c r="I103" s="10">
        <v>2</v>
      </c>
      <c r="J103" s="10">
        <v>3</v>
      </c>
      <c r="K103" s="10">
        <v>5</v>
      </c>
      <c r="L103" s="10">
        <v>1</v>
      </c>
      <c r="M103" s="10">
        <v>4</v>
      </c>
      <c r="N103" s="10">
        <v>4</v>
      </c>
      <c r="O103" s="10">
        <v>0</v>
      </c>
      <c r="P103" s="10">
        <v>0</v>
      </c>
      <c r="Q103" s="10">
        <v>1</v>
      </c>
      <c r="R103" s="10">
        <v>2</v>
      </c>
      <c r="S103" s="10">
        <v>1</v>
      </c>
      <c r="T103" s="10" t="e">
        <v>#N/A</v>
      </c>
      <c r="U103" s="10">
        <v>2</v>
      </c>
      <c r="V103" s="11">
        <v>1</v>
      </c>
    </row>
    <row r="104" spans="1:22" x14ac:dyDescent="0.3">
      <c r="A104" s="9" t="s">
        <v>62</v>
      </c>
      <c r="B104" s="10">
        <v>1</v>
      </c>
      <c r="C104" s="10">
        <v>0</v>
      </c>
      <c r="D104" s="10">
        <v>2</v>
      </c>
      <c r="E104" s="10">
        <v>1</v>
      </c>
      <c r="F104" s="10">
        <v>0</v>
      </c>
      <c r="G104" s="10">
        <v>7</v>
      </c>
      <c r="H104" s="10">
        <v>2000</v>
      </c>
      <c r="I104" s="10">
        <v>2</v>
      </c>
      <c r="J104" s="10">
        <v>4</v>
      </c>
      <c r="K104" s="10">
        <v>4</v>
      </c>
      <c r="L104" s="10">
        <v>1</v>
      </c>
      <c r="M104" s="10">
        <v>4</v>
      </c>
      <c r="N104" s="10">
        <v>4</v>
      </c>
      <c r="O104" s="10">
        <v>1</v>
      </c>
      <c r="P104" s="10">
        <v>0</v>
      </c>
      <c r="Q104" s="10">
        <v>1</v>
      </c>
      <c r="R104" s="10">
        <v>1</v>
      </c>
      <c r="S104" s="10">
        <v>1</v>
      </c>
      <c r="T104" s="10">
        <v>1</v>
      </c>
      <c r="U104" s="10">
        <v>2</v>
      </c>
      <c r="V104" s="11">
        <v>1</v>
      </c>
    </row>
    <row r="105" spans="1:22" x14ac:dyDescent="0.3">
      <c r="A105" s="9" t="s">
        <v>61</v>
      </c>
      <c r="B105" s="10">
        <v>1</v>
      </c>
      <c r="C105" s="10">
        <v>1</v>
      </c>
      <c r="D105" s="10">
        <v>2</v>
      </c>
      <c r="E105" s="10">
        <v>3</v>
      </c>
      <c r="F105" s="10">
        <v>0</v>
      </c>
      <c r="G105" s="10">
        <v>5</v>
      </c>
      <c r="H105" s="10" t="s">
        <v>24</v>
      </c>
      <c r="I105" s="10">
        <v>8</v>
      </c>
      <c r="J105" s="10">
        <v>3</v>
      </c>
      <c r="K105" s="10">
        <v>4</v>
      </c>
      <c r="L105" s="10">
        <v>1</v>
      </c>
      <c r="M105" s="10">
        <v>4</v>
      </c>
      <c r="N105" s="10">
        <v>3</v>
      </c>
      <c r="O105" s="10">
        <v>0</v>
      </c>
      <c r="P105" s="10">
        <v>0</v>
      </c>
      <c r="Q105" s="10">
        <v>1</v>
      </c>
      <c r="R105" s="10">
        <v>2020</v>
      </c>
      <c r="S105" s="10">
        <v>1</v>
      </c>
      <c r="T105" s="10">
        <v>1</v>
      </c>
      <c r="U105" s="10">
        <v>2</v>
      </c>
      <c r="V105" s="11">
        <v>1</v>
      </c>
    </row>
    <row r="106" spans="1:22" x14ac:dyDescent="0.3">
      <c r="A106" s="9" t="s">
        <v>60</v>
      </c>
      <c r="B106" s="10">
        <v>1</v>
      </c>
      <c r="C106" s="10">
        <v>0</v>
      </c>
      <c r="D106" s="10">
        <v>2</v>
      </c>
      <c r="E106" s="10">
        <v>1</v>
      </c>
      <c r="F106" s="10">
        <v>0</v>
      </c>
      <c r="G106" s="10">
        <v>8</v>
      </c>
      <c r="H106" s="10" t="s">
        <v>24</v>
      </c>
      <c r="I106" s="10">
        <v>5</v>
      </c>
      <c r="J106" s="10">
        <v>6</v>
      </c>
      <c r="K106" s="10">
        <v>4</v>
      </c>
      <c r="L106" s="10">
        <v>1</v>
      </c>
      <c r="M106" s="10">
        <v>4</v>
      </c>
      <c r="N106" s="10">
        <v>1</v>
      </c>
      <c r="O106" s="10">
        <v>1</v>
      </c>
      <c r="P106" s="10">
        <v>0</v>
      </c>
      <c r="Q106" s="10">
        <v>0</v>
      </c>
      <c r="R106" s="10"/>
      <c r="S106" s="10">
        <v>0</v>
      </c>
      <c r="T106" s="10">
        <v>1</v>
      </c>
      <c r="U106" s="10">
        <v>2</v>
      </c>
      <c r="V106" s="11">
        <v>1</v>
      </c>
    </row>
    <row r="107" spans="1:22" x14ac:dyDescent="0.3">
      <c r="A107" s="9" t="s">
        <v>59</v>
      </c>
      <c r="B107" s="10">
        <v>1</v>
      </c>
      <c r="C107" s="10">
        <v>0</v>
      </c>
      <c r="D107" s="10">
        <v>1</v>
      </c>
      <c r="E107" s="10">
        <v>1</v>
      </c>
      <c r="F107" s="10">
        <v>0</v>
      </c>
      <c r="G107" s="10">
        <v>7</v>
      </c>
      <c r="H107" s="10">
        <v>1500</v>
      </c>
      <c r="I107" s="10">
        <v>2</v>
      </c>
      <c r="J107" s="10">
        <v>2</v>
      </c>
      <c r="K107" s="10">
        <v>5</v>
      </c>
      <c r="L107" s="10">
        <v>1</v>
      </c>
      <c r="M107" s="10">
        <v>3</v>
      </c>
      <c r="N107" s="10">
        <v>3</v>
      </c>
      <c r="O107" s="10">
        <v>0</v>
      </c>
      <c r="P107" s="10">
        <v>0</v>
      </c>
      <c r="Q107" s="10">
        <v>1</v>
      </c>
      <c r="R107" s="10">
        <v>2</v>
      </c>
      <c r="S107" s="10">
        <v>1</v>
      </c>
      <c r="T107" s="10">
        <v>1</v>
      </c>
      <c r="U107" s="10" t="e">
        <v>#N/A</v>
      </c>
      <c r="V107" s="11">
        <v>1</v>
      </c>
    </row>
    <row r="108" spans="1:22" x14ac:dyDescent="0.3">
      <c r="A108" s="9" t="s">
        <v>58</v>
      </c>
      <c r="B108" s="10">
        <v>1</v>
      </c>
      <c r="C108" s="10">
        <v>1</v>
      </c>
      <c r="D108" s="10">
        <v>2</v>
      </c>
      <c r="E108" s="10">
        <v>3</v>
      </c>
      <c r="F108" s="10">
        <v>0</v>
      </c>
      <c r="G108" s="10">
        <v>4</v>
      </c>
      <c r="H108" s="10">
        <v>1000</v>
      </c>
      <c r="I108" s="10">
        <v>2</v>
      </c>
      <c r="J108" s="10">
        <v>3</v>
      </c>
      <c r="K108" s="10">
        <v>4</v>
      </c>
      <c r="L108" s="10">
        <v>1</v>
      </c>
      <c r="M108" s="10">
        <v>3</v>
      </c>
      <c r="N108" s="10">
        <v>3</v>
      </c>
      <c r="O108" s="10">
        <v>0</v>
      </c>
      <c r="P108" s="10">
        <v>0</v>
      </c>
      <c r="Q108" s="10">
        <v>1</v>
      </c>
      <c r="R108" s="10">
        <v>2021</v>
      </c>
      <c r="S108" s="10">
        <v>0</v>
      </c>
      <c r="T108" s="10" t="e">
        <v>#N/A</v>
      </c>
      <c r="U108" s="10">
        <v>2</v>
      </c>
      <c r="V108" s="11">
        <v>1</v>
      </c>
    </row>
    <row r="109" spans="1:22" x14ac:dyDescent="0.3">
      <c r="A109" s="9" t="s">
        <v>57</v>
      </c>
      <c r="B109" s="10">
        <v>1</v>
      </c>
      <c r="C109" s="10">
        <v>0</v>
      </c>
      <c r="D109" s="10">
        <v>1</v>
      </c>
      <c r="E109" s="10">
        <v>6</v>
      </c>
      <c r="F109" s="10">
        <v>0</v>
      </c>
      <c r="G109" s="10">
        <v>7</v>
      </c>
      <c r="H109" s="10" t="s">
        <v>24</v>
      </c>
      <c r="I109" s="10">
        <v>5</v>
      </c>
      <c r="J109" s="10">
        <v>4</v>
      </c>
      <c r="K109" s="10">
        <v>4</v>
      </c>
      <c r="L109" s="10">
        <v>1</v>
      </c>
      <c r="M109" s="10">
        <v>4</v>
      </c>
      <c r="N109" s="10">
        <v>3</v>
      </c>
      <c r="O109" s="10">
        <v>1</v>
      </c>
      <c r="P109" s="10">
        <v>0</v>
      </c>
      <c r="Q109" s="10">
        <v>0</v>
      </c>
      <c r="R109" s="10"/>
      <c r="S109" s="10">
        <v>1</v>
      </c>
      <c r="T109" s="10">
        <v>1</v>
      </c>
      <c r="U109" s="10">
        <v>2</v>
      </c>
      <c r="V109" s="11">
        <v>1</v>
      </c>
    </row>
    <row r="110" spans="1:22" x14ac:dyDescent="0.3">
      <c r="A110" s="9" t="s">
        <v>56</v>
      </c>
      <c r="B110" s="10">
        <v>1</v>
      </c>
      <c r="C110" s="10">
        <v>0</v>
      </c>
      <c r="D110" s="10">
        <v>5</v>
      </c>
      <c r="E110" s="10">
        <v>6</v>
      </c>
      <c r="F110" s="10">
        <v>0</v>
      </c>
      <c r="G110" s="10">
        <v>7</v>
      </c>
      <c r="H110" s="10">
        <v>1000</v>
      </c>
      <c r="I110" s="10">
        <v>5</v>
      </c>
      <c r="J110" s="10">
        <v>3</v>
      </c>
      <c r="K110" s="10">
        <v>4</v>
      </c>
      <c r="L110" s="10">
        <v>1</v>
      </c>
      <c r="M110" s="10">
        <v>4</v>
      </c>
      <c r="N110" s="10">
        <v>3</v>
      </c>
      <c r="O110" s="10">
        <v>0</v>
      </c>
      <c r="P110" s="10">
        <v>0</v>
      </c>
      <c r="Q110" s="10">
        <v>1</v>
      </c>
      <c r="R110" s="10">
        <v>2</v>
      </c>
      <c r="S110" s="10">
        <v>1</v>
      </c>
      <c r="T110" s="10">
        <v>0</v>
      </c>
      <c r="U110" s="10" t="e">
        <v>#N/A</v>
      </c>
      <c r="V110" s="11">
        <v>1</v>
      </c>
    </row>
    <row r="111" spans="1:22" x14ac:dyDescent="0.3">
      <c r="A111" s="9" t="s">
        <v>55</v>
      </c>
      <c r="B111" s="10">
        <v>1</v>
      </c>
      <c r="C111" s="10">
        <v>1</v>
      </c>
      <c r="D111" s="10">
        <v>1</v>
      </c>
      <c r="E111" s="10">
        <v>1</v>
      </c>
      <c r="F111" s="10">
        <v>0</v>
      </c>
      <c r="G111" s="10">
        <v>7</v>
      </c>
      <c r="H111" s="10">
        <v>2500</v>
      </c>
      <c r="I111" s="10">
        <v>2</v>
      </c>
      <c r="J111" s="10">
        <v>2</v>
      </c>
      <c r="K111" s="10">
        <v>4</v>
      </c>
      <c r="L111" s="10">
        <v>2</v>
      </c>
      <c r="M111" s="10">
        <v>3</v>
      </c>
      <c r="N111" s="10">
        <v>4</v>
      </c>
      <c r="O111" s="10">
        <v>0</v>
      </c>
      <c r="P111" s="10">
        <v>0</v>
      </c>
      <c r="Q111" s="10">
        <v>1</v>
      </c>
      <c r="R111" s="10">
        <v>2</v>
      </c>
      <c r="S111" s="10">
        <v>0</v>
      </c>
      <c r="T111" s="10" t="e">
        <v>#N/A</v>
      </c>
      <c r="U111" s="10">
        <v>2</v>
      </c>
      <c r="V111" s="11">
        <v>1</v>
      </c>
    </row>
    <row r="112" spans="1:22" x14ac:dyDescent="0.3">
      <c r="A112" s="9" t="s">
        <v>54</v>
      </c>
      <c r="B112" s="10">
        <v>1</v>
      </c>
      <c r="C112" s="10">
        <v>1</v>
      </c>
      <c r="D112" s="10">
        <v>1</v>
      </c>
      <c r="E112" s="10">
        <v>1</v>
      </c>
      <c r="F112" s="10">
        <v>0</v>
      </c>
      <c r="G112" s="10">
        <v>7</v>
      </c>
      <c r="H112" s="10">
        <v>500</v>
      </c>
      <c r="I112" s="10">
        <v>5</v>
      </c>
      <c r="J112" s="10">
        <v>2</v>
      </c>
      <c r="K112" s="10">
        <v>4</v>
      </c>
      <c r="L112" s="10">
        <v>1</v>
      </c>
      <c r="M112" s="10">
        <v>4</v>
      </c>
      <c r="N112" s="10">
        <v>3</v>
      </c>
      <c r="O112" s="10">
        <v>0</v>
      </c>
      <c r="P112" s="10">
        <v>0</v>
      </c>
      <c r="Q112" s="10">
        <v>0</v>
      </c>
      <c r="R112" s="10"/>
      <c r="S112" s="10">
        <v>1</v>
      </c>
      <c r="T112" s="10">
        <v>1</v>
      </c>
      <c r="U112" s="10">
        <v>2</v>
      </c>
      <c r="V112" s="11">
        <v>1</v>
      </c>
    </row>
    <row r="113" spans="1:22" x14ac:dyDescent="0.3">
      <c r="A113" s="9" t="s">
        <v>53</v>
      </c>
      <c r="B113" s="10">
        <v>1</v>
      </c>
      <c r="C113" s="10">
        <v>0</v>
      </c>
      <c r="D113" s="10">
        <v>4</v>
      </c>
      <c r="E113" s="10">
        <v>6</v>
      </c>
      <c r="F113" s="10">
        <v>0</v>
      </c>
      <c r="G113" s="10">
        <v>7</v>
      </c>
      <c r="H113" s="10">
        <v>1000</v>
      </c>
      <c r="I113" s="10">
        <v>5</v>
      </c>
      <c r="J113" s="10">
        <v>7</v>
      </c>
      <c r="K113" s="10">
        <v>4</v>
      </c>
      <c r="L113" s="10">
        <v>1</v>
      </c>
      <c r="M113" s="10">
        <v>4</v>
      </c>
      <c r="N113" s="10">
        <v>3</v>
      </c>
      <c r="O113" s="10">
        <v>0</v>
      </c>
      <c r="P113" s="10">
        <v>0</v>
      </c>
      <c r="Q113" s="10">
        <v>0</v>
      </c>
      <c r="R113" s="10"/>
      <c r="S113" s="10">
        <v>1</v>
      </c>
      <c r="T113" s="10">
        <v>0</v>
      </c>
      <c r="U113" s="10">
        <v>4</v>
      </c>
      <c r="V113" s="11">
        <v>1</v>
      </c>
    </row>
    <row r="114" spans="1:22" x14ac:dyDescent="0.3">
      <c r="A114" s="9" t="s">
        <v>52</v>
      </c>
      <c r="B114" s="10">
        <v>1</v>
      </c>
      <c r="C114" s="10">
        <v>0</v>
      </c>
      <c r="D114" s="10">
        <v>1</v>
      </c>
      <c r="E114" s="10">
        <v>1</v>
      </c>
      <c r="F114" s="10">
        <v>1</v>
      </c>
      <c r="G114" s="10">
        <v>7</v>
      </c>
      <c r="H114" s="10">
        <v>1000</v>
      </c>
      <c r="I114" s="10">
        <v>5</v>
      </c>
      <c r="J114" s="10">
        <v>4</v>
      </c>
      <c r="K114" s="10">
        <v>5</v>
      </c>
      <c r="L114" s="10">
        <v>1</v>
      </c>
      <c r="M114" s="10">
        <v>4</v>
      </c>
      <c r="N114" s="10">
        <v>3</v>
      </c>
      <c r="O114" s="10">
        <v>1</v>
      </c>
      <c r="P114" s="10">
        <v>0</v>
      </c>
      <c r="Q114" s="10">
        <v>1</v>
      </c>
      <c r="R114" s="10">
        <v>2</v>
      </c>
      <c r="S114" s="10">
        <v>1</v>
      </c>
      <c r="T114" s="10">
        <v>0</v>
      </c>
      <c r="U114" s="10" t="e">
        <v>#N/A</v>
      </c>
      <c r="V114" s="11">
        <v>1</v>
      </c>
    </row>
    <row r="115" spans="1:22" x14ac:dyDescent="0.3">
      <c r="A115" s="9" t="s">
        <v>51</v>
      </c>
      <c r="B115" s="10">
        <v>1</v>
      </c>
      <c r="C115" s="10">
        <v>0</v>
      </c>
      <c r="D115" s="10">
        <v>2</v>
      </c>
      <c r="E115" s="10">
        <v>1</v>
      </c>
      <c r="F115" s="10">
        <v>0</v>
      </c>
      <c r="G115" s="10">
        <v>7</v>
      </c>
      <c r="H115" s="10" t="s">
        <v>24</v>
      </c>
      <c r="I115" s="10">
        <v>4</v>
      </c>
      <c r="J115" s="10">
        <v>6</v>
      </c>
      <c r="K115" s="10">
        <v>4</v>
      </c>
      <c r="L115" s="10">
        <v>1</v>
      </c>
      <c r="M115" s="10">
        <v>4</v>
      </c>
      <c r="N115" s="10">
        <v>2</v>
      </c>
      <c r="O115" s="10">
        <v>1</v>
      </c>
      <c r="P115" s="10">
        <v>1</v>
      </c>
      <c r="Q115" s="10">
        <v>1</v>
      </c>
      <c r="R115" s="10">
        <v>5</v>
      </c>
      <c r="S115" s="10">
        <v>1</v>
      </c>
      <c r="T115" s="10" t="e">
        <v>#N/A</v>
      </c>
      <c r="U115" s="10">
        <v>2</v>
      </c>
      <c r="V115" s="11">
        <v>1</v>
      </c>
    </row>
    <row r="116" spans="1:22" x14ac:dyDescent="0.3">
      <c r="A116" s="9" t="s">
        <v>50</v>
      </c>
      <c r="B116" s="10">
        <v>1</v>
      </c>
      <c r="C116" s="10">
        <v>0</v>
      </c>
      <c r="D116" s="10">
        <v>1</v>
      </c>
      <c r="E116" s="10">
        <v>1</v>
      </c>
      <c r="F116" s="10">
        <v>0</v>
      </c>
      <c r="G116" s="10">
        <v>7</v>
      </c>
      <c r="H116" s="10">
        <v>1000</v>
      </c>
      <c r="I116" s="10">
        <v>2</v>
      </c>
      <c r="J116" s="10">
        <v>1</v>
      </c>
      <c r="K116" s="10">
        <v>4</v>
      </c>
      <c r="L116" s="10">
        <v>1</v>
      </c>
      <c r="M116" s="10">
        <v>3</v>
      </c>
      <c r="N116" s="10">
        <v>3</v>
      </c>
      <c r="O116" s="10" t="e">
        <v>#N/A</v>
      </c>
      <c r="P116" s="10">
        <v>1</v>
      </c>
      <c r="Q116" s="10">
        <v>1</v>
      </c>
      <c r="R116" s="10"/>
      <c r="S116" s="10">
        <v>1</v>
      </c>
      <c r="T116" s="10">
        <v>1</v>
      </c>
      <c r="U116" s="10" t="e">
        <v>#N/A</v>
      </c>
      <c r="V116" s="11">
        <v>1</v>
      </c>
    </row>
    <row r="117" spans="1:22" x14ac:dyDescent="0.3">
      <c r="A117" s="9" t="s">
        <v>49</v>
      </c>
      <c r="B117" s="10">
        <v>1</v>
      </c>
      <c r="C117" s="10">
        <v>1</v>
      </c>
      <c r="D117" s="10">
        <v>1</v>
      </c>
      <c r="E117" s="10">
        <v>1</v>
      </c>
      <c r="F117" s="10">
        <v>0</v>
      </c>
      <c r="G117" s="10">
        <v>7</v>
      </c>
      <c r="H117" s="10">
        <v>3000</v>
      </c>
      <c r="I117" s="10">
        <v>5</v>
      </c>
      <c r="J117" s="10">
        <v>6</v>
      </c>
      <c r="K117" s="10">
        <v>4</v>
      </c>
      <c r="L117" s="10">
        <v>1</v>
      </c>
      <c r="M117" s="10">
        <v>4</v>
      </c>
      <c r="N117" s="10">
        <v>1</v>
      </c>
      <c r="O117" s="10">
        <v>1</v>
      </c>
      <c r="P117" s="10">
        <v>0</v>
      </c>
      <c r="Q117" s="10">
        <v>1</v>
      </c>
      <c r="R117" s="10">
        <v>2</v>
      </c>
      <c r="S117" s="10">
        <v>0</v>
      </c>
      <c r="T117" s="10" t="e">
        <v>#N/A</v>
      </c>
      <c r="U117" s="10">
        <v>4</v>
      </c>
      <c r="V117" s="11">
        <v>1</v>
      </c>
    </row>
    <row r="118" spans="1:22" x14ac:dyDescent="0.3">
      <c r="A118" s="9" t="s">
        <v>48</v>
      </c>
      <c r="B118" s="10">
        <v>1</v>
      </c>
      <c r="C118" s="10">
        <v>1</v>
      </c>
      <c r="D118" s="10">
        <v>1</v>
      </c>
      <c r="E118" s="10">
        <v>1</v>
      </c>
      <c r="F118" s="10">
        <v>0</v>
      </c>
      <c r="G118" s="10">
        <v>7</v>
      </c>
      <c r="H118" s="10">
        <v>2000</v>
      </c>
      <c r="I118" s="10">
        <v>2</v>
      </c>
      <c r="J118" s="10">
        <v>3</v>
      </c>
      <c r="K118" s="10">
        <v>3</v>
      </c>
      <c r="L118" s="10">
        <v>1</v>
      </c>
      <c r="M118" s="10">
        <v>4</v>
      </c>
      <c r="N118" s="10">
        <v>2</v>
      </c>
      <c r="O118" s="10">
        <v>1</v>
      </c>
      <c r="P118" s="10">
        <v>0</v>
      </c>
      <c r="Q118" s="10">
        <v>0</v>
      </c>
      <c r="R118" s="10"/>
      <c r="S118" s="10">
        <v>1</v>
      </c>
      <c r="T118" s="10">
        <v>1</v>
      </c>
      <c r="U118" s="10">
        <v>2</v>
      </c>
      <c r="V118" s="11">
        <v>1</v>
      </c>
    </row>
    <row r="119" spans="1:22" x14ac:dyDescent="0.3">
      <c r="A119" s="9" t="s">
        <v>47</v>
      </c>
      <c r="B119" s="10">
        <v>1</v>
      </c>
      <c r="C119" s="10">
        <v>1</v>
      </c>
      <c r="D119" s="10">
        <v>1</v>
      </c>
      <c r="E119" s="10">
        <v>1</v>
      </c>
      <c r="F119" s="10">
        <v>0</v>
      </c>
      <c r="G119" s="10">
        <v>7</v>
      </c>
      <c r="H119" s="10">
        <v>1500</v>
      </c>
      <c r="I119" s="10">
        <v>2</v>
      </c>
      <c r="J119" s="10">
        <v>1</v>
      </c>
      <c r="K119" s="10">
        <v>5</v>
      </c>
      <c r="L119" s="10">
        <v>2</v>
      </c>
      <c r="M119" s="10">
        <v>4</v>
      </c>
      <c r="N119" s="10">
        <v>4</v>
      </c>
      <c r="O119" s="10">
        <v>0</v>
      </c>
      <c r="P119" s="10">
        <v>0</v>
      </c>
      <c r="Q119" s="10">
        <v>1</v>
      </c>
      <c r="R119" s="10">
        <v>1</v>
      </c>
      <c r="S119" s="10">
        <v>0</v>
      </c>
      <c r="T119" s="10">
        <v>0</v>
      </c>
      <c r="U119" s="10">
        <v>2</v>
      </c>
      <c r="V119" s="11">
        <v>1</v>
      </c>
    </row>
    <row r="120" spans="1:22" x14ac:dyDescent="0.3">
      <c r="A120" s="9" t="s">
        <v>46</v>
      </c>
      <c r="B120" s="10">
        <v>1</v>
      </c>
      <c r="C120" s="10">
        <v>0</v>
      </c>
      <c r="D120" s="10">
        <v>2</v>
      </c>
      <c r="E120" s="10">
        <v>1</v>
      </c>
      <c r="F120" s="10">
        <v>0</v>
      </c>
      <c r="G120" s="10">
        <v>1</v>
      </c>
      <c r="H120" s="10" t="s">
        <v>24</v>
      </c>
      <c r="I120" s="10">
        <v>5</v>
      </c>
      <c r="J120" s="10">
        <v>3</v>
      </c>
      <c r="K120" s="10">
        <v>4</v>
      </c>
      <c r="L120" s="10">
        <v>1</v>
      </c>
      <c r="M120" s="10">
        <v>3</v>
      </c>
      <c r="N120" s="10">
        <v>1</v>
      </c>
      <c r="O120" s="10">
        <v>1</v>
      </c>
      <c r="P120" s="10">
        <v>0</v>
      </c>
      <c r="Q120" s="10">
        <v>1</v>
      </c>
      <c r="R120" s="10">
        <v>3</v>
      </c>
      <c r="S120" s="10">
        <v>1</v>
      </c>
      <c r="T120" s="10">
        <v>1</v>
      </c>
      <c r="U120" s="10">
        <v>2</v>
      </c>
      <c r="V120" s="11">
        <v>1</v>
      </c>
    </row>
    <row r="121" spans="1:22" x14ac:dyDescent="0.3">
      <c r="A121" s="9" t="s">
        <v>45</v>
      </c>
      <c r="B121" s="10">
        <v>1</v>
      </c>
      <c r="C121" s="10">
        <v>1</v>
      </c>
      <c r="D121" s="10">
        <v>5</v>
      </c>
      <c r="E121" s="10">
        <v>6</v>
      </c>
      <c r="F121" s="10">
        <v>0</v>
      </c>
      <c r="G121" s="10">
        <v>7</v>
      </c>
      <c r="H121" s="10" t="s">
        <v>24</v>
      </c>
      <c r="I121" s="10">
        <v>2</v>
      </c>
      <c r="J121" s="10">
        <v>3</v>
      </c>
      <c r="K121" s="10">
        <v>3</v>
      </c>
      <c r="L121" s="10">
        <v>1</v>
      </c>
      <c r="M121" s="10">
        <v>4</v>
      </c>
      <c r="N121" s="10">
        <v>3</v>
      </c>
      <c r="O121" s="10">
        <v>1</v>
      </c>
      <c r="P121" s="10">
        <v>0</v>
      </c>
      <c r="Q121" s="10">
        <v>0</v>
      </c>
      <c r="R121" s="10"/>
      <c r="S121" s="10">
        <v>1</v>
      </c>
      <c r="T121" s="10">
        <v>1</v>
      </c>
      <c r="U121" s="10">
        <v>2</v>
      </c>
      <c r="V121" s="11">
        <v>1</v>
      </c>
    </row>
    <row r="122" spans="1:22" x14ac:dyDescent="0.3">
      <c r="A122" s="9" t="s">
        <v>44</v>
      </c>
      <c r="B122" s="10">
        <v>1</v>
      </c>
      <c r="C122" s="10">
        <v>1</v>
      </c>
      <c r="D122" s="10">
        <v>1</v>
      </c>
      <c r="E122" s="10">
        <v>6</v>
      </c>
      <c r="F122" s="10">
        <v>0</v>
      </c>
      <c r="G122" s="10">
        <v>7</v>
      </c>
      <c r="H122" s="10">
        <v>1500</v>
      </c>
      <c r="I122" s="10">
        <v>5</v>
      </c>
      <c r="J122" s="10">
        <v>3</v>
      </c>
      <c r="K122" s="10">
        <v>5</v>
      </c>
      <c r="L122" s="10">
        <v>1</v>
      </c>
      <c r="M122" s="10">
        <v>4</v>
      </c>
      <c r="N122" s="10">
        <v>3</v>
      </c>
      <c r="O122" s="10">
        <v>0</v>
      </c>
      <c r="P122" s="10">
        <v>0</v>
      </c>
      <c r="Q122" s="10">
        <v>1</v>
      </c>
      <c r="R122" s="10">
        <v>2</v>
      </c>
      <c r="S122" s="10">
        <v>1</v>
      </c>
      <c r="T122" s="10">
        <v>0</v>
      </c>
      <c r="U122" s="10">
        <v>2</v>
      </c>
      <c r="V122" s="11">
        <v>1</v>
      </c>
    </row>
    <row r="123" spans="1:22" x14ac:dyDescent="0.3">
      <c r="A123" s="9" t="s">
        <v>43</v>
      </c>
      <c r="B123" s="10">
        <v>1</v>
      </c>
      <c r="C123" s="10">
        <v>0</v>
      </c>
      <c r="D123" s="10">
        <v>3</v>
      </c>
      <c r="E123" s="10">
        <v>6</v>
      </c>
      <c r="F123" s="10">
        <v>0</v>
      </c>
      <c r="G123" s="10">
        <v>7</v>
      </c>
      <c r="H123" s="10">
        <v>2000</v>
      </c>
      <c r="I123" s="10">
        <v>8</v>
      </c>
      <c r="J123" s="10">
        <v>3</v>
      </c>
      <c r="K123" s="10">
        <v>4</v>
      </c>
      <c r="L123" s="10">
        <v>2</v>
      </c>
      <c r="M123" s="10">
        <v>4</v>
      </c>
      <c r="N123" s="10">
        <v>3</v>
      </c>
      <c r="O123" s="10">
        <v>0</v>
      </c>
      <c r="P123" s="10">
        <v>0</v>
      </c>
      <c r="Q123" s="10">
        <v>0</v>
      </c>
      <c r="R123" s="10"/>
      <c r="S123" s="10">
        <v>0</v>
      </c>
      <c r="T123" s="10">
        <v>1</v>
      </c>
      <c r="U123" s="10">
        <v>1</v>
      </c>
      <c r="V123" s="11">
        <v>1</v>
      </c>
    </row>
    <row r="124" spans="1:22" x14ac:dyDescent="0.3">
      <c r="A124" s="9" t="s">
        <v>42</v>
      </c>
      <c r="B124" s="10">
        <v>1</v>
      </c>
      <c r="C124" s="10">
        <v>1</v>
      </c>
      <c r="D124" s="10">
        <v>2</v>
      </c>
      <c r="E124" s="10">
        <v>1</v>
      </c>
      <c r="F124" s="10">
        <v>1</v>
      </c>
      <c r="G124" s="10">
        <v>10</v>
      </c>
      <c r="H124" s="10">
        <v>1000</v>
      </c>
      <c r="I124" s="10">
        <v>5</v>
      </c>
      <c r="J124" s="10">
        <v>7</v>
      </c>
      <c r="K124" s="10">
        <v>4</v>
      </c>
      <c r="L124" s="10">
        <v>1</v>
      </c>
      <c r="M124" s="10" t="e">
        <v>#N/A</v>
      </c>
      <c r="N124" s="10">
        <v>1</v>
      </c>
      <c r="O124" s="10">
        <v>0</v>
      </c>
      <c r="P124" s="10">
        <v>0</v>
      </c>
      <c r="Q124" s="10">
        <v>1</v>
      </c>
      <c r="R124" s="10">
        <v>3</v>
      </c>
      <c r="S124" s="10">
        <v>1</v>
      </c>
      <c r="T124" s="10">
        <v>1</v>
      </c>
      <c r="U124" s="10">
        <v>2</v>
      </c>
      <c r="V124" s="11">
        <v>1</v>
      </c>
    </row>
    <row r="125" spans="1:22" x14ac:dyDescent="0.3">
      <c r="A125" s="9" t="s">
        <v>41</v>
      </c>
      <c r="B125" s="10">
        <v>1</v>
      </c>
      <c r="C125" s="10">
        <v>0</v>
      </c>
      <c r="D125" s="10">
        <v>5</v>
      </c>
      <c r="E125" s="10">
        <v>6</v>
      </c>
      <c r="F125" s="10">
        <v>0</v>
      </c>
      <c r="G125" s="10">
        <v>7</v>
      </c>
      <c r="H125" s="10" t="s">
        <v>24</v>
      </c>
      <c r="I125" s="10">
        <v>9</v>
      </c>
      <c r="J125" s="10">
        <v>5</v>
      </c>
      <c r="K125" s="10">
        <v>4</v>
      </c>
      <c r="L125" s="10">
        <v>2</v>
      </c>
      <c r="M125" s="10">
        <v>4</v>
      </c>
      <c r="N125" s="10">
        <v>3</v>
      </c>
      <c r="O125" s="10">
        <v>0</v>
      </c>
      <c r="P125" s="10">
        <v>0</v>
      </c>
      <c r="Q125" s="10">
        <v>1</v>
      </c>
      <c r="R125" s="10">
        <v>2</v>
      </c>
      <c r="S125" s="10">
        <v>0</v>
      </c>
      <c r="T125" s="10">
        <v>1</v>
      </c>
      <c r="U125" s="10">
        <v>3</v>
      </c>
      <c r="V125" s="11">
        <v>1</v>
      </c>
    </row>
    <row r="126" spans="1:22" x14ac:dyDescent="0.3">
      <c r="A126" s="9" t="s">
        <v>40</v>
      </c>
      <c r="B126" s="10">
        <v>1</v>
      </c>
      <c r="C126" s="10">
        <v>0</v>
      </c>
      <c r="D126" s="10">
        <v>5</v>
      </c>
      <c r="E126" s="10">
        <v>6</v>
      </c>
      <c r="F126" s="10">
        <v>0</v>
      </c>
      <c r="G126" s="10">
        <v>7</v>
      </c>
      <c r="H126" s="10" t="s">
        <v>24</v>
      </c>
      <c r="I126" s="10">
        <v>9</v>
      </c>
      <c r="J126" s="10">
        <v>2</v>
      </c>
      <c r="K126" s="10">
        <v>3</v>
      </c>
      <c r="L126" s="10">
        <v>1</v>
      </c>
      <c r="M126" s="10">
        <v>3</v>
      </c>
      <c r="N126" s="10">
        <v>3</v>
      </c>
      <c r="O126" s="10">
        <v>1</v>
      </c>
      <c r="P126" s="10">
        <v>0</v>
      </c>
      <c r="Q126" s="10">
        <v>1</v>
      </c>
      <c r="R126" s="10">
        <v>4</v>
      </c>
      <c r="S126" s="10">
        <v>0</v>
      </c>
      <c r="T126" s="10">
        <v>1</v>
      </c>
      <c r="U126" s="10">
        <v>2</v>
      </c>
      <c r="V126" s="11">
        <v>1</v>
      </c>
    </row>
    <row r="127" spans="1:22" x14ac:dyDescent="0.3">
      <c r="A127" s="9" t="s">
        <v>39</v>
      </c>
      <c r="B127" s="10">
        <v>1</v>
      </c>
      <c r="C127" s="10">
        <v>1</v>
      </c>
      <c r="D127" s="10">
        <v>1</v>
      </c>
      <c r="E127" s="10">
        <v>6</v>
      </c>
      <c r="F127" s="10">
        <v>0</v>
      </c>
      <c r="G127" s="10">
        <v>7</v>
      </c>
      <c r="H127" s="10">
        <v>1500</v>
      </c>
      <c r="I127" s="10">
        <v>2</v>
      </c>
      <c r="J127" s="10">
        <v>2</v>
      </c>
      <c r="K127" s="10">
        <v>4</v>
      </c>
      <c r="L127" s="10">
        <v>1</v>
      </c>
      <c r="M127" s="10">
        <v>4</v>
      </c>
      <c r="N127" s="10">
        <v>4</v>
      </c>
      <c r="O127" s="10">
        <v>0</v>
      </c>
      <c r="P127" s="10">
        <v>0</v>
      </c>
      <c r="Q127" s="10">
        <v>1</v>
      </c>
      <c r="R127" s="10">
        <v>3</v>
      </c>
      <c r="S127" s="10">
        <v>1</v>
      </c>
      <c r="T127" s="10">
        <v>1</v>
      </c>
      <c r="U127" s="10" t="e">
        <v>#N/A</v>
      </c>
      <c r="V127" s="11">
        <v>1</v>
      </c>
    </row>
    <row r="128" spans="1:22" x14ac:dyDescent="0.3">
      <c r="A128" s="9" t="s">
        <v>38</v>
      </c>
      <c r="B128" s="10">
        <v>1</v>
      </c>
      <c r="C128" s="10">
        <v>1</v>
      </c>
      <c r="D128" s="10">
        <v>5</v>
      </c>
      <c r="E128" s="10">
        <v>6</v>
      </c>
      <c r="F128" s="10">
        <v>0</v>
      </c>
      <c r="G128" s="10">
        <v>7</v>
      </c>
      <c r="H128" s="10" t="s">
        <v>24</v>
      </c>
      <c r="I128" s="10">
        <v>5</v>
      </c>
      <c r="J128" s="10">
        <v>2</v>
      </c>
      <c r="K128" s="10">
        <v>4</v>
      </c>
      <c r="L128" s="10">
        <v>1</v>
      </c>
      <c r="M128" s="10">
        <v>4</v>
      </c>
      <c r="N128" s="10">
        <v>3</v>
      </c>
      <c r="O128" s="10">
        <v>1</v>
      </c>
      <c r="P128" s="10">
        <v>0</v>
      </c>
      <c r="Q128" s="10">
        <v>1</v>
      </c>
      <c r="R128" s="10">
        <v>2</v>
      </c>
      <c r="S128" s="10">
        <v>1</v>
      </c>
      <c r="T128" s="10">
        <v>0</v>
      </c>
      <c r="U128" s="10">
        <v>3</v>
      </c>
      <c r="V128" s="11">
        <v>1</v>
      </c>
    </row>
    <row r="129" spans="1:22" x14ac:dyDescent="0.3">
      <c r="A129" s="9" t="s">
        <v>37</v>
      </c>
      <c r="B129" s="10">
        <v>1</v>
      </c>
      <c r="C129" s="10">
        <v>1</v>
      </c>
      <c r="D129" s="10">
        <v>1</v>
      </c>
      <c r="E129" s="10">
        <v>1</v>
      </c>
      <c r="F129" s="10">
        <v>0</v>
      </c>
      <c r="G129" s="10">
        <v>7</v>
      </c>
      <c r="H129" s="10">
        <v>1500</v>
      </c>
      <c r="I129" s="10">
        <v>6</v>
      </c>
      <c r="J129" s="10">
        <v>2</v>
      </c>
      <c r="K129" s="10">
        <v>4</v>
      </c>
      <c r="L129" s="10">
        <v>2</v>
      </c>
      <c r="M129" s="10">
        <v>4</v>
      </c>
      <c r="N129" s="10">
        <v>4</v>
      </c>
      <c r="O129" s="10">
        <v>0</v>
      </c>
      <c r="P129" s="10">
        <v>0</v>
      </c>
      <c r="Q129" s="10">
        <v>0</v>
      </c>
      <c r="R129" s="10"/>
      <c r="S129" s="10">
        <v>0</v>
      </c>
      <c r="T129" s="10">
        <v>1</v>
      </c>
      <c r="U129" s="10">
        <v>2</v>
      </c>
      <c r="V129" s="11">
        <v>1</v>
      </c>
    </row>
    <row r="130" spans="1:22" x14ac:dyDescent="0.3">
      <c r="A130" s="9" t="s">
        <v>36</v>
      </c>
      <c r="B130" s="10">
        <v>1</v>
      </c>
      <c r="C130" s="10">
        <v>1</v>
      </c>
      <c r="D130" s="10">
        <v>1</v>
      </c>
      <c r="E130" s="10">
        <v>1</v>
      </c>
      <c r="F130" s="10">
        <v>0</v>
      </c>
      <c r="G130" s="10">
        <v>4</v>
      </c>
      <c r="H130" s="10">
        <v>1000</v>
      </c>
      <c r="I130" s="10">
        <v>5</v>
      </c>
      <c r="J130" s="10">
        <v>3</v>
      </c>
      <c r="K130" s="10">
        <v>3</v>
      </c>
      <c r="L130" s="10">
        <v>1</v>
      </c>
      <c r="M130" s="10">
        <v>4</v>
      </c>
      <c r="N130" s="10">
        <v>3</v>
      </c>
      <c r="O130" s="10" t="e">
        <v>#N/A</v>
      </c>
      <c r="P130" s="10">
        <v>0</v>
      </c>
      <c r="Q130" s="10">
        <v>0</v>
      </c>
      <c r="R130" s="10"/>
      <c r="S130" s="10">
        <v>1</v>
      </c>
      <c r="T130" s="10">
        <v>1</v>
      </c>
      <c r="U130" s="10">
        <v>2</v>
      </c>
      <c r="V130" s="11">
        <v>1</v>
      </c>
    </row>
    <row r="131" spans="1:22" x14ac:dyDescent="0.3">
      <c r="A131" s="9" t="s">
        <v>35</v>
      </c>
      <c r="B131" s="10">
        <v>1</v>
      </c>
      <c r="C131" s="10">
        <v>0</v>
      </c>
      <c r="D131" s="10">
        <v>1</v>
      </c>
      <c r="E131" s="10">
        <v>1</v>
      </c>
      <c r="F131" s="10">
        <v>0</v>
      </c>
      <c r="G131" s="10">
        <v>7</v>
      </c>
      <c r="H131" s="10">
        <v>1500</v>
      </c>
      <c r="I131" s="10">
        <v>2</v>
      </c>
      <c r="J131" s="10">
        <v>3</v>
      </c>
      <c r="K131" s="10">
        <v>5</v>
      </c>
      <c r="L131" s="10">
        <v>1</v>
      </c>
      <c r="M131" s="10">
        <v>4</v>
      </c>
      <c r="N131" s="10">
        <v>4</v>
      </c>
      <c r="O131" s="10">
        <v>0</v>
      </c>
      <c r="P131" s="10">
        <v>0</v>
      </c>
      <c r="Q131" s="10">
        <v>1</v>
      </c>
      <c r="R131" s="10"/>
      <c r="S131" s="10">
        <v>1</v>
      </c>
      <c r="T131" s="10">
        <v>0</v>
      </c>
      <c r="U131" s="10" t="e">
        <v>#N/A</v>
      </c>
      <c r="V131" s="11">
        <v>1</v>
      </c>
    </row>
    <row r="132" spans="1:22" x14ac:dyDescent="0.3">
      <c r="A132" s="9" t="s">
        <v>34</v>
      </c>
      <c r="B132" s="10">
        <v>1</v>
      </c>
      <c r="C132" s="10">
        <v>1</v>
      </c>
      <c r="D132" s="10">
        <v>1</v>
      </c>
      <c r="E132" s="10">
        <v>6</v>
      </c>
      <c r="F132" s="10">
        <v>0</v>
      </c>
      <c r="G132" s="10">
        <v>1</v>
      </c>
      <c r="H132" s="10">
        <v>500</v>
      </c>
      <c r="I132" s="10">
        <v>9</v>
      </c>
      <c r="J132" s="10">
        <v>2</v>
      </c>
      <c r="K132" s="10">
        <v>4</v>
      </c>
      <c r="L132" s="10">
        <v>2</v>
      </c>
      <c r="M132" s="10">
        <v>4</v>
      </c>
      <c r="N132" s="10">
        <v>3</v>
      </c>
      <c r="O132" s="10">
        <v>0</v>
      </c>
      <c r="P132" s="10">
        <v>0</v>
      </c>
      <c r="Q132" s="10">
        <v>1</v>
      </c>
      <c r="R132" s="10">
        <v>5</v>
      </c>
      <c r="S132" s="10">
        <v>1</v>
      </c>
      <c r="T132" s="10" t="e">
        <v>#N/A</v>
      </c>
      <c r="U132" s="10">
        <v>2</v>
      </c>
      <c r="V132" s="11">
        <v>1</v>
      </c>
    </row>
    <row r="133" spans="1:22" x14ac:dyDescent="0.3">
      <c r="A133" s="9" t="s">
        <v>33</v>
      </c>
      <c r="B133" s="10">
        <v>1</v>
      </c>
      <c r="C133" s="10">
        <v>0</v>
      </c>
      <c r="D133" s="10">
        <v>1</v>
      </c>
      <c r="E133" s="10">
        <v>1</v>
      </c>
      <c r="F133" s="10">
        <v>0</v>
      </c>
      <c r="G133" s="10">
        <v>7</v>
      </c>
      <c r="H133" s="10" t="s">
        <v>24</v>
      </c>
      <c r="I133" s="10">
        <v>3</v>
      </c>
      <c r="J133" s="10">
        <v>1</v>
      </c>
      <c r="K133" s="10">
        <v>3</v>
      </c>
      <c r="L133" s="10">
        <v>1</v>
      </c>
      <c r="M133" s="10">
        <v>3</v>
      </c>
      <c r="N133" s="10">
        <v>4</v>
      </c>
      <c r="O133" s="10">
        <v>1</v>
      </c>
      <c r="P133" s="10">
        <v>0</v>
      </c>
      <c r="Q133" s="10">
        <v>1</v>
      </c>
      <c r="R133" s="10">
        <v>1</v>
      </c>
      <c r="S133" s="10">
        <v>1</v>
      </c>
      <c r="T133" s="10">
        <v>1</v>
      </c>
      <c r="U133" s="10">
        <v>2</v>
      </c>
      <c r="V133" s="11">
        <v>1</v>
      </c>
    </row>
    <row r="134" spans="1:22" x14ac:dyDescent="0.3">
      <c r="A134" s="9" t="s">
        <v>32</v>
      </c>
      <c r="B134" s="10">
        <v>1</v>
      </c>
      <c r="C134" s="10">
        <v>0</v>
      </c>
      <c r="D134" s="10">
        <v>1</v>
      </c>
      <c r="E134" s="10">
        <v>1</v>
      </c>
      <c r="F134" s="10">
        <v>0</v>
      </c>
      <c r="G134" s="10">
        <v>7</v>
      </c>
      <c r="H134" s="10" t="s">
        <v>24</v>
      </c>
      <c r="I134" s="10">
        <v>3</v>
      </c>
      <c r="J134" s="10">
        <v>2</v>
      </c>
      <c r="K134" s="10">
        <v>3</v>
      </c>
      <c r="L134" s="10">
        <v>1</v>
      </c>
      <c r="M134" s="10">
        <v>3</v>
      </c>
      <c r="N134" s="10">
        <v>3</v>
      </c>
      <c r="O134" s="10">
        <v>1</v>
      </c>
      <c r="P134" s="10">
        <v>0</v>
      </c>
      <c r="Q134" s="10">
        <v>1</v>
      </c>
      <c r="R134" s="10">
        <v>1</v>
      </c>
      <c r="S134" s="10">
        <v>1</v>
      </c>
      <c r="T134" s="10">
        <v>1</v>
      </c>
      <c r="U134" s="10">
        <v>2</v>
      </c>
      <c r="V134" s="11">
        <v>1</v>
      </c>
    </row>
    <row r="135" spans="1:22" x14ac:dyDescent="0.3">
      <c r="A135" s="9" t="s">
        <v>31</v>
      </c>
      <c r="B135" s="10">
        <v>1</v>
      </c>
      <c r="C135" s="10">
        <v>1</v>
      </c>
      <c r="D135" s="10">
        <v>3</v>
      </c>
      <c r="E135" s="10">
        <v>1</v>
      </c>
      <c r="F135" s="10">
        <v>0</v>
      </c>
      <c r="G135" s="10">
        <v>7</v>
      </c>
      <c r="H135" s="10" t="s">
        <v>24</v>
      </c>
      <c r="I135" s="10">
        <v>6</v>
      </c>
      <c r="J135" s="10">
        <v>1</v>
      </c>
      <c r="K135" s="10">
        <v>4</v>
      </c>
      <c r="L135" s="10">
        <v>1</v>
      </c>
      <c r="M135" s="10">
        <v>4</v>
      </c>
      <c r="N135" s="10">
        <v>3</v>
      </c>
      <c r="O135" s="10">
        <v>0</v>
      </c>
      <c r="P135" s="10">
        <v>0</v>
      </c>
      <c r="Q135" s="10">
        <v>1</v>
      </c>
      <c r="R135" s="10">
        <v>2</v>
      </c>
      <c r="S135" s="10">
        <v>1</v>
      </c>
      <c r="T135" s="10">
        <v>1</v>
      </c>
      <c r="U135" s="10">
        <v>2</v>
      </c>
      <c r="V135" s="11">
        <v>1</v>
      </c>
    </row>
    <row r="136" spans="1:22" x14ac:dyDescent="0.3">
      <c r="A136" s="9" t="s">
        <v>30</v>
      </c>
      <c r="B136" s="10">
        <v>1</v>
      </c>
      <c r="C136" s="10">
        <v>1</v>
      </c>
      <c r="D136" s="10">
        <v>3</v>
      </c>
      <c r="E136" s="10">
        <v>1</v>
      </c>
      <c r="F136" s="10">
        <v>1</v>
      </c>
      <c r="G136" s="10">
        <v>3</v>
      </c>
      <c r="H136" s="10">
        <v>1500</v>
      </c>
      <c r="I136" s="10">
        <v>6</v>
      </c>
      <c r="J136" s="10">
        <v>7</v>
      </c>
      <c r="K136" s="10">
        <v>4</v>
      </c>
      <c r="L136" s="10">
        <v>1</v>
      </c>
      <c r="M136" s="10">
        <v>4</v>
      </c>
      <c r="N136" s="10">
        <v>3</v>
      </c>
      <c r="O136" s="10">
        <v>0</v>
      </c>
      <c r="P136" s="10">
        <v>0</v>
      </c>
      <c r="Q136" s="10">
        <v>1</v>
      </c>
      <c r="R136" s="10">
        <v>2</v>
      </c>
      <c r="S136" s="10">
        <v>1</v>
      </c>
      <c r="T136" s="10">
        <v>1</v>
      </c>
      <c r="U136" s="10">
        <v>2</v>
      </c>
      <c r="V136" s="11">
        <v>1</v>
      </c>
    </row>
    <row r="137" spans="1:22" x14ac:dyDescent="0.3">
      <c r="A137" s="9" t="s">
        <v>29</v>
      </c>
      <c r="B137" s="10">
        <v>1</v>
      </c>
      <c r="C137" s="10">
        <v>0</v>
      </c>
      <c r="D137" s="10">
        <v>1</v>
      </c>
      <c r="E137" s="10">
        <v>1</v>
      </c>
      <c r="F137" s="10">
        <v>0</v>
      </c>
      <c r="G137" s="10">
        <v>7</v>
      </c>
      <c r="H137" s="10">
        <v>1000</v>
      </c>
      <c r="I137" s="10">
        <v>2</v>
      </c>
      <c r="J137" s="10">
        <v>1</v>
      </c>
      <c r="K137" s="10">
        <v>4</v>
      </c>
      <c r="L137" s="10">
        <v>1</v>
      </c>
      <c r="M137" s="10">
        <v>4</v>
      </c>
      <c r="N137" s="10">
        <v>2</v>
      </c>
      <c r="O137" s="10">
        <v>1</v>
      </c>
      <c r="P137" s="10">
        <v>0</v>
      </c>
      <c r="Q137" s="10">
        <v>1</v>
      </c>
      <c r="R137" s="10">
        <v>3</v>
      </c>
      <c r="S137" s="10">
        <v>1</v>
      </c>
      <c r="T137" s="10">
        <v>0</v>
      </c>
      <c r="U137" s="10">
        <v>2</v>
      </c>
      <c r="V137" s="11">
        <v>1</v>
      </c>
    </row>
    <row r="138" spans="1:22" x14ac:dyDescent="0.3">
      <c r="A138" s="9" t="s">
        <v>28</v>
      </c>
      <c r="B138" s="10">
        <v>1</v>
      </c>
      <c r="C138" s="10">
        <v>0</v>
      </c>
      <c r="D138" s="10">
        <v>1</v>
      </c>
      <c r="E138" s="10">
        <v>1</v>
      </c>
      <c r="F138" s="10">
        <v>1</v>
      </c>
      <c r="G138" s="10">
        <v>7</v>
      </c>
      <c r="H138" s="10">
        <v>3000</v>
      </c>
      <c r="I138" s="10">
        <v>5</v>
      </c>
      <c r="J138" s="10">
        <v>4</v>
      </c>
      <c r="K138" s="10">
        <v>5</v>
      </c>
      <c r="L138" s="10">
        <v>1</v>
      </c>
      <c r="M138" s="10">
        <v>4</v>
      </c>
      <c r="N138" s="10">
        <v>4</v>
      </c>
      <c r="O138" s="10">
        <v>1</v>
      </c>
      <c r="P138" s="10">
        <v>0</v>
      </c>
      <c r="Q138" s="10">
        <v>1</v>
      </c>
      <c r="R138" s="10">
        <v>20</v>
      </c>
      <c r="S138" s="10">
        <v>1</v>
      </c>
      <c r="T138" s="10">
        <v>1</v>
      </c>
      <c r="U138" s="10">
        <v>2</v>
      </c>
      <c r="V138" s="11">
        <v>1</v>
      </c>
    </row>
    <row r="139" spans="1:22" x14ac:dyDescent="0.3">
      <c r="A139" s="9" t="s">
        <v>27</v>
      </c>
      <c r="B139" s="10">
        <v>1</v>
      </c>
      <c r="C139" s="10">
        <v>1</v>
      </c>
      <c r="D139" s="10">
        <v>1</v>
      </c>
      <c r="E139" s="10">
        <v>1</v>
      </c>
      <c r="F139" s="10">
        <v>0</v>
      </c>
      <c r="G139" s="10">
        <v>4</v>
      </c>
      <c r="H139" s="10">
        <v>1500</v>
      </c>
      <c r="I139" s="10">
        <v>9</v>
      </c>
      <c r="J139" s="10">
        <v>3</v>
      </c>
      <c r="K139" s="10">
        <v>4</v>
      </c>
      <c r="L139" s="10">
        <v>1</v>
      </c>
      <c r="M139" s="10">
        <v>4</v>
      </c>
      <c r="N139" s="10">
        <v>2</v>
      </c>
      <c r="O139" s="10">
        <v>0</v>
      </c>
      <c r="P139" s="10">
        <v>0</v>
      </c>
      <c r="Q139" s="10">
        <v>1</v>
      </c>
      <c r="R139" s="10">
        <v>5</v>
      </c>
      <c r="S139" s="10">
        <v>1</v>
      </c>
      <c r="T139" s="10">
        <v>1</v>
      </c>
      <c r="U139" s="10">
        <v>2</v>
      </c>
      <c r="V139" s="11">
        <v>1</v>
      </c>
    </row>
    <row r="140" spans="1:22" x14ac:dyDescent="0.3">
      <c r="A140" s="9" t="s">
        <v>26</v>
      </c>
      <c r="B140" s="10">
        <v>1</v>
      </c>
      <c r="C140" s="10">
        <v>1</v>
      </c>
      <c r="D140" s="10">
        <v>1</v>
      </c>
      <c r="E140" s="10">
        <v>1</v>
      </c>
      <c r="F140" s="10">
        <v>0</v>
      </c>
      <c r="G140" s="10">
        <v>7</v>
      </c>
      <c r="H140" s="10">
        <v>2500</v>
      </c>
      <c r="I140" s="10">
        <v>5</v>
      </c>
      <c r="J140" s="10">
        <v>3</v>
      </c>
      <c r="K140" s="10">
        <v>4</v>
      </c>
      <c r="L140" s="10">
        <v>2</v>
      </c>
      <c r="M140" s="10">
        <v>4</v>
      </c>
      <c r="N140" s="10">
        <v>4</v>
      </c>
      <c r="O140" s="10">
        <v>0</v>
      </c>
      <c r="P140" s="10">
        <v>1</v>
      </c>
      <c r="Q140" s="10">
        <v>1</v>
      </c>
      <c r="R140" s="10">
        <v>1</v>
      </c>
      <c r="S140" s="10">
        <v>0</v>
      </c>
      <c r="T140" s="10">
        <v>0</v>
      </c>
      <c r="U140" s="10" t="e">
        <v>#N/A</v>
      </c>
      <c r="V140" s="11">
        <v>1</v>
      </c>
    </row>
    <row r="141" spans="1:22" x14ac:dyDescent="0.3">
      <c r="A141" s="9" t="s">
        <v>26</v>
      </c>
      <c r="B141" s="10">
        <v>1</v>
      </c>
      <c r="C141" s="10">
        <v>1</v>
      </c>
      <c r="D141" s="10">
        <v>1</v>
      </c>
      <c r="E141" s="10">
        <v>1</v>
      </c>
      <c r="F141" s="10">
        <v>0</v>
      </c>
      <c r="G141" s="10">
        <v>7</v>
      </c>
      <c r="H141" s="10">
        <v>1500</v>
      </c>
      <c r="I141" s="10">
        <v>5</v>
      </c>
      <c r="J141" s="10">
        <v>2</v>
      </c>
      <c r="K141" s="10">
        <v>3</v>
      </c>
      <c r="L141" s="10">
        <v>1</v>
      </c>
      <c r="M141" s="10">
        <v>2</v>
      </c>
      <c r="N141" s="10">
        <v>4</v>
      </c>
      <c r="O141" s="10">
        <v>1</v>
      </c>
      <c r="P141" s="10">
        <v>0</v>
      </c>
      <c r="Q141" s="10">
        <v>1</v>
      </c>
      <c r="R141" s="10">
        <v>5</v>
      </c>
      <c r="S141" s="10">
        <v>1</v>
      </c>
      <c r="T141" s="10">
        <v>0</v>
      </c>
      <c r="U141" s="10" t="e">
        <v>#N/A</v>
      </c>
      <c r="V141" s="11">
        <v>1</v>
      </c>
    </row>
    <row r="142" spans="1:22" x14ac:dyDescent="0.3">
      <c r="A142" s="9" t="s">
        <v>26</v>
      </c>
      <c r="B142" s="10">
        <v>1</v>
      </c>
      <c r="C142" s="10">
        <v>1</v>
      </c>
      <c r="D142" s="10">
        <v>1</v>
      </c>
      <c r="E142" s="10">
        <v>1</v>
      </c>
      <c r="F142" s="10">
        <v>0</v>
      </c>
      <c r="G142" s="10">
        <v>7</v>
      </c>
      <c r="H142" s="10" t="s">
        <v>24</v>
      </c>
      <c r="I142" s="10">
        <v>2</v>
      </c>
      <c r="J142" s="10">
        <v>2</v>
      </c>
      <c r="K142" s="10">
        <v>3</v>
      </c>
      <c r="L142" s="10">
        <v>1</v>
      </c>
      <c r="M142" s="10">
        <v>4</v>
      </c>
      <c r="N142" s="10">
        <v>3</v>
      </c>
      <c r="O142" s="10">
        <v>1</v>
      </c>
      <c r="P142" s="10">
        <v>0</v>
      </c>
      <c r="Q142" s="10">
        <v>0</v>
      </c>
      <c r="R142" s="10"/>
      <c r="S142" s="10">
        <v>1</v>
      </c>
      <c r="T142" s="10">
        <v>0</v>
      </c>
      <c r="U142" s="10" t="e">
        <v>#N/A</v>
      </c>
      <c r="V142" s="11">
        <v>1</v>
      </c>
    </row>
    <row r="143" spans="1:22" x14ac:dyDescent="0.3">
      <c r="A143" s="9" t="s">
        <v>26</v>
      </c>
      <c r="B143" s="10">
        <v>1</v>
      </c>
      <c r="C143" s="10">
        <v>1</v>
      </c>
      <c r="D143" s="10">
        <v>3</v>
      </c>
      <c r="E143" s="10">
        <v>1</v>
      </c>
      <c r="F143" s="10">
        <v>0</v>
      </c>
      <c r="G143" s="10">
        <v>7</v>
      </c>
      <c r="H143" s="10">
        <v>1500</v>
      </c>
      <c r="I143" s="10">
        <v>5</v>
      </c>
      <c r="J143" s="10">
        <v>4</v>
      </c>
      <c r="K143" s="10">
        <v>2</v>
      </c>
      <c r="L143" s="10">
        <v>1</v>
      </c>
      <c r="M143" s="10">
        <v>4</v>
      </c>
      <c r="N143" s="10">
        <v>3</v>
      </c>
      <c r="O143" s="10">
        <v>0</v>
      </c>
      <c r="P143" s="10">
        <v>0</v>
      </c>
      <c r="Q143" s="10">
        <v>1</v>
      </c>
      <c r="R143" s="10">
        <v>7</v>
      </c>
      <c r="S143" s="10">
        <v>0</v>
      </c>
      <c r="T143" s="10" t="e">
        <v>#N/A</v>
      </c>
      <c r="U143" s="10">
        <v>2</v>
      </c>
      <c r="V143" s="11">
        <v>1</v>
      </c>
    </row>
    <row r="144" spans="1:22" x14ac:dyDescent="0.3">
      <c r="A144" s="9" t="s">
        <v>26</v>
      </c>
      <c r="B144" s="10">
        <v>1</v>
      </c>
      <c r="C144" s="10">
        <v>1</v>
      </c>
      <c r="D144" s="10">
        <v>1</v>
      </c>
      <c r="E144" s="10">
        <v>1</v>
      </c>
      <c r="F144" s="10">
        <v>0</v>
      </c>
      <c r="G144" s="10">
        <v>0</v>
      </c>
      <c r="H144" s="10">
        <v>500</v>
      </c>
      <c r="I144" s="10">
        <v>2</v>
      </c>
      <c r="J144" s="10">
        <v>2</v>
      </c>
      <c r="K144" s="10">
        <v>3</v>
      </c>
      <c r="L144" s="10">
        <v>1</v>
      </c>
      <c r="M144" s="10">
        <v>5</v>
      </c>
      <c r="N144" s="10">
        <v>3</v>
      </c>
      <c r="O144" s="10">
        <v>0</v>
      </c>
      <c r="P144" s="10">
        <v>0</v>
      </c>
      <c r="Q144" s="10">
        <v>0</v>
      </c>
      <c r="R144" s="10"/>
      <c r="S144" s="10">
        <v>1</v>
      </c>
      <c r="T144" s="10" t="e">
        <v>#N/A</v>
      </c>
      <c r="U144" s="10" t="e">
        <v>#N/A</v>
      </c>
      <c r="V144" s="11">
        <v>1</v>
      </c>
    </row>
    <row r="145" spans="1:22" x14ac:dyDescent="0.3">
      <c r="A145" s="9" t="s">
        <v>26</v>
      </c>
      <c r="B145" s="10">
        <v>1</v>
      </c>
      <c r="C145" s="10">
        <v>0</v>
      </c>
      <c r="D145" s="10">
        <v>1</v>
      </c>
      <c r="E145" s="10">
        <v>1</v>
      </c>
      <c r="F145" s="10">
        <v>0</v>
      </c>
      <c r="G145" s="10">
        <v>7</v>
      </c>
      <c r="H145" s="10">
        <v>1500</v>
      </c>
      <c r="I145" s="10">
        <v>5</v>
      </c>
      <c r="J145" s="10">
        <v>4</v>
      </c>
      <c r="K145" s="10">
        <v>5</v>
      </c>
      <c r="L145" s="10">
        <v>1</v>
      </c>
      <c r="M145" s="10">
        <v>4</v>
      </c>
      <c r="N145" s="10">
        <v>4</v>
      </c>
      <c r="O145" s="10">
        <v>0</v>
      </c>
      <c r="P145" s="10">
        <v>0</v>
      </c>
      <c r="Q145" s="10">
        <v>1</v>
      </c>
      <c r="R145" s="10">
        <v>2</v>
      </c>
      <c r="S145" s="10" t="e">
        <v>#N/A</v>
      </c>
      <c r="T145" s="10">
        <v>0</v>
      </c>
      <c r="U145" s="10" t="e">
        <v>#N/A</v>
      </c>
      <c r="V145" s="11">
        <v>1</v>
      </c>
    </row>
    <row r="146" spans="1:22" x14ac:dyDescent="0.3">
      <c r="A146" s="9" t="s">
        <v>26</v>
      </c>
      <c r="B146" s="10">
        <v>1</v>
      </c>
      <c r="C146" s="10">
        <v>1</v>
      </c>
      <c r="D146" s="10">
        <v>1</v>
      </c>
      <c r="E146" s="10">
        <v>1</v>
      </c>
      <c r="F146" s="10">
        <v>1</v>
      </c>
      <c r="G146" s="10">
        <v>4</v>
      </c>
      <c r="H146" s="10">
        <v>4500</v>
      </c>
      <c r="I146" s="10">
        <v>2</v>
      </c>
      <c r="J146" s="10">
        <v>3</v>
      </c>
      <c r="K146" s="10">
        <v>3</v>
      </c>
      <c r="L146" s="10">
        <v>1</v>
      </c>
      <c r="M146" s="10">
        <v>4</v>
      </c>
      <c r="N146" s="10">
        <v>4</v>
      </c>
      <c r="O146" s="10">
        <v>1</v>
      </c>
      <c r="P146" s="10">
        <v>0</v>
      </c>
      <c r="Q146" s="10">
        <v>1</v>
      </c>
      <c r="R146" s="10">
        <v>2</v>
      </c>
      <c r="S146" s="10">
        <v>1</v>
      </c>
      <c r="T146" s="10" t="e">
        <v>#N/A</v>
      </c>
      <c r="U146" s="10">
        <v>2</v>
      </c>
      <c r="V146" s="11">
        <v>1</v>
      </c>
    </row>
    <row r="147" spans="1:22" x14ac:dyDescent="0.3">
      <c r="A147" s="9" t="s">
        <v>26</v>
      </c>
      <c r="B147" s="10">
        <v>1</v>
      </c>
      <c r="C147" s="10">
        <v>1</v>
      </c>
      <c r="D147" s="10">
        <v>1</v>
      </c>
      <c r="E147" s="10">
        <v>6</v>
      </c>
      <c r="F147" s="10">
        <v>0</v>
      </c>
      <c r="G147" s="10">
        <v>7</v>
      </c>
      <c r="H147" s="10">
        <v>2500</v>
      </c>
      <c r="I147" s="10">
        <v>5</v>
      </c>
      <c r="J147" s="10">
        <v>1</v>
      </c>
      <c r="K147" s="10">
        <v>4</v>
      </c>
      <c r="L147" s="10">
        <v>1</v>
      </c>
      <c r="M147" s="10">
        <v>4</v>
      </c>
      <c r="N147" s="10">
        <v>4</v>
      </c>
      <c r="O147" s="10">
        <v>0</v>
      </c>
      <c r="P147" s="10">
        <v>1</v>
      </c>
      <c r="Q147" s="10">
        <v>1</v>
      </c>
      <c r="R147" s="10">
        <v>2</v>
      </c>
      <c r="S147" s="10">
        <v>1</v>
      </c>
      <c r="T147" s="10">
        <v>1</v>
      </c>
      <c r="U147" s="10" t="e">
        <v>#N/A</v>
      </c>
      <c r="V147" s="11">
        <v>1</v>
      </c>
    </row>
    <row r="148" spans="1:22" x14ac:dyDescent="0.3">
      <c r="A148" s="9" t="s">
        <v>25</v>
      </c>
      <c r="B148" s="10">
        <v>0</v>
      </c>
      <c r="C148" s="10">
        <v>1</v>
      </c>
      <c r="D148" s="10">
        <v>3</v>
      </c>
      <c r="E148" s="10">
        <v>6</v>
      </c>
      <c r="F148" s="10">
        <v>0</v>
      </c>
      <c r="G148" s="10">
        <v>7</v>
      </c>
      <c r="H148" s="10">
        <v>1500</v>
      </c>
      <c r="I148" s="10">
        <v>6</v>
      </c>
      <c r="J148" s="10">
        <v>3</v>
      </c>
      <c r="K148" s="10">
        <v>2</v>
      </c>
      <c r="L148" s="10">
        <v>1</v>
      </c>
      <c r="M148" s="10">
        <v>4</v>
      </c>
      <c r="N148" s="10">
        <v>3</v>
      </c>
      <c r="O148" s="10">
        <v>0</v>
      </c>
      <c r="P148" s="10">
        <v>0</v>
      </c>
      <c r="Q148" s="10">
        <v>1</v>
      </c>
      <c r="R148" s="10">
        <v>3</v>
      </c>
      <c r="S148" s="10">
        <v>1</v>
      </c>
      <c r="T148" s="10">
        <v>1</v>
      </c>
      <c r="U148" s="10">
        <v>2</v>
      </c>
      <c r="V148" s="11">
        <v>1</v>
      </c>
    </row>
    <row r="149" spans="1:22" x14ac:dyDescent="0.3">
      <c r="A149" s="9" t="s">
        <v>25</v>
      </c>
      <c r="B149" s="10">
        <v>1</v>
      </c>
      <c r="C149" s="10">
        <v>0</v>
      </c>
      <c r="D149" s="10">
        <v>4</v>
      </c>
      <c r="E149" s="10">
        <v>1</v>
      </c>
      <c r="F149" s="10">
        <v>0</v>
      </c>
      <c r="G149" s="10">
        <v>10</v>
      </c>
      <c r="H149" s="10">
        <v>1000</v>
      </c>
      <c r="I149" s="10">
        <v>7</v>
      </c>
      <c r="J149" s="10">
        <v>4</v>
      </c>
      <c r="K149" s="10">
        <v>4</v>
      </c>
      <c r="L149" s="10">
        <v>1</v>
      </c>
      <c r="M149" s="10">
        <v>4</v>
      </c>
      <c r="N149" s="10">
        <v>2</v>
      </c>
      <c r="O149" s="10">
        <v>0</v>
      </c>
      <c r="P149" s="10">
        <v>0</v>
      </c>
      <c r="Q149" s="10">
        <v>0</v>
      </c>
      <c r="R149" s="10"/>
      <c r="S149" s="10">
        <v>1</v>
      </c>
      <c r="T149" s="10">
        <v>1</v>
      </c>
      <c r="U149" s="10">
        <v>2</v>
      </c>
      <c r="V149" s="11">
        <v>1</v>
      </c>
    </row>
    <row r="150" spans="1:22" x14ac:dyDescent="0.3">
      <c r="A150" s="9" t="s">
        <v>25</v>
      </c>
      <c r="B150" s="10">
        <v>1</v>
      </c>
      <c r="C150" s="10">
        <v>0</v>
      </c>
      <c r="D150" s="10">
        <v>2</v>
      </c>
      <c r="E150" s="10">
        <v>1</v>
      </c>
      <c r="F150" s="10">
        <v>0</v>
      </c>
      <c r="G150" s="10">
        <v>7</v>
      </c>
      <c r="H150" s="10" t="s">
        <v>24</v>
      </c>
      <c r="I150" s="10">
        <v>2</v>
      </c>
      <c r="J150" s="10">
        <v>5</v>
      </c>
      <c r="K150" s="10">
        <v>4</v>
      </c>
      <c r="L150" s="10">
        <v>1</v>
      </c>
      <c r="M150" s="10">
        <v>4</v>
      </c>
      <c r="N150" s="10">
        <v>3</v>
      </c>
      <c r="O150" s="10">
        <v>0</v>
      </c>
      <c r="P150" s="10">
        <v>0</v>
      </c>
      <c r="Q150" s="10">
        <v>1</v>
      </c>
      <c r="R150" s="10">
        <v>3</v>
      </c>
      <c r="S150" s="10">
        <v>1</v>
      </c>
      <c r="T150" s="10">
        <v>0</v>
      </c>
      <c r="U150" s="10">
        <v>2</v>
      </c>
      <c r="V150" s="11">
        <v>1</v>
      </c>
    </row>
    <row r="151" spans="1:22" x14ac:dyDescent="0.3">
      <c r="A151" s="9" t="s">
        <v>25</v>
      </c>
      <c r="B151" s="10">
        <v>1</v>
      </c>
      <c r="C151" s="10">
        <v>1</v>
      </c>
      <c r="D151" s="10">
        <v>5</v>
      </c>
      <c r="E151" s="10">
        <v>6</v>
      </c>
      <c r="F151" s="10">
        <v>0</v>
      </c>
      <c r="G151" s="10">
        <v>7</v>
      </c>
      <c r="H151" s="10" t="s">
        <v>24</v>
      </c>
      <c r="I151" s="10">
        <v>2</v>
      </c>
      <c r="J151" s="10">
        <v>3</v>
      </c>
      <c r="K151" s="10">
        <v>3</v>
      </c>
      <c r="L151" s="10">
        <v>1</v>
      </c>
      <c r="M151" s="10">
        <v>4</v>
      </c>
      <c r="N151" s="10">
        <v>3</v>
      </c>
      <c r="O151" s="10">
        <v>1</v>
      </c>
      <c r="P151" s="10">
        <v>0</v>
      </c>
      <c r="Q151" s="10">
        <v>0</v>
      </c>
      <c r="R151" s="10"/>
      <c r="S151" s="10">
        <v>1</v>
      </c>
      <c r="T151" s="10">
        <v>0</v>
      </c>
      <c r="U151" s="10">
        <v>2</v>
      </c>
      <c r="V151" s="11">
        <v>1</v>
      </c>
    </row>
    <row r="152" spans="1:22" x14ac:dyDescent="0.3">
      <c r="A152" s="9" t="s">
        <v>25</v>
      </c>
      <c r="B152" s="10">
        <v>1</v>
      </c>
      <c r="C152" s="10">
        <v>0</v>
      </c>
      <c r="D152" s="10">
        <v>1</v>
      </c>
      <c r="E152" s="10">
        <v>1</v>
      </c>
      <c r="F152" s="10">
        <v>0</v>
      </c>
      <c r="G152" s="10">
        <v>7</v>
      </c>
      <c r="H152" s="10">
        <v>1500</v>
      </c>
      <c r="I152" s="10">
        <v>5</v>
      </c>
      <c r="J152" s="10">
        <v>3</v>
      </c>
      <c r="K152" s="10">
        <v>4</v>
      </c>
      <c r="L152" s="10">
        <v>1</v>
      </c>
      <c r="M152" s="10">
        <v>4</v>
      </c>
      <c r="N152" s="10">
        <v>3</v>
      </c>
      <c r="O152" s="10">
        <v>0</v>
      </c>
      <c r="P152" s="10">
        <v>0</v>
      </c>
      <c r="Q152" s="10">
        <v>1</v>
      </c>
      <c r="R152" s="10">
        <v>2</v>
      </c>
      <c r="S152" s="10">
        <v>1</v>
      </c>
      <c r="T152" s="10">
        <v>1</v>
      </c>
      <c r="U152" s="10">
        <v>2</v>
      </c>
      <c r="V152" s="11">
        <v>1</v>
      </c>
    </row>
    <row r="153" spans="1:22" x14ac:dyDescent="0.3">
      <c r="A153" s="9" t="s">
        <v>25</v>
      </c>
      <c r="B153" s="10">
        <v>1</v>
      </c>
      <c r="C153" s="10">
        <v>1</v>
      </c>
      <c r="D153" s="10">
        <v>1</v>
      </c>
      <c r="E153" s="10">
        <v>1</v>
      </c>
      <c r="F153" s="10">
        <v>0</v>
      </c>
      <c r="G153" s="10">
        <v>7</v>
      </c>
      <c r="H153" s="10">
        <v>2000</v>
      </c>
      <c r="I153" s="10">
        <v>2</v>
      </c>
      <c r="J153" s="10">
        <v>1</v>
      </c>
      <c r="K153" s="10">
        <v>4</v>
      </c>
      <c r="L153" s="10">
        <v>1</v>
      </c>
      <c r="M153" s="10">
        <v>5</v>
      </c>
      <c r="N153" s="10">
        <v>4</v>
      </c>
      <c r="O153" s="10">
        <v>0</v>
      </c>
      <c r="P153" s="10">
        <v>1</v>
      </c>
      <c r="Q153" s="10">
        <v>0</v>
      </c>
      <c r="R153" s="10"/>
      <c r="S153" s="10">
        <v>1</v>
      </c>
      <c r="T153" s="10">
        <v>0</v>
      </c>
      <c r="U153" s="10">
        <v>2</v>
      </c>
      <c r="V153" s="11">
        <v>1</v>
      </c>
    </row>
    <row r="154" spans="1:22" x14ac:dyDescent="0.3">
      <c r="A154" s="9" t="s">
        <v>23</v>
      </c>
      <c r="B154" s="10">
        <v>1</v>
      </c>
      <c r="C154" s="10">
        <v>1</v>
      </c>
      <c r="D154" s="10">
        <v>4</v>
      </c>
      <c r="E154" s="10">
        <v>5</v>
      </c>
      <c r="F154" s="10">
        <v>0</v>
      </c>
      <c r="G154" s="10">
        <v>5</v>
      </c>
      <c r="H154" s="10">
        <v>1000</v>
      </c>
      <c r="I154" s="10">
        <v>2</v>
      </c>
      <c r="J154" s="10">
        <v>4</v>
      </c>
      <c r="K154" s="10">
        <v>4</v>
      </c>
      <c r="L154" s="10">
        <v>1</v>
      </c>
      <c r="M154" s="10">
        <v>4</v>
      </c>
      <c r="N154" s="10">
        <v>4</v>
      </c>
      <c r="O154" s="10">
        <v>0</v>
      </c>
      <c r="P154" s="10">
        <v>0</v>
      </c>
      <c r="Q154" s="10">
        <v>0</v>
      </c>
      <c r="R154" s="10"/>
      <c r="S154" s="10">
        <v>1</v>
      </c>
      <c r="T154" s="10">
        <v>0</v>
      </c>
      <c r="U154" s="10">
        <v>2</v>
      </c>
      <c r="V154" s="11">
        <v>1</v>
      </c>
    </row>
    <row r="155" spans="1:22" x14ac:dyDescent="0.3">
      <c r="A155" s="9" t="s">
        <v>23</v>
      </c>
      <c r="B155" s="10">
        <v>1</v>
      </c>
      <c r="C155" s="10">
        <v>0</v>
      </c>
      <c r="D155" s="10">
        <v>2</v>
      </c>
      <c r="E155" s="10">
        <v>3</v>
      </c>
      <c r="F155" s="10">
        <v>0</v>
      </c>
      <c r="G155" s="10">
        <v>7</v>
      </c>
      <c r="H155" s="10" t="s">
        <v>24</v>
      </c>
      <c r="I155" s="10">
        <v>4</v>
      </c>
      <c r="J155" s="10">
        <v>2</v>
      </c>
      <c r="K155" s="10">
        <v>4</v>
      </c>
      <c r="L155" s="10">
        <v>1</v>
      </c>
      <c r="M155" s="10">
        <v>4</v>
      </c>
      <c r="N155" s="10">
        <v>3</v>
      </c>
      <c r="O155" s="10">
        <v>1</v>
      </c>
      <c r="P155" s="10">
        <v>1</v>
      </c>
      <c r="Q155" s="10">
        <v>1</v>
      </c>
      <c r="R155" s="10">
        <v>1</v>
      </c>
      <c r="S155" s="10">
        <v>1</v>
      </c>
      <c r="T155" s="10">
        <v>1</v>
      </c>
      <c r="U155" s="10">
        <v>2</v>
      </c>
      <c r="V155" s="11">
        <v>1</v>
      </c>
    </row>
    <row r="156" spans="1:22" x14ac:dyDescent="0.3">
      <c r="A156" s="9" t="s">
        <v>23</v>
      </c>
      <c r="B156" s="10">
        <v>1</v>
      </c>
      <c r="C156" s="10">
        <v>1</v>
      </c>
      <c r="D156" s="10">
        <v>1</v>
      </c>
      <c r="E156" s="10">
        <v>1</v>
      </c>
      <c r="F156" s="10">
        <v>0</v>
      </c>
      <c r="G156" s="10">
        <v>7</v>
      </c>
      <c r="H156" s="10">
        <v>1000</v>
      </c>
      <c r="I156" s="10">
        <v>5</v>
      </c>
      <c r="J156" s="10">
        <v>1</v>
      </c>
      <c r="K156" s="10">
        <v>4</v>
      </c>
      <c r="L156" s="10">
        <v>1</v>
      </c>
      <c r="M156" s="10">
        <v>4</v>
      </c>
      <c r="N156" s="10">
        <v>4</v>
      </c>
      <c r="O156" s="10">
        <v>0</v>
      </c>
      <c r="P156" s="10">
        <v>0</v>
      </c>
      <c r="Q156" s="10">
        <v>1</v>
      </c>
      <c r="R156" s="10">
        <v>2</v>
      </c>
      <c r="S156" s="10">
        <v>1</v>
      </c>
      <c r="T156" s="10">
        <v>1</v>
      </c>
      <c r="U156" s="10">
        <v>2</v>
      </c>
      <c r="V156" s="11">
        <v>1</v>
      </c>
    </row>
    <row r="157" spans="1:22" ht="15" thickBot="1" x14ac:dyDescent="0.35">
      <c r="A157" s="12" t="s">
        <v>22</v>
      </c>
      <c r="B157" s="13">
        <v>1</v>
      </c>
      <c r="C157" s="13">
        <v>1</v>
      </c>
      <c r="D157" s="13">
        <v>3</v>
      </c>
      <c r="E157" s="13">
        <v>1</v>
      </c>
      <c r="F157" s="13">
        <v>0</v>
      </c>
      <c r="G157" s="13">
        <v>7</v>
      </c>
      <c r="H157" s="13">
        <v>3500</v>
      </c>
      <c r="I157" s="13">
        <v>6</v>
      </c>
      <c r="J157" s="13">
        <v>1</v>
      </c>
      <c r="K157" s="13">
        <v>4</v>
      </c>
      <c r="L157" s="13">
        <v>1</v>
      </c>
      <c r="M157" s="13">
        <v>4</v>
      </c>
      <c r="N157" s="13">
        <v>4</v>
      </c>
      <c r="O157" s="13">
        <v>0</v>
      </c>
      <c r="P157" s="13">
        <v>0</v>
      </c>
      <c r="Q157" s="13">
        <v>0</v>
      </c>
      <c r="R157" s="13"/>
      <c r="S157" s="13">
        <v>1</v>
      </c>
      <c r="T157" s="13">
        <v>1</v>
      </c>
      <c r="U157" s="13">
        <v>2</v>
      </c>
      <c r="V157" s="14">
        <v>1</v>
      </c>
    </row>
    <row r="158" spans="1:22" ht="15" thickTop="1" x14ac:dyDescent="0.3"/>
  </sheetData>
  <sortState xmlns:xlrd2="http://schemas.microsoft.com/office/spreadsheetml/2017/richdata2" ref="A2:V159">
    <sortCondition descending="1" ref="A1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8381-C0A9-4839-97A3-617DDD4AE0AF}">
  <dimension ref="A1:S147"/>
  <sheetViews>
    <sheetView tabSelected="1" topLeftCell="A35" workbookViewId="0">
      <selection activeCell="A39" sqref="A39:XFD39"/>
    </sheetView>
  </sheetViews>
  <sheetFormatPr defaultRowHeight="14.4" x14ac:dyDescent="0.3"/>
  <cols>
    <col min="1" max="1" width="8.88671875" style="9"/>
    <col min="2" max="18" width="8.88671875" style="10"/>
    <col min="19" max="19" width="8.88671875" style="11"/>
  </cols>
  <sheetData>
    <row r="1" spans="1:19" ht="15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18</v>
      </c>
      <c r="S1" s="5" t="s">
        <v>21</v>
      </c>
    </row>
    <row r="2" spans="1:19" x14ac:dyDescent="0.3">
      <c r="A2" s="6" t="s">
        <v>164</v>
      </c>
      <c r="B2" s="7">
        <v>1</v>
      </c>
      <c r="C2" s="7">
        <v>1</v>
      </c>
      <c r="D2" s="7">
        <v>2</v>
      </c>
      <c r="E2" s="7">
        <v>1</v>
      </c>
      <c r="F2" s="7">
        <v>0</v>
      </c>
      <c r="G2" s="7">
        <v>0</v>
      </c>
      <c r="H2" s="7"/>
      <c r="I2" s="7">
        <v>5</v>
      </c>
      <c r="J2" s="7">
        <v>2</v>
      </c>
      <c r="K2" s="7">
        <v>4</v>
      </c>
      <c r="L2" s="7">
        <v>1</v>
      </c>
      <c r="M2" s="7">
        <v>5</v>
      </c>
      <c r="N2" s="7">
        <v>3</v>
      </c>
      <c r="O2" s="7">
        <v>0</v>
      </c>
      <c r="P2" s="7">
        <v>0</v>
      </c>
      <c r="Q2" s="7">
        <v>0</v>
      </c>
      <c r="R2" s="7">
        <v>0</v>
      </c>
      <c r="S2" s="8">
        <v>1</v>
      </c>
    </row>
    <row r="3" spans="1:19" x14ac:dyDescent="0.3">
      <c r="A3" s="9" t="s">
        <v>163</v>
      </c>
      <c r="B3" s="10">
        <v>1</v>
      </c>
      <c r="C3" s="10">
        <v>1</v>
      </c>
      <c r="D3" s="10">
        <v>1</v>
      </c>
      <c r="E3" s="10">
        <v>1</v>
      </c>
      <c r="F3" s="10">
        <v>0</v>
      </c>
      <c r="G3" s="10">
        <v>0</v>
      </c>
      <c r="H3" s="10">
        <v>1000</v>
      </c>
      <c r="I3" s="10">
        <v>2</v>
      </c>
      <c r="J3" s="10">
        <v>2</v>
      </c>
      <c r="K3" s="10">
        <v>5</v>
      </c>
      <c r="L3" s="10">
        <v>1</v>
      </c>
      <c r="M3" s="10">
        <v>4</v>
      </c>
      <c r="N3" s="10">
        <v>3</v>
      </c>
      <c r="O3" s="10">
        <v>1</v>
      </c>
      <c r="P3" s="10">
        <v>0</v>
      </c>
      <c r="Q3" s="10">
        <v>0</v>
      </c>
      <c r="R3" s="10">
        <v>1</v>
      </c>
      <c r="S3" s="11">
        <v>1</v>
      </c>
    </row>
    <row r="4" spans="1:19" x14ac:dyDescent="0.3">
      <c r="A4" s="9" t="s">
        <v>162</v>
      </c>
      <c r="B4" s="10">
        <v>1</v>
      </c>
      <c r="C4" s="10">
        <v>1</v>
      </c>
      <c r="D4" s="10">
        <v>5</v>
      </c>
      <c r="E4" s="10">
        <v>6</v>
      </c>
      <c r="F4" s="10">
        <v>0</v>
      </c>
      <c r="G4" s="10">
        <v>0</v>
      </c>
      <c r="H4" s="10">
        <v>450</v>
      </c>
      <c r="I4" s="10">
        <v>2</v>
      </c>
      <c r="J4" s="10">
        <v>3</v>
      </c>
      <c r="K4" s="10">
        <v>3</v>
      </c>
      <c r="L4" s="10">
        <v>1</v>
      </c>
      <c r="M4" s="10">
        <v>4</v>
      </c>
      <c r="N4" s="10">
        <v>3</v>
      </c>
      <c r="O4" s="10">
        <v>1</v>
      </c>
      <c r="P4" s="10">
        <v>0</v>
      </c>
      <c r="Q4" s="10">
        <v>1</v>
      </c>
      <c r="R4" s="10">
        <v>1</v>
      </c>
      <c r="S4" s="11">
        <v>1</v>
      </c>
    </row>
    <row r="5" spans="1:19" x14ac:dyDescent="0.3">
      <c r="A5" s="9" t="s">
        <v>161</v>
      </c>
      <c r="B5" s="10">
        <v>1</v>
      </c>
      <c r="C5" s="10">
        <v>1</v>
      </c>
      <c r="D5" s="10">
        <v>5</v>
      </c>
      <c r="E5" s="10">
        <v>6</v>
      </c>
      <c r="F5" s="10">
        <v>0</v>
      </c>
      <c r="G5" s="10">
        <v>0</v>
      </c>
      <c r="H5" s="10">
        <v>450</v>
      </c>
      <c r="I5" s="10">
        <v>8</v>
      </c>
      <c r="J5" s="10">
        <v>2</v>
      </c>
      <c r="K5" s="10">
        <v>2</v>
      </c>
      <c r="L5" s="10">
        <v>2</v>
      </c>
      <c r="M5" s="10">
        <v>4</v>
      </c>
      <c r="N5" s="10">
        <v>3</v>
      </c>
      <c r="O5" s="10">
        <v>0</v>
      </c>
      <c r="P5" s="10">
        <v>0</v>
      </c>
      <c r="Q5" s="10">
        <v>0</v>
      </c>
      <c r="R5" s="10">
        <v>1</v>
      </c>
      <c r="S5" s="11">
        <v>1</v>
      </c>
    </row>
    <row r="6" spans="1:19" x14ac:dyDescent="0.3">
      <c r="A6" s="9" t="s">
        <v>160</v>
      </c>
      <c r="B6" s="10">
        <v>1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3500</v>
      </c>
      <c r="I6" s="10">
        <v>2</v>
      </c>
      <c r="J6" s="10">
        <v>3</v>
      </c>
      <c r="K6" s="10">
        <v>4</v>
      </c>
      <c r="L6" s="10">
        <v>1</v>
      </c>
      <c r="M6" s="10">
        <v>4</v>
      </c>
      <c r="N6" s="10">
        <v>4</v>
      </c>
      <c r="O6" s="10">
        <v>0</v>
      </c>
      <c r="P6" s="10">
        <v>0</v>
      </c>
      <c r="Q6" s="10">
        <v>0</v>
      </c>
      <c r="R6" s="10">
        <v>1</v>
      </c>
      <c r="S6" s="11">
        <v>1</v>
      </c>
    </row>
    <row r="7" spans="1:19" x14ac:dyDescent="0.3">
      <c r="A7" s="9" t="s">
        <v>159</v>
      </c>
      <c r="B7" s="10">
        <v>1</v>
      </c>
      <c r="C7" s="10">
        <v>0</v>
      </c>
      <c r="D7" s="10">
        <v>5</v>
      </c>
      <c r="E7" s="10">
        <v>6</v>
      </c>
      <c r="F7" s="10">
        <v>0</v>
      </c>
      <c r="G7" s="10">
        <v>7</v>
      </c>
      <c r="H7" s="10">
        <v>1000</v>
      </c>
      <c r="I7" s="10">
        <v>2</v>
      </c>
      <c r="J7" s="10">
        <v>1</v>
      </c>
      <c r="K7" s="10">
        <v>4</v>
      </c>
      <c r="L7" s="10">
        <v>2</v>
      </c>
      <c r="M7" s="10">
        <v>3</v>
      </c>
      <c r="N7" s="10">
        <v>4</v>
      </c>
      <c r="O7" s="10">
        <v>0</v>
      </c>
      <c r="P7" s="10">
        <v>0</v>
      </c>
      <c r="Q7" s="10">
        <v>1</v>
      </c>
      <c r="R7" s="10">
        <v>1</v>
      </c>
      <c r="S7" s="11">
        <v>1</v>
      </c>
    </row>
    <row r="8" spans="1:19" x14ac:dyDescent="0.3">
      <c r="A8" s="9" t="s">
        <v>158</v>
      </c>
      <c r="B8" s="10">
        <v>1</v>
      </c>
      <c r="C8" s="10">
        <v>1</v>
      </c>
      <c r="D8" s="10">
        <v>1</v>
      </c>
      <c r="E8" s="10">
        <v>1</v>
      </c>
      <c r="F8" s="10">
        <v>0</v>
      </c>
      <c r="G8" s="10">
        <v>7</v>
      </c>
      <c r="H8" s="10">
        <v>1500</v>
      </c>
      <c r="I8" s="10">
        <v>2</v>
      </c>
      <c r="J8" s="10">
        <v>2</v>
      </c>
      <c r="K8" s="10">
        <v>3</v>
      </c>
      <c r="L8" s="10">
        <v>1</v>
      </c>
      <c r="M8" s="10">
        <v>4</v>
      </c>
      <c r="N8" s="10">
        <v>3</v>
      </c>
      <c r="O8" s="10">
        <v>1</v>
      </c>
      <c r="P8" s="10">
        <v>0</v>
      </c>
      <c r="Q8" s="10">
        <v>0</v>
      </c>
      <c r="R8" s="10">
        <v>1</v>
      </c>
      <c r="S8" s="11">
        <v>1</v>
      </c>
    </row>
    <row r="9" spans="1:19" x14ac:dyDescent="0.3">
      <c r="A9" s="9" t="s">
        <v>157</v>
      </c>
      <c r="B9" s="10">
        <v>1</v>
      </c>
      <c r="C9" s="10">
        <v>1</v>
      </c>
      <c r="D9" s="10">
        <v>1</v>
      </c>
      <c r="E9" s="10">
        <v>1</v>
      </c>
      <c r="F9" s="10">
        <v>0</v>
      </c>
      <c r="G9" s="10">
        <v>0</v>
      </c>
      <c r="H9" s="10">
        <v>2500</v>
      </c>
      <c r="I9" s="10">
        <v>5</v>
      </c>
      <c r="J9" s="10">
        <v>2</v>
      </c>
      <c r="K9" s="10">
        <v>4</v>
      </c>
      <c r="L9" s="10">
        <v>1</v>
      </c>
      <c r="M9" s="10">
        <v>4</v>
      </c>
      <c r="N9" s="10">
        <v>4</v>
      </c>
      <c r="O9" s="10">
        <v>0</v>
      </c>
      <c r="P9" s="10">
        <v>0</v>
      </c>
      <c r="Q9" s="10">
        <v>0</v>
      </c>
      <c r="R9" s="10">
        <v>1</v>
      </c>
      <c r="S9" s="11">
        <v>1</v>
      </c>
    </row>
    <row r="10" spans="1:19" x14ac:dyDescent="0.3">
      <c r="A10" s="9" t="s">
        <v>156</v>
      </c>
      <c r="B10" s="10">
        <v>1</v>
      </c>
      <c r="C10" s="10">
        <v>1</v>
      </c>
      <c r="D10" s="10">
        <v>0</v>
      </c>
      <c r="E10" s="10">
        <v>1</v>
      </c>
      <c r="F10" s="10">
        <v>0</v>
      </c>
      <c r="G10" s="10">
        <v>7</v>
      </c>
      <c r="H10" s="10">
        <v>450</v>
      </c>
      <c r="I10" s="10">
        <v>6</v>
      </c>
      <c r="J10" s="10">
        <v>1</v>
      </c>
      <c r="K10" s="10">
        <v>3</v>
      </c>
      <c r="L10" s="10">
        <v>1</v>
      </c>
      <c r="M10" s="10">
        <v>4</v>
      </c>
      <c r="N10" s="10">
        <v>3</v>
      </c>
      <c r="O10" s="10">
        <v>0</v>
      </c>
      <c r="P10" s="10">
        <v>0</v>
      </c>
      <c r="Q10" s="10">
        <v>0</v>
      </c>
      <c r="R10" s="10">
        <v>1</v>
      </c>
      <c r="S10" s="11">
        <v>1</v>
      </c>
    </row>
    <row r="11" spans="1:19" x14ac:dyDescent="0.3">
      <c r="A11" s="9" t="s">
        <v>155</v>
      </c>
      <c r="B11" s="10">
        <v>1</v>
      </c>
      <c r="C11" s="10">
        <v>1</v>
      </c>
      <c r="D11" s="10">
        <v>2</v>
      </c>
      <c r="E11" s="10">
        <v>1</v>
      </c>
      <c r="F11" s="10">
        <v>0</v>
      </c>
      <c r="G11" s="10">
        <v>0</v>
      </c>
      <c r="H11" s="10">
        <v>3000</v>
      </c>
      <c r="I11" s="10">
        <v>2</v>
      </c>
      <c r="J11" s="10">
        <v>2</v>
      </c>
      <c r="K11" s="10">
        <v>4</v>
      </c>
      <c r="L11" s="10">
        <v>1</v>
      </c>
      <c r="M11" s="10">
        <v>4</v>
      </c>
      <c r="N11" s="10">
        <v>2</v>
      </c>
      <c r="O11" s="10">
        <v>1</v>
      </c>
      <c r="P11" s="10">
        <v>0</v>
      </c>
      <c r="Q11" s="10">
        <v>0</v>
      </c>
      <c r="R11" s="10">
        <v>0</v>
      </c>
      <c r="S11" s="11">
        <v>1</v>
      </c>
    </row>
    <row r="12" spans="1:19" x14ac:dyDescent="0.3">
      <c r="A12" s="9" t="s">
        <v>154</v>
      </c>
      <c r="B12" s="10">
        <v>0</v>
      </c>
      <c r="C12" s="10">
        <v>1</v>
      </c>
      <c r="D12" s="10">
        <v>1</v>
      </c>
      <c r="E12" s="10">
        <v>6</v>
      </c>
      <c r="F12" s="10">
        <v>0</v>
      </c>
      <c r="G12" s="10">
        <v>1</v>
      </c>
      <c r="H12" s="10">
        <v>1000</v>
      </c>
      <c r="I12" s="10">
        <v>5</v>
      </c>
      <c r="J12" s="10">
        <v>4</v>
      </c>
      <c r="K12" s="10">
        <v>4</v>
      </c>
      <c r="L12" s="10">
        <v>1</v>
      </c>
      <c r="M12" s="10">
        <v>4</v>
      </c>
      <c r="N12" s="10">
        <v>2</v>
      </c>
      <c r="O12" s="10">
        <v>1</v>
      </c>
      <c r="P12" s="10">
        <v>0</v>
      </c>
      <c r="Q12" s="10">
        <v>0</v>
      </c>
      <c r="R12" s="10">
        <v>1</v>
      </c>
      <c r="S12" s="11">
        <v>1</v>
      </c>
    </row>
    <row r="13" spans="1:19" x14ac:dyDescent="0.3">
      <c r="A13" s="9" t="s">
        <v>153</v>
      </c>
      <c r="B13" s="10">
        <v>1</v>
      </c>
      <c r="C13" s="10">
        <v>1</v>
      </c>
      <c r="D13" s="10">
        <v>1</v>
      </c>
      <c r="E13" s="10">
        <v>1</v>
      </c>
      <c r="F13" s="10">
        <v>0</v>
      </c>
      <c r="G13" s="10">
        <v>0</v>
      </c>
      <c r="H13" s="10">
        <v>2500</v>
      </c>
      <c r="I13" s="10">
        <v>2</v>
      </c>
      <c r="J13" s="10">
        <v>4</v>
      </c>
      <c r="K13" s="10">
        <v>3</v>
      </c>
      <c r="L13" s="10">
        <v>2</v>
      </c>
      <c r="M13" s="10">
        <v>3</v>
      </c>
      <c r="N13" s="10">
        <v>4</v>
      </c>
      <c r="O13" s="10">
        <v>0</v>
      </c>
      <c r="P13" s="10">
        <v>1</v>
      </c>
      <c r="Q13" s="10">
        <v>0</v>
      </c>
      <c r="R13" s="10">
        <v>1</v>
      </c>
      <c r="S13" s="11">
        <v>1</v>
      </c>
    </row>
    <row r="14" spans="1:19" x14ac:dyDescent="0.3">
      <c r="A14" s="9" t="s">
        <v>152</v>
      </c>
      <c r="B14" s="10">
        <v>1</v>
      </c>
      <c r="C14" s="10">
        <v>1</v>
      </c>
      <c r="D14" s="10">
        <v>2</v>
      </c>
      <c r="E14" s="10">
        <v>6</v>
      </c>
      <c r="F14" s="10">
        <v>0</v>
      </c>
      <c r="G14" s="10">
        <v>7</v>
      </c>
      <c r="H14" s="10">
        <v>1000</v>
      </c>
      <c r="I14" s="10">
        <v>2</v>
      </c>
      <c r="J14" s="10">
        <v>2</v>
      </c>
      <c r="K14" s="10">
        <v>3</v>
      </c>
      <c r="L14" s="10">
        <v>2</v>
      </c>
      <c r="M14" s="10">
        <v>4</v>
      </c>
      <c r="N14" s="10">
        <v>2</v>
      </c>
      <c r="O14" s="10">
        <v>0</v>
      </c>
      <c r="P14" s="10">
        <v>0</v>
      </c>
      <c r="Q14" s="10">
        <v>0</v>
      </c>
      <c r="R14" s="10">
        <v>1</v>
      </c>
      <c r="S14" s="11">
        <v>1</v>
      </c>
    </row>
    <row r="15" spans="1:19" x14ac:dyDescent="0.3">
      <c r="A15" s="9" t="s">
        <v>151</v>
      </c>
      <c r="B15" s="10">
        <v>1</v>
      </c>
      <c r="C15" s="10">
        <v>1</v>
      </c>
      <c r="D15" s="10">
        <v>1</v>
      </c>
      <c r="E15" s="10">
        <v>1</v>
      </c>
      <c r="F15" s="10">
        <v>0</v>
      </c>
      <c r="G15" s="10">
        <v>7</v>
      </c>
      <c r="H15" s="10">
        <v>2500</v>
      </c>
      <c r="I15" s="10">
        <v>2</v>
      </c>
      <c r="J15" s="10">
        <v>2</v>
      </c>
      <c r="K15" s="10">
        <v>4</v>
      </c>
      <c r="L15" s="10">
        <v>2</v>
      </c>
      <c r="M15" s="10">
        <v>4</v>
      </c>
      <c r="N15" s="10">
        <v>4</v>
      </c>
      <c r="O15" s="10">
        <v>0</v>
      </c>
      <c r="P15" s="10">
        <v>0</v>
      </c>
      <c r="Q15" s="10">
        <v>0</v>
      </c>
      <c r="R15" s="10">
        <v>0</v>
      </c>
      <c r="S15" s="11">
        <v>1</v>
      </c>
    </row>
    <row r="16" spans="1:19" x14ac:dyDescent="0.3">
      <c r="A16" s="9" t="s">
        <v>150</v>
      </c>
      <c r="B16" s="10">
        <v>1</v>
      </c>
      <c r="C16" s="10">
        <v>1</v>
      </c>
      <c r="D16" s="10">
        <v>1</v>
      </c>
      <c r="E16" s="10">
        <v>1</v>
      </c>
      <c r="F16" s="10">
        <v>0</v>
      </c>
      <c r="G16" s="10">
        <v>7</v>
      </c>
      <c r="H16" s="10">
        <v>2000</v>
      </c>
      <c r="I16" s="10">
        <v>2</v>
      </c>
      <c r="J16" s="10">
        <v>1</v>
      </c>
      <c r="K16" s="10">
        <v>4</v>
      </c>
      <c r="L16" s="10">
        <v>1</v>
      </c>
      <c r="M16" s="10">
        <v>5</v>
      </c>
      <c r="N16" s="10">
        <v>4</v>
      </c>
      <c r="O16" s="10">
        <v>0</v>
      </c>
      <c r="P16" s="10">
        <v>1</v>
      </c>
      <c r="Q16" s="10">
        <v>0</v>
      </c>
      <c r="R16" s="10">
        <v>1</v>
      </c>
      <c r="S16" s="11">
        <v>1</v>
      </c>
    </row>
    <row r="17" spans="1:19" x14ac:dyDescent="0.3">
      <c r="A17" s="9" t="s">
        <v>149</v>
      </c>
      <c r="B17" s="10">
        <v>1</v>
      </c>
      <c r="C17" s="10">
        <v>1</v>
      </c>
      <c r="D17" s="10">
        <v>1</v>
      </c>
      <c r="E17" s="10">
        <v>1</v>
      </c>
      <c r="F17" s="10">
        <v>0</v>
      </c>
      <c r="G17" s="10">
        <v>0</v>
      </c>
      <c r="H17" s="10">
        <v>1500</v>
      </c>
      <c r="I17" s="10">
        <v>2</v>
      </c>
      <c r="J17" s="10">
        <v>2</v>
      </c>
      <c r="K17" s="10">
        <v>4</v>
      </c>
      <c r="L17" s="10">
        <v>1</v>
      </c>
      <c r="M17" s="10">
        <v>4</v>
      </c>
      <c r="N17" s="10">
        <v>4</v>
      </c>
      <c r="O17" s="10">
        <v>0</v>
      </c>
      <c r="P17" s="10">
        <v>0</v>
      </c>
      <c r="Q17" s="10">
        <v>1</v>
      </c>
      <c r="R17" s="10">
        <v>1</v>
      </c>
      <c r="S17" s="11">
        <v>1</v>
      </c>
    </row>
    <row r="18" spans="1:19" x14ac:dyDescent="0.3">
      <c r="A18" s="9" t="s">
        <v>148</v>
      </c>
      <c r="B18" s="10">
        <v>1</v>
      </c>
      <c r="C18" s="10">
        <v>0</v>
      </c>
      <c r="D18" s="10">
        <v>2</v>
      </c>
      <c r="E18" s="10">
        <v>6</v>
      </c>
      <c r="F18" s="10">
        <v>0</v>
      </c>
      <c r="G18" s="10">
        <v>7</v>
      </c>
      <c r="H18" s="10">
        <v>500</v>
      </c>
      <c r="I18" s="10">
        <v>2</v>
      </c>
      <c r="J18" s="10">
        <v>1</v>
      </c>
      <c r="K18" s="10">
        <v>4</v>
      </c>
      <c r="L18" s="10">
        <v>1</v>
      </c>
      <c r="M18" s="10">
        <v>3</v>
      </c>
      <c r="N18" s="10">
        <v>3</v>
      </c>
      <c r="O18" s="10">
        <v>0</v>
      </c>
      <c r="P18" s="10">
        <v>0</v>
      </c>
      <c r="Q18" s="10">
        <v>0</v>
      </c>
      <c r="R18" s="10">
        <v>1</v>
      </c>
      <c r="S18" s="11">
        <v>1</v>
      </c>
    </row>
    <row r="19" spans="1:19" x14ac:dyDescent="0.3">
      <c r="A19" s="9" t="s">
        <v>147</v>
      </c>
      <c r="B19" s="10">
        <v>1</v>
      </c>
      <c r="C19" s="10">
        <v>0</v>
      </c>
      <c r="D19" s="10">
        <v>2</v>
      </c>
      <c r="E19" s="10">
        <v>6</v>
      </c>
      <c r="F19" s="10">
        <v>0</v>
      </c>
      <c r="G19" s="10">
        <v>4</v>
      </c>
      <c r="H19" s="10">
        <v>1500</v>
      </c>
      <c r="I19" s="10">
        <v>5</v>
      </c>
      <c r="J19" s="10">
        <v>7</v>
      </c>
      <c r="K19" s="10">
        <v>4</v>
      </c>
      <c r="L19" s="10">
        <v>1</v>
      </c>
      <c r="M19" s="10">
        <v>4</v>
      </c>
      <c r="N19" s="10">
        <v>3</v>
      </c>
      <c r="O19" s="10">
        <v>1</v>
      </c>
      <c r="P19" s="10">
        <v>0</v>
      </c>
      <c r="Q19" s="10">
        <v>0</v>
      </c>
      <c r="R19" s="10">
        <v>1</v>
      </c>
      <c r="S19" s="11">
        <v>1</v>
      </c>
    </row>
    <row r="20" spans="1:19" x14ac:dyDescent="0.3">
      <c r="A20" s="9" t="s">
        <v>146</v>
      </c>
      <c r="B20" s="10">
        <v>1</v>
      </c>
      <c r="C20" s="10">
        <v>1</v>
      </c>
      <c r="D20" s="10">
        <v>0</v>
      </c>
      <c r="E20" s="10">
        <v>1</v>
      </c>
      <c r="F20" s="10">
        <v>0</v>
      </c>
      <c r="G20" s="10">
        <v>7</v>
      </c>
      <c r="H20" s="10">
        <v>2500</v>
      </c>
      <c r="I20" s="10">
        <v>2</v>
      </c>
      <c r="J20" s="10">
        <v>1</v>
      </c>
      <c r="K20" s="10">
        <v>4</v>
      </c>
      <c r="L20" s="10">
        <v>1</v>
      </c>
      <c r="M20" s="10">
        <v>4</v>
      </c>
      <c r="N20" s="10">
        <v>2</v>
      </c>
      <c r="O20" s="10">
        <v>0</v>
      </c>
      <c r="P20" s="10">
        <v>0</v>
      </c>
      <c r="Q20" s="10">
        <v>0</v>
      </c>
      <c r="R20" s="10">
        <v>1</v>
      </c>
      <c r="S20" s="11">
        <v>1</v>
      </c>
    </row>
    <row r="21" spans="1:19" x14ac:dyDescent="0.3">
      <c r="A21" s="9" t="s">
        <v>145</v>
      </c>
      <c r="B21" s="10">
        <v>1</v>
      </c>
      <c r="C21" s="10">
        <v>0</v>
      </c>
      <c r="D21" s="10">
        <v>1</v>
      </c>
      <c r="E21" s="10">
        <v>6</v>
      </c>
      <c r="F21" s="10">
        <v>0</v>
      </c>
      <c r="G21" s="10">
        <v>7</v>
      </c>
      <c r="H21" s="10">
        <v>1500</v>
      </c>
      <c r="I21" s="10">
        <v>5</v>
      </c>
      <c r="J21" s="10">
        <v>3</v>
      </c>
      <c r="K21" s="10">
        <v>4</v>
      </c>
      <c r="L21" s="10">
        <v>1</v>
      </c>
      <c r="M21" s="10">
        <v>4</v>
      </c>
      <c r="N21" s="10">
        <v>1</v>
      </c>
      <c r="O21" s="10">
        <v>0</v>
      </c>
      <c r="P21" s="10">
        <v>0</v>
      </c>
      <c r="Q21" s="10">
        <v>0</v>
      </c>
      <c r="R21" s="10">
        <v>1</v>
      </c>
      <c r="S21" s="11">
        <v>1</v>
      </c>
    </row>
    <row r="22" spans="1:19" x14ac:dyDescent="0.3">
      <c r="A22" s="9" t="s">
        <v>144</v>
      </c>
      <c r="B22" s="10">
        <v>1</v>
      </c>
      <c r="C22" s="10">
        <v>1</v>
      </c>
      <c r="D22" s="10">
        <v>1</v>
      </c>
      <c r="E22" s="10">
        <v>1</v>
      </c>
      <c r="F22" s="10">
        <v>0</v>
      </c>
      <c r="G22" s="10">
        <v>7</v>
      </c>
      <c r="H22" s="10">
        <v>2500</v>
      </c>
      <c r="I22" s="10">
        <v>2</v>
      </c>
      <c r="J22" s="10">
        <v>2</v>
      </c>
      <c r="K22" s="10">
        <v>3</v>
      </c>
      <c r="L22" s="10">
        <v>1</v>
      </c>
      <c r="M22" s="10">
        <v>5</v>
      </c>
      <c r="N22" s="10">
        <v>4</v>
      </c>
      <c r="O22" s="10">
        <v>0</v>
      </c>
      <c r="P22" s="10">
        <v>0</v>
      </c>
      <c r="Q22" s="10">
        <v>0</v>
      </c>
      <c r="R22" s="10">
        <v>1</v>
      </c>
      <c r="S22" s="11">
        <v>1</v>
      </c>
    </row>
    <row r="23" spans="1:19" x14ac:dyDescent="0.3">
      <c r="A23" s="9" t="s">
        <v>143</v>
      </c>
      <c r="B23" s="10">
        <v>1</v>
      </c>
      <c r="C23" s="10">
        <v>1</v>
      </c>
      <c r="D23" s="10">
        <v>1</v>
      </c>
      <c r="E23" s="10">
        <v>1</v>
      </c>
      <c r="F23" s="10">
        <v>0</v>
      </c>
      <c r="G23" s="10">
        <v>0</v>
      </c>
      <c r="H23" s="10">
        <v>500</v>
      </c>
      <c r="I23" s="10">
        <v>5</v>
      </c>
      <c r="J23" s="10">
        <v>2</v>
      </c>
      <c r="K23" s="10">
        <v>3</v>
      </c>
      <c r="L23" s="10">
        <v>1</v>
      </c>
      <c r="M23" s="10">
        <v>4</v>
      </c>
      <c r="N23" s="10">
        <v>3</v>
      </c>
      <c r="O23" s="10">
        <v>1</v>
      </c>
      <c r="P23" s="10">
        <v>1</v>
      </c>
      <c r="Q23" s="10">
        <v>1</v>
      </c>
      <c r="R23" s="10">
        <v>1</v>
      </c>
      <c r="S23" s="11">
        <v>1</v>
      </c>
    </row>
    <row r="24" spans="1:19" x14ac:dyDescent="0.3">
      <c r="A24" s="9" t="s">
        <v>142</v>
      </c>
      <c r="B24" s="10">
        <v>1</v>
      </c>
      <c r="C24" s="10">
        <v>0</v>
      </c>
      <c r="D24" s="10">
        <v>5</v>
      </c>
      <c r="E24" s="10">
        <v>6</v>
      </c>
      <c r="F24" s="10">
        <v>0</v>
      </c>
      <c r="G24" s="10">
        <v>7</v>
      </c>
      <c r="H24" s="10">
        <v>450</v>
      </c>
      <c r="I24" s="10">
        <v>2</v>
      </c>
      <c r="J24" s="10">
        <v>2</v>
      </c>
      <c r="K24" s="10">
        <v>2</v>
      </c>
      <c r="L24" s="10">
        <v>1</v>
      </c>
      <c r="M24" s="10">
        <v>4</v>
      </c>
      <c r="N24" s="10">
        <v>3</v>
      </c>
      <c r="O24" s="10">
        <v>1</v>
      </c>
      <c r="P24" s="10">
        <v>0</v>
      </c>
      <c r="Q24" s="10">
        <v>1</v>
      </c>
      <c r="R24" s="10">
        <v>1</v>
      </c>
      <c r="S24" s="11">
        <v>1</v>
      </c>
    </row>
    <row r="25" spans="1:19" x14ac:dyDescent="0.3">
      <c r="A25" s="9" t="s">
        <v>141</v>
      </c>
      <c r="B25" s="10">
        <v>1</v>
      </c>
      <c r="C25" s="10">
        <v>0</v>
      </c>
      <c r="D25" s="10">
        <v>1</v>
      </c>
      <c r="E25" s="10">
        <v>1</v>
      </c>
      <c r="F25" s="10">
        <v>0</v>
      </c>
      <c r="G25" s="10">
        <v>7</v>
      </c>
      <c r="H25" s="10">
        <v>450</v>
      </c>
      <c r="I25" s="10">
        <v>5</v>
      </c>
      <c r="J25" s="10">
        <v>1</v>
      </c>
      <c r="K25" s="10">
        <v>4</v>
      </c>
      <c r="L25" s="10">
        <v>1</v>
      </c>
      <c r="M25" s="10">
        <v>3</v>
      </c>
      <c r="N25" s="10">
        <v>3</v>
      </c>
      <c r="O25" s="10">
        <v>1</v>
      </c>
      <c r="P25" s="10">
        <v>0</v>
      </c>
      <c r="Q25" s="10">
        <v>0</v>
      </c>
      <c r="R25" s="10">
        <v>0</v>
      </c>
      <c r="S25" s="11">
        <v>1</v>
      </c>
    </row>
    <row r="26" spans="1:19" x14ac:dyDescent="0.3">
      <c r="A26" s="9" t="s">
        <v>140</v>
      </c>
      <c r="B26" s="10">
        <v>1</v>
      </c>
      <c r="C26" s="10">
        <v>0</v>
      </c>
      <c r="D26" s="10">
        <v>1</v>
      </c>
      <c r="E26" s="10">
        <v>6</v>
      </c>
      <c r="F26" s="10">
        <v>1</v>
      </c>
      <c r="G26" s="10">
        <v>7</v>
      </c>
      <c r="H26" s="10">
        <v>500</v>
      </c>
      <c r="I26" s="10">
        <v>5</v>
      </c>
      <c r="J26" s="10">
        <v>4</v>
      </c>
      <c r="K26" s="10">
        <v>4</v>
      </c>
      <c r="L26" s="10">
        <v>1</v>
      </c>
      <c r="M26" s="10">
        <v>4</v>
      </c>
      <c r="N26" s="10">
        <v>3</v>
      </c>
      <c r="O26" s="10">
        <v>1</v>
      </c>
      <c r="P26" s="10">
        <v>1</v>
      </c>
      <c r="Q26" s="10">
        <v>0</v>
      </c>
      <c r="R26" s="10">
        <v>1</v>
      </c>
      <c r="S26" s="11">
        <v>1</v>
      </c>
    </row>
    <row r="27" spans="1:19" x14ac:dyDescent="0.3">
      <c r="A27" s="9" t="s">
        <v>139</v>
      </c>
      <c r="B27" s="10">
        <v>1</v>
      </c>
      <c r="C27" s="10">
        <v>0</v>
      </c>
      <c r="D27" s="10">
        <v>1</v>
      </c>
      <c r="E27" s="10">
        <v>1</v>
      </c>
      <c r="F27" s="10">
        <v>0</v>
      </c>
      <c r="G27" s="10">
        <v>1</v>
      </c>
      <c r="H27" s="10">
        <v>450</v>
      </c>
      <c r="I27" s="10">
        <v>5</v>
      </c>
      <c r="J27" s="10">
        <v>6</v>
      </c>
      <c r="K27" s="10">
        <v>4</v>
      </c>
      <c r="L27" s="10">
        <v>1</v>
      </c>
      <c r="M27" s="10">
        <v>3</v>
      </c>
      <c r="N27" s="10">
        <v>3</v>
      </c>
      <c r="O27" s="10">
        <v>1</v>
      </c>
      <c r="P27" s="10">
        <v>0</v>
      </c>
      <c r="Q27" s="10">
        <v>1</v>
      </c>
      <c r="R27" s="10">
        <v>0</v>
      </c>
      <c r="S27" s="11">
        <v>1</v>
      </c>
    </row>
    <row r="28" spans="1:19" x14ac:dyDescent="0.3">
      <c r="A28" s="9" t="s">
        <v>138</v>
      </c>
      <c r="B28" s="10">
        <v>1</v>
      </c>
      <c r="C28" s="10">
        <v>0</v>
      </c>
      <c r="D28" s="10">
        <v>2</v>
      </c>
      <c r="E28" s="10">
        <v>1</v>
      </c>
      <c r="F28" s="10">
        <v>0</v>
      </c>
      <c r="G28" s="10">
        <v>1</v>
      </c>
      <c r="H28" s="10">
        <v>450</v>
      </c>
      <c r="I28" s="10">
        <v>5</v>
      </c>
      <c r="J28" s="10">
        <v>5</v>
      </c>
      <c r="K28" s="10">
        <v>2</v>
      </c>
      <c r="L28" s="10">
        <v>1</v>
      </c>
      <c r="M28" s="10">
        <v>3</v>
      </c>
      <c r="N28" s="10">
        <v>3</v>
      </c>
      <c r="O28" s="10">
        <v>1</v>
      </c>
      <c r="P28" s="10">
        <v>0</v>
      </c>
      <c r="Q28" s="10">
        <v>0</v>
      </c>
      <c r="R28" s="10">
        <v>0</v>
      </c>
      <c r="S28" s="11">
        <v>1</v>
      </c>
    </row>
    <row r="29" spans="1:19" x14ac:dyDescent="0.3">
      <c r="A29" s="9" t="s">
        <v>137</v>
      </c>
      <c r="B29" s="10">
        <v>1</v>
      </c>
      <c r="C29" s="10">
        <v>1</v>
      </c>
      <c r="D29" s="10">
        <v>0</v>
      </c>
      <c r="E29" s="10">
        <v>1</v>
      </c>
      <c r="F29" s="10">
        <v>1</v>
      </c>
      <c r="G29" s="10">
        <v>1</v>
      </c>
      <c r="H29" s="10">
        <v>450</v>
      </c>
      <c r="I29" s="10">
        <v>5</v>
      </c>
      <c r="J29" s="10">
        <v>7</v>
      </c>
      <c r="K29" s="10">
        <v>4</v>
      </c>
      <c r="L29" s="10">
        <v>1</v>
      </c>
      <c r="M29" s="10">
        <v>4</v>
      </c>
      <c r="N29" s="10">
        <v>3</v>
      </c>
      <c r="O29" s="10">
        <v>0</v>
      </c>
      <c r="P29" s="10">
        <v>0</v>
      </c>
      <c r="Q29" s="10">
        <v>1</v>
      </c>
      <c r="R29" s="10">
        <v>1</v>
      </c>
      <c r="S29" s="11">
        <v>1</v>
      </c>
    </row>
    <row r="30" spans="1:19" x14ac:dyDescent="0.3">
      <c r="A30" s="9" t="s">
        <v>136</v>
      </c>
      <c r="B30" s="10">
        <v>1</v>
      </c>
      <c r="C30" s="10">
        <v>0</v>
      </c>
      <c r="D30" s="10">
        <v>2</v>
      </c>
      <c r="E30" s="10">
        <v>1</v>
      </c>
      <c r="F30" s="10">
        <v>0</v>
      </c>
      <c r="G30" s="10">
        <v>1</v>
      </c>
      <c r="H30" s="10">
        <v>450</v>
      </c>
      <c r="I30" s="10">
        <v>5</v>
      </c>
      <c r="J30" s="10">
        <v>6</v>
      </c>
      <c r="K30" s="10">
        <v>4</v>
      </c>
      <c r="L30" s="10">
        <v>1</v>
      </c>
      <c r="M30" s="10">
        <v>3</v>
      </c>
      <c r="N30" s="10">
        <v>3</v>
      </c>
      <c r="O30" s="10">
        <v>1</v>
      </c>
      <c r="P30" s="10">
        <v>0</v>
      </c>
      <c r="Q30" s="10">
        <v>0</v>
      </c>
      <c r="R30" s="10">
        <v>0</v>
      </c>
      <c r="S30" s="11">
        <v>1</v>
      </c>
    </row>
    <row r="31" spans="1:19" x14ac:dyDescent="0.3">
      <c r="A31" s="9" t="s">
        <v>135</v>
      </c>
      <c r="B31" s="10">
        <v>1</v>
      </c>
      <c r="C31" s="10">
        <v>0</v>
      </c>
      <c r="D31" s="10">
        <v>4</v>
      </c>
      <c r="E31" s="10">
        <v>6</v>
      </c>
      <c r="F31" s="10">
        <v>0</v>
      </c>
      <c r="G31" s="10">
        <v>7</v>
      </c>
      <c r="H31" s="10">
        <v>1000</v>
      </c>
      <c r="I31" s="10">
        <v>5</v>
      </c>
      <c r="J31" s="10">
        <v>3</v>
      </c>
      <c r="K31" s="10">
        <v>4</v>
      </c>
      <c r="L31" s="10">
        <v>1</v>
      </c>
      <c r="M31" s="10">
        <v>4</v>
      </c>
      <c r="N31" s="10">
        <v>3</v>
      </c>
      <c r="O31" s="10">
        <v>0</v>
      </c>
      <c r="P31" s="10">
        <v>0</v>
      </c>
      <c r="Q31" s="10">
        <v>0</v>
      </c>
      <c r="R31" s="10">
        <v>1</v>
      </c>
      <c r="S31" s="11">
        <v>1</v>
      </c>
    </row>
    <row r="32" spans="1:19" x14ac:dyDescent="0.3">
      <c r="A32" s="9" t="s">
        <v>134</v>
      </c>
      <c r="B32" s="10">
        <v>1</v>
      </c>
      <c r="C32" s="10">
        <v>0</v>
      </c>
      <c r="D32" s="10">
        <v>1</v>
      </c>
      <c r="E32" s="10">
        <v>1</v>
      </c>
      <c r="F32" s="10">
        <v>0</v>
      </c>
      <c r="G32" s="10">
        <v>1</v>
      </c>
      <c r="H32" s="10">
        <v>450</v>
      </c>
      <c r="I32" s="10">
        <v>9</v>
      </c>
      <c r="J32" s="10">
        <v>3</v>
      </c>
      <c r="K32" s="10">
        <v>4</v>
      </c>
      <c r="L32" s="10">
        <v>1</v>
      </c>
      <c r="M32" s="10">
        <v>3</v>
      </c>
      <c r="N32" s="10">
        <v>3</v>
      </c>
      <c r="O32" s="10">
        <v>1</v>
      </c>
      <c r="P32" s="10">
        <v>0</v>
      </c>
      <c r="Q32" s="10">
        <v>1</v>
      </c>
      <c r="R32" s="10">
        <v>1</v>
      </c>
      <c r="S32" s="11">
        <v>1</v>
      </c>
    </row>
    <row r="33" spans="1:19" x14ac:dyDescent="0.3">
      <c r="A33" s="9" t="s">
        <v>133</v>
      </c>
      <c r="B33" s="10">
        <v>1</v>
      </c>
      <c r="C33" s="10">
        <v>0</v>
      </c>
      <c r="D33" s="10">
        <v>1</v>
      </c>
      <c r="E33" s="10">
        <v>1</v>
      </c>
      <c r="F33" s="10">
        <v>1</v>
      </c>
      <c r="G33" s="10">
        <v>2</v>
      </c>
      <c r="H33" s="10">
        <v>2000</v>
      </c>
      <c r="I33" s="10">
        <v>5</v>
      </c>
      <c r="J33" s="10">
        <v>4</v>
      </c>
      <c r="K33" s="10">
        <v>3</v>
      </c>
      <c r="L33" s="10">
        <v>1</v>
      </c>
      <c r="M33" s="10">
        <v>4</v>
      </c>
      <c r="N33" s="10">
        <v>4</v>
      </c>
      <c r="O33" s="10">
        <v>0</v>
      </c>
      <c r="P33" s="10">
        <v>0</v>
      </c>
      <c r="Q33" s="10">
        <v>0</v>
      </c>
      <c r="R33" s="10">
        <v>1</v>
      </c>
      <c r="S33" s="11">
        <v>1</v>
      </c>
    </row>
    <row r="34" spans="1:19" x14ac:dyDescent="0.3">
      <c r="A34" s="9" t="s">
        <v>132</v>
      </c>
      <c r="B34" s="10">
        <v>1</v>
      </c>
      <c r="C34" s="10">
        <v>0</v>
      </c>
      <c r="D34" s="10">
        <v>2</v>
      </c>
      <c r="E34" s="10">
        <v>1</v>
      </c>
      <c r="F34" s="10">
        <v>0</v>
      </c>
      <c r="G34" s="10">
        <v>1</v>
      </c>
      <c r="H34" s="10">
        <v>450</v>
      </c>
      <c r="I34" s="10">
        <v>5</v>
      </c>
      <c r="J34" s="10">
        <v>3</v>
      </c>
      <c r="K34" s="10">
        <v>4</v>
      </c>
      <c r="L34" s="10">
        <v>1</v>
      </c>
      <c r="M34" s="10">
        <v>3</v>
      </c>
      <c r="N34" s="10">
        <v>3</v>
      </c>
      <c r="O34" s="10">
        <v>1</v>
      </c>
      <c r="P34" s="10">
        <v>0</v>
      </c>
      <c r="Q34" s="10">
        <v>0</v>
      </c>
      <c r="R34" s="10">
        <v>0</v>
      </c>
      <c r="S34" s="11">
        <v>1</v>
      </c>
    </row>
    <row r="35" spans="1:19" x14ac:dyDescent="0.3">
      <c r="A35" s="9" t="s">
        <v>131</v>
      </c>
      <c r="B35" s="10">
        <v>1</v>
      </c>
      <c r="C35" s="10">
        <v>0</v>
      </c>
      <c r="D35" s="10">
        <v>2</v>
      </c>
      <c r="E35" s="10">
        <v>1</v>
      </c>
      <c r="F35" s="10">
        <v>0</v>
      </c>
      <c r="G35" s="10">
        <v>1</v>
      </c>
      <c r="H35" s="10">
        <v>450</v>
      </c>
      <c r="I35" s="10">
        <v>5</v>
      </c>
      <c r="J35" s="10">
        <v>1</v>
      </c>
      <c r="K35" s="10">
        <v>4</v>
      </c>
      <c r="L35" s="10">
        <v>1</v>
      </c>
      <c r="M35" s="10">
        <v>3</v>
      </c>
      <c r="N35" s="10">
        <v>3</v>
      </c>
      <c r="O35" s="10">
        <v>1</v>
      </c>
      <c r="P35" s="10">
        <v>0</v>
      </c>
      <c r="Q35" s="10">
        <v>0</v>
      </c>
      <c r="R35" s="10">
        <v>0</v>
      </c>
      <c r="S35" s="11">
        <v>1</v>
      </c>
    </row>
    <row r="36" spans="1:19" x14ac:dyDescent="0.3">
      <c r="A36" s="9" t="s">
        <v>130</v>
      </c>
      <c r="B36" s="10">
        <v>1</v>
      </c>
      <c r="C36" s="10">
        <v>1</v>
      </c>
      <c r="D36" s="10">
        <v>1</v>
      </c>
      <c r="E36" s="10">
        <v>1</v>
      </c>
      <c r="F36" s="10">
        <v>0</v>
      </c>
      <c r="G36" s="10">
        <v>7</v>
      </c>
      <c r="H36" s="10">
        <v>2000</v>
      </c>
      <c r="I36" s="10">
        <v>6</v>
      </c>
      <c r="J36" s="10">
        <v>2</v>
      </c>
      <c r="K36" s="10">
        <v>4</v>
      </c>
      <c r="L36" s="10">
        <v>1</v>
      </c>
      <c r="M36" s="10">
        <v>4</v>
      </c>
      <c r="N36" s="10">
        <v>2</v>
      </c>
      <c r="O36" s="10">
        <v>1</v>
      </c>
      <c r="P36" s="10">
        <v>0</v>
      </c>
      <c r="Q36" s="10">
        <v>1</v>
      </c>
      <c r="R36" s="10">
        <v>0</v>
      </c>
      <c r="S36" s="11">
        <v>1</v>
      </c>
    </row>
    <row r="37" spans="1:19" x14ac:dyDescent="0.3">
      <c r="A37" s="9" t="s">
        <v>129</v>
      </c>
      <c r="B37" s="10">
        <v>1</v>
      </c>
      <c r="C37" s="10">
        <v>1</v>
      </c>
      <c r="D37" s="10">
        <v>1</v>
      </c>
      <c r="E37" s="10">
        <v>1</v>
      </c>
      <c r="F37" s="10">
        <v>0</v>
      </c>
      <c r="G37" s="10">
        <v>7</v>
      </c>
      <c r="H37" s="10">
        <v>2500</v>
      </c>
      <c r="I37" s="10">
        <v>6</v>
      </c>
      <c r="J37" s="10">
        <v>2</v>
      </c>
      <c r="K37" s="10">
        <v>4</v>
      </c>
      <c r="L37" s="10">
        <v>2</v>
      </c>
      <c r="M37" s="10">
        <v>4</v>
      </c>
      <c r="N37" s="10">
        <v>4</v>
      </c>
      <c r="O37" s="10">
        <v>0</v>
      </c>
      <c r="P37" s="10">
        <v>0</v>
      </c>
      <c r="Q37" s="10">
        <v>1</v>
      </c>
      <c r="R37" s="10">
        <v>0</v>
      </c>
      <c r="S37" s="11">
        <v>1</v>
      </c>
    </row>
    <row r="38" spans="1:19" x14ac:dyDescent="0.3">
      <c r="A38" s="9" t="s">
        <v>128</v>
      </c>
      <c r="B38" s="10">
        <v>1</v>
      </c>
      <c r="C38" s="10">
        <v>1</v>
      </c>
      <c r="D38" s="10">
        <v>1</v>
      </c>
      <c r="E38" s="10">
        <v>1</v>
      </c>
      <c r="F38" s="10">
        <v>0</v>
      </c>
      <c r="G38" s="10">
        <v>7</v>
      </c>
      <c r="H38" s="10">
        <v>1000</v>
      </c>
      <c r="I38" s="10">
        <v>9</v>
      </c>
      <c r="J38" s="10">
        <v>1</v>
      </c>
      <c r="K38" s="10">
        <v>4</v>
      </c>
      <c r="L38" s="10">
        <v>1</v>
      </c>
      <c r="M38" s="10">
        <v>4</v>
      </c>
      <c r="N38" s="10">
        <v>4</v>
      </c>
      <c r="O38" s="10">
        <v>0</v>
      </c>
      <c r="P38" s="10">
        <v>0</v>
      </c>
      <c r="Q38" s="10">
        <v>1</v>
      </c>
      <c r="R38" s="10">
        <v>1</v>
      </c>
      <c r="S38" s="11">
        <v>1</v>
      </c>
    </row>
    <row r="39" spans="1:19" x14ac:dyDescent="0.3">
      <c r="A39" s="9" t="s">
        <v>126</v>
      </c>
      <c r="B39" s="10">
        <v>1</v>
      </c>
      <c r="C39" s="10">
        <v>0</v>
      </c>
      <c r="D39" s="10">
        <v>2</v>
      </c>
      <c r="E39" s="10">
        <v>1</v>
      </c>
      <c r="F39" s="10">
        <v>1</v>
      </c>
      <c r="G39" s="10">
        <v>6</v>
      </c>
      <c r="H39" s="10">
        <v>2000</v>
      </c>
      <c r="I39" s="10">
        <v>2</v>
      </c>
      <c r="J39" s="10">
        <v>2</v>
      </c>
      <c r="K39" s="10">
        <v>4</v>
      </c>
      <c r="L39" s="10">
        <v>1</v>
      </c>
      <c r="M39" s="10">
        <v>4</v>
      </c>
      <c r="N39" s="10">
        <v>3</v>
      </c>
      <c r="O39" s="10">
        <v>1</v>
      </c>
      <c r="P39" s="10">
        <v>0</v>
      </c>
      <c r="Q39" s="10">
        <v>1</v>
      </c>
      <c r="R39" s="10">
        <v>1</v>
      </c>
      <c r="S39" s="11">
        <v>1</v>
      </c>
    </row>
    <row r="40" spans="1:19" x14ac:dyDescent="0.3">
      <c r="A40" s="9" t="s">
        <v>125</v>
      </c>
      <c r="B40" s="10">
        <v>1</v>
      </c>
      <c r="C40" s="10">
        <v>0</v>
      </c>
      <c r="D40" s="10">
        <v>3</v>
      </c>
      <c r="E40" s="10">
        <v>4</v>
      </c>
      <c r="F40" s="10">
        <v>0</v>
      </c>
      <c r="G40" s="10">
        <v>7</v>
      </c>
      <c r="H40" s="10">
        <v>500</v>
      </c>
      <c r="I40" s="10">
        <v>2</v>
      </c>
      <c r="J40" s="10">
        <v>2</v>
      </c>
      <c r="K40" s="10">
        <v>4</v>
      </c>
      <c r="L40" s="10">
        <v>1</v>
      </c>
      <c r="M40" s="10">
        <v>4</v>
      </c>
      <c r="N40" s="10">
        <v>3</v>
      </c>
      <c r="O40" s="10">
        <v>0</v>
      </c>
      <c r="P40" s="10">
        <v>1</v>
      </c>
      <c r="Q40" s="10">
        <v>1</v>
      </c>
      <c r="R40" s="10">
        <v>1</v>
      </c>
      <c r="S40" s="11">
        <v>1</v>
      </c>
    </row>
    <row r="41" spans="1:19" x14ac:dyDescent="0.3">
      <c r="A41" s="9" t="s">
        <v>124</v>
      </c>
      <c r="B41" s="10">
        <v>1</v>
      </c>
      <c r="C41" s="10">
        <v>0</v>
      </c>
      <c r="D41" s="10">
        <v>1</v>
      </c>
      <c r="E41" s="10">
        <v>1</v>
      </c>
      <c r="F41" s="10">
        <v>1</v>
      </c>
      <c r="G41" s="10">
        <v>9</v>
      </c>
      <c r="H41" s="10">
        <v>450</v>
      </c>
      <c r="I41" s="10">
        <v>2</v>
      </c>
      <c r="J41" s="10">
        <v>4</v>
      </c>
      <c r="K41" s="10">
        <v>4</v>
      </c>
      <c r="L41" s="10">
        <v>1</v>
      </c>
      <c r="M41" s="10">
        <v>4</v>
      </c>
      <c r="N41" s="10">
        <v>3</v>
      </c>
      <c r="O41" s="10">
        <v>1</v>
      </c>
      <c r="P41" s="10">
        <v>1</v>
      </c>
      <c r="Q41" s="10">
        <v>1</v>
      </c>
      <c r="R41" s="10">
        <v>0</v>
      </c>
      <c r="S41" s="11">
        <v>1</v>
      </c>
    </row>
    <row r="42" spans="1:19" x14ac:dyDescent="0.3">
      <c r="A42" s="9" t="s">
        <v>123</v>
      </c>
      <c r="B42" s="10">
        <v>1</v>
      </c>
      <c r="C42" s="10">
        <v>0</v>
      </c>
      <c r="D42" s="10">
        <v>1</v>
      </c>
      <c r="E42" s="10">
        <v>1</v>
      </c>
      <c r="F42" s="10">
        <v>0</v>
      </c>
      <c r="G42" s="10">
        <v>7</v>
      </c>
      <c r="H42" s="10">
        <v>450</v>
      </c>
      <c r="I42" s="10">
        <v>5</v>
      </c>
      <c r="J42" s="10">
        <v>3</v>
      </c>
      <c r="K42" s="10">
        <v>4</v>
      </c>
      <c r="L42" s="10">
        <v>1</v>
      </c>
      <c r="M42" s="10">
        <v>4</v>
      </c>
      <c r="N42" s="10">
        <v>3</v>
      </c>
      <c r="O42" s="10">
        <v>1</v>
      </c>
      <c r="P42" s="10">
        <v>0</v>
      </c>
      <c r="Q42" s="10">
        <v>1</v>
      </c>
      <c r="R42" s="10">
        <v>0</v>
      </c>
      <c r="S42" s="11">
        <v>1</v>
      </c>
    </row>
    <row r="43" spans="1:19" x14ac:dyDescent="0.3">
      <c r="A43" s="9" t="s">
        <v>122</v>
      </c>
      <c r="B43" s="10">
        <v>1</v>
      </c>
      <c r="C43" s="10">
        <v>0</v>
      </c>
      <c r="D43" s="10">
        <v>2</v>
      </c>
      <c r="E43" s="10">
        <v>1</v>
      </c>
      <c r="F43" s="10">
        <v>0</v>
      </c>
      <c r="G43" s="10">
        <v>7</v>
      </c>
      <c r="H43" s="10">
        <v>450</v>
      </c>
      <c r="I43" s="10">
        <v>2</v>
      </c>
      <c r="J43" s="10">
        <v>4</v>
      </c>
      <c r="K43" s="10">
        <v>2</v>
      </c>
      <c r="L43" s="10">
        <v>1</v>
      </c>
      <c r="M43" s="10">
        <v>4</v>
      </c>
      <c r="N43" s="10">
        <v>3</v>
      </c>
      <c r="O43" s="10">
        <v>1</v>
      </c>
      <c r="P43" s="10">
        <v>0</v>
      </c>
      <c r="Q43" s="10">
        <v>1</v>
      </c>
      <c r="R43" s="10">
        <v>1</v>
      </c>
      <c r="S43" s="11">
        <v>1</v>
      </c>
    </row>
    <row r="44" spans="1:19" x14ac:dyDescent="0.3">
      <c r="A44" s="9" t="s">
        <v>121</v>
      </c>
      <c r="B44" s="10">
        <v>1</v>
      </c>
      <c r="C44" s="10">
        <v>0</v>
      </c>
      <c r="D44" s="10">
        <v>5</v>
      </c>
      <c r="E44" s="10">
        <v>6</v>
      </c>
      <c r="F44" s="10">
        <v>0</v>
      </c>
      <c r="G44" s="10">
        <v>1</v>
      </c>
      <c r="H44" s="10">
        <v>1000</v>
      </c>
      <c r="I44" s="10">
        <v>2</v>
      </c>
      <c r="J44" s="10">
        <v>2</v>
      </c>
      <c r="K44" s="10">
        <v>4</v>
      </c>
      <c r="L44" s="10">
        <v>1</v>
      </c>
      <c r="M44" s="10">
        <v>3</v>
      </c>
      <c r="N44" s="10">
        <v>3</v>
      </c>
      <c r="O44" s="10">
        <v>1</v>
      </c>
      <c r="P44" s="10">
        <v>0</v>
      </c>
      <c r="Q44" s="10">
        <v>1</v>
      </c>
      <c r="R44" s="10">
        <v>0</v>
      </c>
      <c r="S44" s="11">
        <v>1</v>
      </c>
    </row>
    <row r="45" spans="1:19" x14ac:dyDescent="0.3">
      <c r="A45" s="9" t="s">
        <v>120</v>
      </c>
      <c r="B45" s="10">
        <v>1</v>
      </c>
      <c r="C45" s="10">
        <v>0</v>
      </c>
      <c r="D45" s="10">
        <v>5</v>
      </c>
      <c r="E45" s="10">
        <v>6</v>
      </c>
      <c r="F45" s="10">
        <v>0</v>
      </c>
      <c r="G45" s="10">
        <v>7</v>
      </c>
      <c r="H45" s="10">
        <v>500</v>
      </c>
      <c r="I45" s="10">
        <v>6</v>
      </c>
      <c r="J45" s="10">
        <v>4</v>
      </c>
      <c r="K45" s="10">
        <v>4</v>
      </c>
      <c r="L45" s="10">
        <v>2</v>
      </c>
      <c r="M45" s="10">
        <v>4</v>
      </c>
      <c r="N45" s="10">
        <v>3</v>
      </c>
      <c r="O45" s="10">
        <v>0</v>
      </c>
      <c r="P45" s="10">
        <v>0</v>
      </c>
      <c r="Q45" s="10">
        <v>1</v>
      </c>
      <c r="R45" s="10">
        <v>0</v>
      </c>
      <c r="S45" s="11">
        <v>1</v>
      </c>
    </row>
    <row r="46" spans="1:19" x14ac:dyDescent="0.3">
      <c r="A46" s="9" t="s">
        <v>119</v>
      </c>
      <c r="B46" s="10">
        <v>1</v>
      </c>
      <c r="C46" s="10">
        <v>0</v>
      </c>
      <c r="D46" s="10">
        <v>4</v>
      </c>
      <c r="E46" s="10">
        <v>1</v>
      </c>
      <c r="F46" s="10">
        <v>0</v>
      </c>
      <c r="G46" s="10">
        <v>1</v>
      </c>
      <c r="H46" s="10">
        <v>450</v>
      </c>
      <c r="I46" s="10">
        <v>5</v>
      </c>
      <c r="J46" s="10">
        <v>6</v>
      </c>
      <c r="K46" s="10">
        <v>4</v>
      </c>
      <c r="L46" s="10">
        <v>1</v>
      </c>
      <c r="M46" s="10">
        <v>4</v>
      </c>
      <c r="N46" s="10">
        <v>3</v>
      </c>
      <c r="O46" s="10">
        <v>1</v>
      </c>
      <c r="P46" s="10">
        <v>0</v>
      </c>
      <c r="Q46" s="10">
        <v>1</v>
      </c>
      <c r="R46" s="10">
        <v>0</v>
      </c>
      <c r="S46" s="11">
        <v>1</v>
      </c>
    </row>
    <row r="47" spans="1:19" x14ac:dyDescent="0.3">
      <c r="A47" s="9" t="s">
        <v>118</v>
      </c>
      <c r="B47" s="10">
        <v>1</v>
      </c>
      <c r="C47" s="10">
        <v>0</v>
      </c>
      <c r="D47" s="10">
        <v>2</v>
      </c>
      <c r="E47" s="10">
        <v>1</v>
      </c>
      <c r="F47" s="10">
        <v>0</v>
      </c>
      <c r="G47" s="10">
        <v>7</v>
      </c>
      <c r="H47" s="10">
        <v>450</v>
      </c>
      <c r="I47" s="10">
        <v>5</v>
      </c>
      <c r="J47" s="10">
        <v>2</v>
      </c>
      <c r="K47" s="10">
        <v>3</v>
      </c>
      <c r="L47" s="10">
        <v>1</v>
      </c>
      <c r="M47" s="10">
        <v>5</v>
      </c>
      <c r="N47" s="10">
        <v>3</v>
      </c>
      <c r="O47" s="10">
        <v>1</v>
      </c>
      <c r="P47" s="10">
        <v>0</v>
      </c>
      <c r="Q47" s="10">
        <v>0</v>
      </c>
      <c r="R47" s="10">
        <v>1</v>
      </c>
      <c r="S47" s="11">
        <v>1</v>
      </c>
    </row>
    <row r="48" spans="1:19" x14ac:dyDescent="0.3">
      <c r="A48" s="9" t="s">
        <v>117</v>
      </c>
      <c r="B48" s="10">
        <v>1</v>
      </c>
      <c r="C48" s="10">
        <v>0</v>
      </c>
      <c r="D48" s="10">
        <v>1</v>
      </c>
      <c r="E48" s="10">
        <v>1</v>
      </c>
      <c r="F48" s="10">
        <v>0</v>
      </c>
      <c r="G48" s="10">
        <v>7</v>
      </c>
      <c r="H48" s="10">
        <v>450</v>
      </c>
      <c r="I48" s="10">
        <v>7</v>
      </c>
      <c r="J48" s="10">
        <v>7</v>
      </c>
      <c r="K48" s="10">
        <v>4</v>
      </c>
      <c r="L48" s="10">
        <v>1</v>
      </c>
      <c r="M48" s="10">
        <v>4</v>
      </c>
      <c r="N48" s="10">
        <v>3</v>
      </c>
      <c r="O48" s="10">
        <v>1</v>
      </c>
      <c r="P48" s="10">
        <v>0</v>
      </c>
      <c r="Q48" s="10">
        <v>1</v>
      </c>
      <c r="R48" s="10">
        <v>0</v>
      </c>
      <c r="S48" s="11">
        <v>3</v>
      </c>
    </row>
    <row r="49" spans="1:19" x14ac:dyDescent="0.3">
      <c r="A49" s="9" t="s">
        <v>116</v>
      </c>
      <c r="B49" s="10">
        <v>1</v>
      </c>
      <c r="C49" s="10">
        <v>0</v>
      </c>
      <c r="D49" s="10">
        <v>2</v>
      </c>
      <c r="E49" s="10">
        <v>1</v>
      </c>
      <c r="F49" s="10">
        <v>0</v>
      </c>
      <c r="G49" s="10">
        <v>7</v>
      </c>
      <c r="H49" s="10">
        <v>450</v>
      </c>
      <c r="I49" s="10">
        <v>2</v>
      </c>
      <c r="J49" s="10">
        <v>1</v>
      </c>
      <c r="K49" s="10">
        <v>3</v>
      </c>
      <c r="L49" s="10">
        <v>1</v>
      </c>
      <c r="M49" s="10">
        <v>4</v>
      </c>
      <c r="N49" s="10">
        <v>3</v>
      </c>
      <c r="O49" s="10">
        <v>1</v>
      </c>
      <c r="P49" s="10">
        <v>0</v>
      </c>
      <c r="Q49" s="10">
        <v>1</v>
      </c>
      <c r="R49" s="10">
        <v>1</v>
      </c>
      <c r="S49" s="11">
        <v>1</v>
      </c>
    </row>
    <row r="50" spans="1:19" x14ac:dyDescent="0.3">
      <c r="A50" s="9" t="s">
        <v>115</v>
      </c>
      <c r="B50" s="10">
        <v>1</v>
      </c>
      <c r="C50" s="10">
        <v>0</v>
      </c>
      <c r="D50" s="10">
        <v>4</v>
      </c>
      <c r="E50" s="10">
        <v>1</v>
      </c>
      <c r="F50" s="10">
        <v>0</v>
      </c>
      <c r="G50" s="10">
        <v>3</v>
      </c>
      <c r="H50" s="10">
        <v>450</v>
      </c>
      <c r="I50" s="10">
        <v>4</v>
      </c>
      <c r="J50" s="10">
        <v>6</v>
      </c>
      <c r="K50" s="10">
        <v>3</v>
      </c>
      <c r="L50" s="10">
        <v>1</v>
      </c>
      <c r="M50" s="10">
        <v>4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1">
        <v>1</v>
      </c>
    </row>
    <row r="51" spans="1:19" x14ac:dyDescent="0.3">
      <c r="A51" s="9" t="s">
        <v>114</v>
      </c>
      <c r="B51" s="10">
        <v>1</v>
      </c>
      <c r="C51" s="10">
        <v>0</v>
      </c>
      <c r="D51" s="10">
        <v>5</v>
      </c>
      <c r="E51" s="10">
        <v>1</v>
      </c>
      <c r="F51" s="10">
        <v>0</v>
      </c>
      <c r="G51" s="10">
        <v>7</v>
      </c>
      <c r="H51" s="10">
        <v>450</v>
      </c>
      <c r="I51" s="10">
        <v>2</v>
      </c>
      <c r="J51" s="10">
        <v>10</v>
      </c>
      <c r="K51" s="10">
        <v>2</v>
      </c>
      <c r="L51" s="10">
        <v>1</v>
      </c>
      <c r="M51" s="10">
        <v>4</v>
      </c>
      <c r="N51" s="10">
        <v>3</v>
      </c>
      <c r="O51" s="10">
        <v>0</v>
      </c>
      <c r="P51" s="10">
        <v>0</v>
      </c>
      <c r="Q51" s="10">
        <v>1</v>
      </c>
      <c r="R51" s="10">
        <v>1</v>
      </c>
      <c r="S51" s="11">
        <v>1</v>
      </c>
    </row>
    <row r="52" spans="1:19" x14ac:dyDescent="0.3">
      <c r="A52" s="9" t="s">
        <v>113</v>
      </c>
      <c r="B52" s="10">
        <v>1</v>
      </c>
      <c r="C52" s="10">
        <v>0</v>
      </c>
      <c r="D52" s="10">
        <v>1</v>
      </c>
      <c r="E52" s="10">
        <v>1</v>
      </c>
      <c r="F52" s="10">
        <v>0</v>
      </c>
      <c r="G52" s="10">
        <v>7</v>
      </c>
      <c r="H52" s="10">
        <v>1000</v>
      </c>
      <c r="I52" s="10">
        <v>2</v>
      </c>
      <c r="J52" s="10">
        <v>1</v>
      </c>
      <c r="K52" s="10">
        <v>4</v>
      </c>
      <c r="L52" s="10">
        <v>1</v>
      </c>
      <c r="M52" s="10">
        <v>4</v>
      </c>
      <c r="N52" s="10">
        <v>4</v>
      </c>
      <c r="O52" s="10">
        <v>1</v>
      </c>
      <c r="P52" s="10">
        <v>0</v>
      </c>
      <c r="Q52" s="10">
        <v>1</v>
      </c>
      <c r="R52" s="10">
        <v>1</v>
      </c>
      <c r="S52" s="11">
        <v>1</v>
      </c>
    </row>
    <row r="53" spans="1:19" x14ac:dyDescent="0.3">
      <c r="A53" s="9" t="s">
        <v>112</v>
      </c>
      <c r="B53" s="10">
        <v>0</v>
      </c>
      <c r="C53" s="10">
        <v>0</v>
      </c>
      <c r="D53" s="10">
        <v>2</v>
      </c>
      <c r="E53" s="10">
        <v>1</v>
      </c>
      <c r="F53" s="10">
        <v>0</v>
      </c>
      <c r="G53" s="10">
        <v>7</v>
      </c>
      <c r="H53" s="10">
        <v>500</v>
      </c>
      <c r="I53" s="10">
        <v>2</v>
      </c>
      <c r="J53" s="10">
        <v>5</v>
      </c>
      <c r="K53" s="10">
        <v>3</v>
      </c>
      <c r="L53" s="10">
        <v>1</v>
      </c>
      <c r="M53" s="10">
        <v>5</v>
      </c>
      <c r="N53" s="10">
        <v>3</v>
      </c>
      <c r="O53" s="10">
        <v>0</v>
      </c>
      <c r="P53" s="10">
        <v>0</v>
      </c>
      <c r="Q53" s="10">
        <v>0</v>
      </c>
      <c r="R53" s="10">
        <v>1</v>
      </c>
      <c r="S53" s="11">
        <v>1</v>
      </c>
    </row>
    <row r="54" spans="1:19" x14ac:dyDescent="0.3">
      <c r="A54" s="9" t="s">
        <v>111</v>
      </c>
      <c r="B54" s="10">
        <v>1</v>
      </c>
      <c r="C54" s="10">
        <v>0</v>
      </c>
      <c r="D54" s="10">
        <v>1</v>
      </c>
      <c r="E54" s="10">
        <v>6</v>
      </c>
      <c r="F54" s="10">
        <v>0</v>
      </c>
      <c r="G54" s="10">
        <v>7</v>
      </c>
      <c r="H54" s="10">
        <v>450</v>
      </c>
      <c r="I54" s="10">
        <v>2</v>
      </c>
      <c r="J54" s="10">
        <v>5</v>
      </c>
      <c r="K54" s="10">
        <v>3</v>
      </c>
      <c r="L54" s="10">
        <v>1</v>
      </c>
      <c r="M54" s="10">
        <v>4</v>
      </c>
      <c r="N54" s="10">
        <v>3</v>
      </c>
      <c r="O54" s="10">
        <v>0</v>
      </c>
      <c r="P54" s="10">
        <v>0</v>
      </c>
      <c r="Q54" s="10">
        <v>1</v>
      </c>
      <c r="R54" s="10">
        <v>0</v>
      </c>
      <c r="S54" s="11">
        <v>1</v>
      </c>
    </row>
    <row r="55" spans="1:19" x14ac:dyDescent="0.3">
      <c r="A55" s="9" t="s">
        <v>110</v>
      </c>
      <c r="B55" s="10">
        <v>1</v>
      </c>
      <c r="C55" s="10">
        <v>0</v>
      </c>
      <c r="D55" s="10">
        <v>0</v>
      </c>
      <c r="E55" s="10">
        <v>6</v>
      </c>
      <c r="F55" s="10">
        <v>0</v>
      </c>
      <c r="G55" s="10">
        <v>7</v>
      </c>
      <c r="H55" s="10">
        <v>1000</v>
      </c>
      <c r="I55" s="10">
        <v>2</v>
      </c>
      <c r="J55" s="10">
        <v>1</v>
      </c>
      <c r="K55" s="10">
        <v>4</v>
      </c>
      <c r="L55" s="10">
        <v>2</v>
      </c>
      <c r="M55" s="10">
        <v>4</v>
      </c>
      <c r="N55" s="10">
        <v>4</v>
      </c>
      <c r="O55" s="10">
        <v>0</v>
      </c>
      <c r="P55" s="10">
        <v>0</v>
      </c>
      <c r="Q55" s="10">
        <v>0</v>
      </c>
      <c r="R55" s="10">
        <v>0</v>
      </c>
      <c r="S55" s="11">
        <v>1</v>
      </c>
    </row>
    <row r="56" spans="1:19" x14ac:dyDescent="0.3">
      <c r="A56" s="9" t="s">
        <v>109</v>
      </c>
      <c r="B56" s="10">
        <v>1</v>
      </c>
      <c r="C56" s="10">
        <v>0</v>
      </c>
      <c r="D56" s="10">
        <v>2</v>
      </c>
      <c r="E56" s="10">
        <v>1</v>
      </c>
      <c r="F56" s="10">
        <v>0</v>
      </c>
      <c r="G56" s="10">
        <v>7</v>
      </c>
      <c r="H56" s="10">
        <v>500</v>
      </c>
      <c r="I56" s="10">
        <v>5</v>
      </c>
      <c r="J56" s="10">
        <v>3</v>
      </c>
      <c r="K56" s="10">
        <v>5</v>
      </c>
      <c r="L56" s="10">
        <v>1</v>
      </c>
      <c r="M56" s="10">
        <v>4</v>
      </c>
      <c r="N56" s="10">
        <v>2</v>
      </c>
      <c r="O56" s="10">
        <v>0</v>
      </c>
      <c r="P56" s="10">
        <v>0</v>
      </c>
      <c r="Q56" s="10">
        <v>1</v>
      </c>
      <c r="R56" s="10">
        <v>1</v>
      </c>
      <c r="S56" s="11">
        <v>1</v>
      </c>
    </row>
    <row r="57" spans="1:19" x14ac:dyDescent="0.3">
      <c r="A57" s="9" t="s">
        <v>108</v>
      </c>
      <c r="B57" s="10">
        <v>1</v>
      </c>
      <c r="C57" s="10">
        <v>0</v>
      </c>
      <c r="D57" s="10">
        <v>2</v>
      </c>
      <c r="E57" s="10">
        <v>1</v>
      </c>
      <c r="F57" s="10">
        <v>0</v>
      </c>
      <c r="G57" s="10">
        <v>7</v>
      </c>
      <c r="H57" s="10">
        <v>500</v>
      </c>
      <c r="I57" s="10">
        <v>8</v>
      </c>
      <c r="J57" s="10">
        <v>2</v>
      </c>
      <c r="K57" s="10">
        <v>3</v>
      </c>
      <c r="L57" s="10">
        <v>1</v>
      </c>
      <c r="M57" s="10">
        <v>4</v>
      </c>
      <c r="N57" s="10">
        <v>3</v>
      </c>
      <c r="O57" s="10">
        <v>0</v>
      </c>
      <c r="P57" s="10">
        <v>0</v>
      </c>
      <c r="Q57" s="10">
        <v>0</v>
      </c>
      <c r="R57" s="10">
        <v>1</v>
      </c>
      <c r="S57" s="11">
        <v>1</v>
      </c>
    </row>
    <row r="58" spans="1:19" x14ac:dyDescent="0.3">
      <c r="A58" s="9" t="s">
        <v>107</v>
      </c>
      <c r="B58" s="10">
        <v>1</v>
      </c>
      <c r="C58" s="10">
        <v>0</v>
      </c>
      <c r="D58" s="10">
        <v>2</v>
      </c>
      <c r="E58" s="10">
        <v>1</v>
      </c>
      <c r="F58" s="10">
        <v>0</v>
      </c>
      <c r="G58" s="10">
        <v>7</v>
      </c>
      <c r="H58" s="10">
        <v>2000</v>
      </c>
      <c r="I58" s="10">
        <v>2</v>
      </c>
      <c r="J58" s="10">
        <v>2</v>
      </c>
      <c r="K58" s="10">
        <v>3</v>
      </c>
      <c r="L58" s="10">
        <v>1</v>
      </c>
      <c r="M58" s="10">
        <v>5</v>
      </c>
      <c r="N58" s="10">
        <v>3</v>
      </c>
      <c r="O58" s="10">
        <v>0</v>
      </c>
      <c r="P58" s="10">
        <v>0</v>
      </c>
      <c r="Q58" s="10">
        <v>1</v>
      </c>
      <c r="R58" s="10">
        <v>1</v>
      </c>
      <c r="S58" s="11">
        <v>1</v>
      </c>
    </row>
    <row r="59" spans="1:19" x14ac:dyDescent="0.3">
      <c r="A59" s="9" t="s">
        <v>106</v>
      </c>
      <c r="B59" s="10">
        <v>0</v>
      </c>
      <c r="C59" s="10">
        <v>0</v>
      </c>
      <c r="D59" s="10">
        <v>2</v>
      </c>
      <c r="E59" s="10">
        <v>1</v>
      </c>
      <c r="F59" s="10">
        <v>0</v>
      </c>
      <c r="G59" s="10">
        <v>7</v>
      </c>
      <c r="H59" s="10">
        <v>450</v>
      </c>
      <c r="I59" s="10">
        <v>2</v>
      </c>
      <c r="J59" s="10">
        <v>1</v>
      </c>
      <c r="K59" s="10">
        <v>3</v>
      </c>
      <c r="L59" s="10">
        <v>1</v>
      </c>
      <c r="M59" s="10">
        <v>4</v>
      </c>
      <c r="N59" s="10">
        <v>3</v>
      </c>
      <c r="O59" s="10">
        <v>0</v>
      </c>
      <c r="P59" s="10">
        <v>0</v>
      </c>
      <c r="Q59" s="10">
        <v>0</v>
      </c>
      <c r="R59" s="10">
        <v>1</v>
      </c>
      <c r="S59" s="11">
        <v>1</v>
      </c>
    </row>
    <row r="60" spans="1:19" x14ac:dyDescent="0.3">
      <c r="A60" s="9" t="s">
        <v>105</v>
      </c>
      <c r="B60" s="10">
        <v>1</v>
      </c>
      <c r="C60" s="10">
        <v>0</v>
      </c>
      <c r="D60" s="10">
        <v>2</v>
      </c>
      <c r="E60" s="10">
        <v>1</v>
      </c>
      <c r="F60" s="10">
        <v>0</v>
      </c>
      <c r="G60" s="10">
        <v>7</v>
      </c>
      <c r="H60" s="10">
        <v>450</v>
      </c>
      <c r="I60" s="10">
        <v>6</v>
      </c>
      <c r="J60" s="10">
        <v>5</v>
      </c>
      <c r="K60" s="10">
        <v>4</v>
      </c>
      <c r="L60" s="10">
        <v>1</v>
      </c>
      <c r="M60" s="10">
        <v>3</v>
      </c>
      <c r="N60" s="10">
        <v>1</v>
      </c>
      <c r="O60" s="10">
        <v>0</v>
      </c>
      <c r="P60" s="10">
        <v>0</v>
      </c>
      <c r="Q60" s="10">
        <v>1</v>
      </c>
      <c r="R60" s="10">
        <v>1</v>
      </c>
      <c r="S60" s="11">
        <v>1</v>
      </c>
    </row>
    <row r="61" spans="1:19" x14ac:dyDescent="0.3">
      <c r="A61" s="9" t="s">
        <v>104</v>
      </c>
      <c r="B61" s="10">
        <v>0</v>
      </c>
      <c r="C61" s="10">
        <v>0</v>
      </c>
      <c r="D61" s="10">
        <v>2</v>
      </c>
      <c r="E61" s="10">
        <v>1</v>
      </c>
      <c r="F61" s="10">
        <v>1</v>
      </c>
      <c r="G61" s="10">
        <v>7</v>
      </c>
      <c r="H61" s="10">
        <v>500</v>
      </c>
      <c r="I61" s="10">
        <v>2</v>
      </c>
      <c r="J61" s="10">
        <v>3</v>
      </c>
      <c r="K61" s="10">
        <v>5</v>
      </c>
      <c r="L61" s="10">
        <v>1</v>
      </c>
      <c r="M61" s="10">
        <v>4</v>
      </c>
      <c r="N61" s="10">
        <v>3</v>
      </c>
      <c r="O61" s="10">
        <v>0</v>
      </c>
      <c r="P61" s="10">
        <v>0</v>
      </c>
      <c r="Q61" s="10">
        <v>0</v>
      </c>
      <c r="R61" s="10">
        <v>1</v>
      </c>
      <c r="S61" s="11">
        <v>1</v>
      </c>
    </row>
    <row r="62" spans="1:19" x14ac:dyDescent="0.3">
      <c r="A62" s="9" t="s">
        <v>103</v>
      </c>
      <c r="B62" s="10">
        <v>0</v>
      </c>
      <c r="C62" s="10">
        <v>0</v>
      </c>
      <c r="D62" s="10">
        <v>5</v>
      </c>
      <c r="E62" s="10">
        <v>6</v>
      </c>
      <c r="F62" s="10">
        <v>0</v>
      </c>
      <c r="G62" s="10">
        <v>7</v>
      </c>
      <c r="H62" s="10">
        <v>500</v>
      </c>
      <c r="I62" s="10">
        <v>2</v>
      </c>
      <c r="J62" s="10">
        <v>2</v>
      </c>
      <c r="K62" s="10">
        <v>4</v>
      </c>
      <c r="L62" s="10">
        <v>1</v>
      </c>
      <c r="M62" s="10">
        <v>3</v>
      </c>
      <c r="N62" s="10">
        <v>4</v>
      </c>
      <c r="O62" s="10">
        <v>1</v>
      </c>
      <c r="P62" s="10">
        <v>0</v>
      </c>
      <c r="Q62" s="10">
        <v>1</v>
      </c>
      <c r="R62" s="10">
        <v>0</v>
      </c>
      <c r="S62" s="11">
        <v>1</v>
      </c>
    </row>
    <row r="63" spans="1:19" x14ac:dyDescent="0.3">
      <c r="A63" s="9" t="s">
        <v>102</v>
      </c>
      <c r="B63" s="10">
        <v>1</v>
      </c>
      <c r="C63" s="10">
        <v>0</v>
      </c>
      <c r="D63" s="10">
        <v>5</v>
      </c>
      <c r="E63" s="10">
        <v>6</v>
      </c>
      <c r="F63" s="10">
        <v>0</v>
      </c>
      <c r="G63" s="10">
        <v>7</v>
      </c>
      <c r="H63" s="10">
        <v>2000</v>
      </c>
      <c r="I63" s="10">
        <v>2</v>
      </c>
      <c r="J63" s="10">
        <v>2</v>
      </c>
      <c r="K63" s="10">
        <v>4</v>
      </c>
      <c r="L63" s="10">
        <v>2</v>
      </c>
      <c r="M63" s="10">
        <v>3</v>
      </c>
      <c r="N63" s="10">
        <v>4</v>
      </c>
      <c r="O63" s="10">
        <v>0</v>
      </c>
      <c r="P63" s="10">
        <v>0</v>
      </c>
      <c r="Q63" s="10">
        <v>0</v>
      </c>
      <c r="R63" s="10">
        <v>0</v>
      </c>
      <c r="S63" s="11">
        <v>1</v>
      </c>
    </row>
    <row r="64" spans="1:19" x14ac:dyDescent="0.3">
      <c r="A64" s="9" t="s">
        <v>101</v>
      </c>
      <c r="B64" s="10">
        <v>1</v>
      </c>
      <c r="C64" s="10">
        <v>0</v>
      </c>
      <c r="D64" s="10">
        <v>1</v>
      </c>
      <c r="E64" s="10">
        <v>0</v>
      </c>
      <c r="F64" s="10">
        <v>0</v>
      </c>
      <c r="G64" s="10">
        <v>7</v>
      </c>
      <c r="H64" s="10">
        <v>500</v>
      </c>
      <c r="I64" s="10">
        <v>2</v>
      </c>
      <c r="J64" s="10">
        <v>4</v>
      </c>
      <c r="K64" s="10">
        <v>3</v>
      </c>
      <c r="L64" s="10">
        <v>1</v>
      </c>
      <c r="M64" s="10">
        <v>5</v>
      </c>
      <c r="N64" s="10">
        <v>3</v>
      </c>
      <c r="O64" s="10">
        <v>0</v>
      </c>
      <c r="P64" s="10">
        <v>0</v>
      </c>
      <c r="Q64" s="10">
        <v>1</v>
      </c>
      <c r="R64" s="10">
        <v>1</v>
      </c>
      <c r="S64" s="11">
        <v>1</v>
      </c>
    </row>
    <row r="65" spans="1:19" x14ac:dyDescent="0.3">
      <c r="A65" s="9" t="s">
        <v>98</v>
      </c>
      <c r="B65" s="10">
        <v>0</v>
      </c>
      <c r="C65" s="10">
        <v>0</v>
      </c>
      <c r="D65" s="10">
        <v>5</v>
      </c>
      <c r="E65" s="10">
        <v>6</v>
      </c>
      <c r="F65" s="10">
        <v>0</v>
      </c>
      <c r="G65" s="10">
        <v>7</v>
      </c>
      <c r="H65" s="10">
        <v>500</v>
      </c>
      <c r="I65" s="10">
        <v>7</v>
      </c>
      <c r="J65" s="10">
        <v>1</v>
      </c>
      <c r="K65" s="10">
        <v>4</v>
      </c>
      <c r="L65" s="10">
        <v>1</v>
      </c>
      <c r="M65" s="10">
        <v>4</v>
      </c>
      <c r="N65" s="10">
        <v>3</v>
      </c>
      <c r="O65" s="10">
        <v>0</v>
      </c>
      <c r="P65" s="10">
        <v>0</v>
      </c>
      <c r="Q65" s="10">
        <v>0</v>
      </c>
      <c r="R65" s="10">
        <v>1</v>
      </c>
      <c r="S65" s="11">
        <v>1</v>
      </c>
    </row>
    <row r="66" spans="1:19" x14ac:dyDescent="0.3">
      <c r="A66" s="9" t="s">
        <v>97</v>
      </c>
      <c r="B66" s="10">
        <v>0</v>
      </c>
      <c r="C66" s="10">
        <v>1</v>
      </c>
      <c r="D66" s="10">
        <v>4</v>
      </c>
      <c r="E66" s="10">
        <v>5</v>
      </c>
      <c r="F66" s="10">
        <v>0</v>
      </c>
      <c r="G66" s="10">
        <v>5</v>
      </c>
      <c r="H66" s="10">
        <v>1000</v>
      </c>
      <c r="I66" s="10">
        <v>5</v>
      </c>
      <c r="J66" s="10">
        <v>4</v>
      </c>
      <c r="K66" s="10">
        <v>4</v>
      </c>
      <c r="L66" s="10">
        <v>1</v>
      </c>
      <c r="M66" s="10">
        <v>4</v>
      </c>
      <c r="N66" s="10">
        <v>2</v>
      </c>
      <c r="O66" s="10">
        <v>0</v>
      </c>
      <c r="P66" s="10">
        <v>0</v>
      </c>
      <c r="Q66" s="10">
        <v>1</v>
      </c>
      <c r="R66" s="10">
        <v>1</v>
      </c>
      <c r="S66" s="11">
        <v>1</v>
      </c>
    </row>
    <row r="67" spans="1:19" x14ac:dyDescent="0.3">
      <c r="A67" s="9" t="s">
        <v>96</v>
      </c>
      <c r="B67" s="10">
        <v>0</v>
      </c>
      <c r="C67" s="10">
        <v>1</v>
      </c>
      <c r="D67" s="10">
        <v>4</v>
      </c>
      <c r="E67" s="10">
        <v>5</v>
      </c>
      <c r="F67" s="10">
        <v>0</v>
      </c>
      <c r="G67" s="10">
        <v>5</v>
      </c>
      <c r="H67" s="10">
        <v>500</v>
      </c>
      <c r="I67" s="10">
        <v>5</v>
      </c>
      <c r="J67" s="10">
        <v>3</v>
      </c>
      <c r="K67" s="10">
        <v>4</v>
      </c>
      <c r="L67" s="10">
        <v>1</v>
      </c>
      <c r="M67" s="10">
        <v>4</v>
      </c>
      <c r="N67" s="10">
        <v>2</v>
      </c>
      <c r="O67" s="10">
        <v>0</v>
      </c>
      <c r="P67" s="10">
        <v>0</v>
      </c>
      <c r="Q67" s="10">
        <v>1</v>
      </c>
      <c r="R67" s="10">
        <v>0</v>
      </c>
      <c r="S67" s="11">
        <v>1</v>
      </c>
    </row>
    <row r="68" spans="1:19" x14ac:dyDescent="0.3">
      <c r="A68" s="9" t="s">
        <v>95</v>
      </c>
      <c r="B68" s="10">
        <v>0</v>
      </c>
      <c r="C68" s="10">
        <v>0</v>
      </c>
      <c r="D68" s="10">
        <v>1</v>
      </c>
      <c r="E68" s="10">
        <v>1</v>
      </c>
      <c r="F68" s="10">
        <v>0</v>
      </c>
      <c r="G68" s="10">
        <v>7</v>
      </c>
      <c r="H68" s="10">
        <v>1000</v>
      </c>
      <c r="I68" s="10">
        <v>8</v>
      </c>
      <c r="J68" s="10">
        <v>3</v>
      </c>
      <c r="K68" s="10">
        <v>3</v>
      </c>
      <c r="L68" s="10">
        <v>2</v>
      </c>
      <c r="M68" s="10">
        <v>4</v>
      </c>
      <c r="N68" s="10">
        <v>3</v>
      </c>
      <c r="O68" s="10">
        <v>0</v>
      </c>
      <c r="P68" s="10">
        <v>0</v>
      </c>
      <c r="Q68" s="10">
        <v>0</v>
      </c>
      <c r="R68" s="10">
        <v>0</v>
      </c>
      <c r="S68" s="11">
        <v>1</v>
      </c>
    </row>
    <row r="69" spans="1:19" x14ac:dyDescent="0.3">
      <c r="A69" s="9" t="s">
        <v>94</v>
      </c>
      <c r="B69" s="10">
        <v>0</v>
      </c>
      <c r="C69" s="10">
        <v>1</v>
      </c>
      <c r="D69" s="10">
        <v>5</v>
      </c>
      <c r="E69" s="10">
        <v>6</v>
      </c>
      <c r="F69" s="10">
        <v>0</v>
      </c>
      <c r="G69" s="10">
        <v>7</v>
      </c>
      <c r="H69" s="10">
        <v>1500</v>
      </c>
      <c r="I69" s="10">
        <v>2</v>
      </c>
      <c r="J69" s="10">
        <v>2</v>
      </c>
      <c r="K69" s="10">
        <v>4</v>
      </c>
      <c r="L69" s="10">
        <v>1</v>
      </c>
      <c r="M69" s="10">
        <v>4</v>
      </c>
      <c r="N69" s="10">
        <v>4</v>
      </c>
      <c r="O69" s="10">
        <v>0</v>
      </c>
      <c r="P69" s="10">
        <v>0</v>
      </c>
      <c r="Q69" s="10">
        <v>0</v>
      </c>
      <c r="R69" s="10">
        <v>1</v>
      </c>
      <c r="S69" s="11">
        <v>1</v>
      </c>
    </row>
    <row r="70" spans="1:19" x14ac:dyDescent="0.3">
      <c r="A70" s="9" t="s">
        <v>93</v>
      </c>
      <c r="B70" s="10">
        <v>0</v>
      </c>
      <c r="C70" s="10">
        <v>1</v>
      </c>
      <c r="D70" s="10">
        <v>2</v>
      </c>
      <c r="E70" s="10">
        <v>3</v>
      </c>
      <c r="F70" s="10">
        <v>0</v>
      </c>
      <c r="G70" s="10">
        <v>4</v>
      </c>
      <c r="H70" s="10">
        <v>500</v>
      </c>
      <c r="I70" s="10">
        <v>2</v>
      </c>
      <c r="J70" s="10">
        <v>3</v>
      </c>
      <c r="K70" s="10">
        <v>4</v>
      </c>
      <c r="L70" s="10">
        <v>1</v>
      </c>
      <c r="M70" s="10">
        <v>4</v>
      </c>
      <c r="N70" s="10">
        <v>2</v>
      </c>
      <c r="O70" s="10">
        <v>0</v>
      </c>
      <c r="P70" s="10">
        <v>0</v>
      </c>
      <c r="Q70" s="10">
        <v>0</v>
      </c>
      <c r="R70" s="10">
        <v>0</v>
      </c>
      <c r="S70" s="11">
        <v>1</v>
      </c>
    </row>
    <row r="71" spans="1:19" x14ac:dyDescent="0.3">
      <c r="A71" s="9" t="s">
        <v>92</v>
      </c>
      <c r="B71" s="10">
        <v>0</v>
      </c>
      <c r="C71" s="10">
        <v>1</v>
      </c>
      <c r="D71" s="10">
        <v>2</v>
      </c>
      <c r="E71" s="10">
        <v>6</v>
      </c>
      <c r="F71" s="10">
        <v>0</v>
      </c>
      <c r="G71" s="10">
        <v>4</v>
      </c>
      <c r="H71" s="10">
        <v>1000</v>
      </c>
      <c r="I71" s="10">
        <v>2</v>
      </c>
      <c r="J71" s="10">
        <v>3</v>
      </c>
      <c r="K71" s="10">
        <v>4</v>
      </c>
      <c r="L71" s="10">
        <v>1</v>
      </c>
      <c r="M71" s="10">
        <v>4</v>
      </c>
      <c r="N71" s="10">
        <v>2</v>
      </c>
      <c r="O71" s="10">
        <v>0</v>
      </c>
      <c r="P71" s="10">
        <v>0</v>
      </c>
      <c r="Q71" s="10">
        <v>0</v>
      </c>
      <c r="R71" s="10">
        <v>1</v>
      </c>
      <c r="S71" s="11">
        <v>1</v>
      </c>
    </row>
    <row r="72" spans="1:19" x14ac:dyDescent="0.3">
      <c r="A72" s="9" t="s">
        <v>91</v>
      </c>
      <c r="B72" s="10">
        <v>0</v>
      </c>
      <c r="C72" s="10">
        <v>1</v>
      </c>
      <c r="D72" s="10">
        <v>4</v>
      </c>
      <c r="E72" s="10">
        <v>5</v>
      </c>
      <c r="F72" s="10">
        <v>0</v>
      </c>
      <c r="G72" s="10">
        <v>5</v>
      </c>
      <c r="H72" s="10">
        <v>1000</v>
      </c>
      <c r="I72" s="10">
        <v>5</v>
      </c>
      <c r="J72" s="10">
        <v>2</v>
      </c>
      <c r="K72" s="10">
        <v>4</v>
      </c>
      <c r="L72" s="10">
        <v>1</v>
      </c>
      <c r="M72" s="10">
        <v>4</v>
      </c>
      <c r="N72" s="10">
        <v>2</v>
      </c>
      <c r="O72" s="10">
        <v>0</v>
      </c>
      <c r="P72" s="10">
        <v>0</v>
      </c>
      <c r="Q72" s="10">
        <v>0</v>
      </c>
      <c r="R72" s="10">
        <v>1</v>
      </c>
      <c r="S72" s="11">
        <v>1</v>
      </c>
    </row>
    <row r="73" spans="1:19" x14ac:dyDescent="0.3">
      <c r="A73" s="9" t="s">
        <v>90</v>
      </c>
      <c r="B73" s="10">
        <v>0</v>
      </c>
      <c r="C73" s="10">
        <v>0</v>
      </c>
      <c r="D73" s="10">
        <v>1</v>
      </c>
      <c r="E73" s="10">
        <v>1</v>
      </c>
      <c r="F73" s="10">
        <v>1</v>
      </c>
      <c r="G73" s="10">
        <v>2</v>
      </c>
      <c r="H73" s="10">
        <v>1000</v>
      </c>
      <c r="I73" s="10">
        <v>1</v>
      </c>
      <c r="J73" s="10">
        <v>1</v>
      </c>
      <c r="K73" s="10">
        <v>4</v>
      </c>
      <c r="L73" s="10">
        <v>1</v>
      </c>
      <c r="M73" s="10">
        <v>4</v>
      </c>
      <c r="N73" s="10">
        <v>4</v>
      </c>
      <c r="O73" s="10">
        <v>0</v>
      </c>
      <c r="P73" s="10">
        <v>0</v>
      </c>
      <c r="Q73" s="10">
        <v>0</v>
      </c>
      <c r="R73" s="10">
        <v>1</v>
      </c>
      <c r="S73" s="11">
        <v>1</v>
      </c>
    </row>
    <row r="74" spans="1:19" x14ac:dyDescent="0.3">
      <c r="A74" s="9" t="s">
        <v>89</v>
      </c>
      <c r="B74" s="10">
        <v>0</v>
      </c>
      <c r="C74" s="10">
        <v>0</v>
      </c>
      <c r="D74" s="10">
        <v>5</v>
      </c>
      <c r="E74" s="10">
        <v>6</v>
      </c>
      <c r="F74" s="10">
        <v>0</v>
      </c>
      <c r="G74" s="10">
        <v>7</v>
      </c>
      <c r="H74" s="10">
        <v>1000</v>
      </c>
      <c r="I74" s="10">
        <v>5</v>
      </c>
      <c r="J74" s="10">
        <v>4</v>
      </c>
      <c r="K74" s="10">
        <v>4</v>
      </c>
      <c r="L74" s="10">
        <v>1</v>
      </c>
      <c r="M74" s="10">
        <v>4</v>
      </c>
      <c r="N74" s="10">
        <v>2</v>
      </c>
      <c r="O74" s="10">
        <v>0</v>
      </c>
      <c r="P74" s="10">
        <v>0</v>
      </c>
      <c r="Q74" s="10">
        <v>0</v>
      </c>
      <c r="R74" s="10">
        <v>1</v>
      </c>
      <c r="S74" s="11">
        <v>1</v>
      </c>
    </row>
    <row r="75" spans="1:19" x14ac:dyDescent="0.3">
      <c r="A75" s="9" t="s">
        <v>88</v>
      </c>
      <c r="B75" s="10">
        <v>0</v>
      </c>
      <c r="C75" s="10">
        <v>1</v>
      </c>
      <c r="D75" s="10">
        <v>3</v>
      </c>
      <c r="E75" s="10">
        <v>4</v>
      </c>
      <c r="F75" s="10">
        <v>0</v>
      </c>
      <c r="G75" s="10">
        <v>7</v>
      </c>
      <c r="H75" s="10">
        <v>1000</v>
      </c>
      <c r="I75" s="10">
        <v>8</v>
      </c>
      <c r="J75" s="10">
        <v>2</v>
      </c>
      <c r="K75" s="10">
        <v>4</v>
      </c>
      <c r="L75" s="10">
        <v>1</v>
      </c>
      <c r="M75" s="10">
        <v>4</v>
      </c>
      <c r="N75" s="10">
        <v>2</v>
      </c>
      <c r="O75" s="10">
        <v>1</v>
      </c>
      <c r="P75" s="10">
        <v>0</v>
      </c>
      <c r="Q75" s="10">
        <v>0</v>
      </c>
      <c r="R75" s="10">
        <v>1</v>
      </c>
      <c r="S75" s="11">
        <v>1</v>
      </c>
    </row>
    <row r="76" spans="1:19" x14ac:dyDescent="0.3">
      <c r="A76" s="9" t="s">
        <v>85</v>
      </c>
      <c r="B76" s="10">
        <v>0</v>
      </c>
      <c r="C76" s="10">
        <v>1</v>
      </c>
      <c r="D76" s="10">
        <v>1</v>
      </c>
      <c r="E76" s="10">
        <v>1</v>
      </c>
      <c r="F76" s="10">
        <v>0</v>
      </c>
      <c r="G76" s="10">
        <v>7</v>
      </c>
      <c r="H76" s="10">
        <v>2000</v>
      </c>
      <c r="I76" s="10">
        <v>6</v>
      </c>
      <c r="J76" s="10">
        <v>3</v>
      </c>
      <c r="K76" s="10">
        <v>3</v>
      </c>
      <c r="L76" s="10">
        <v>1</v>
      </c>
      <c r="M76" s="10">
        <v>4</v>
      </c>
      <c r="N76" s="10">
        <v>4</v>
      </c>
      <c r="O76" s="10">
        <v>1</v>
      </c>
      <c r="P76" s="10">
        <v>0</v>
      </c>
      <c r="Q76" s="10">
        <v>1</v>
      </c>
      <c r="R76" s="10">
        <v>1</v>
      </c>
      <c r="S76" s="11">
        <v>1</v>
      </c>
    </row>
    <row r="77" spans="1:19" x14ac:dyDescent="0.3">
      <c r="A77" s="9" t="s">
        <v>84</v>
      </c>
      <c r="B77" s="10">
        <v>1</v>
      </c>
      <c r="C77" s="10">
        <v>0</v>
      </c>
      <c r="D77" s="10">
        <v>5</v>
      </c>
      <c r="E77" s="10">
        <v>6</v>
      </c>
      <c r="F77" s="10">
        <v>0</v>
      </c>
      <c r="G77" s="10">
        <v>7</v>
      </c>
      <c r="H77" s="10">
        <v>1500</v>
      </c>
      <c r="I77" s="10">
        <v>5</v>
      </c>
      <c r="J77" s="10">
        <v>5</v>
      </c>
      <c r="K77" s="10">
        <v>4</v>
      </c>
      <c r="L77" s="10">
        <v>1</v>
      </c>
      <c r="M77" s="10">
        <v>4</v>
      </c>
      <c r="N77" s="10">
        <v>3</v>
      </c>
      <c r="O77" s="10">
        <v>1</v>
      </c>
      <c r="P77" s="10">
        <v>0</v>
      </c>
      <c r="Q77" s="10">
        <v>0</v>
      </c>
      <c r="R77" s="10">
        <v>1</v>
      </c>
      <c r="S77" s="11">
        <v>1</v>
      </c>
    </row>
    <row r="78" spans="1:19" x14ac:dyDescent="0.3">
      <c r="A78" s="9" t="s">
        <v>83</v>
      </c>
      <c r="B78" s="10">
        <v>1</v>
      </c>
      <c r="C78" s="10">
        <v>1</v>
      </c>
      <c r="D78" s="10">
        <v>2</v>
      </c>
      <c r="E78" s="10">
        <v>3</v>
      </c>
      <c r="F78" s="10">
        <v>0</v>
      </c>
      <c r="G78" s="10">
        <v>5</v>
      </c>
      <c r="H78" s="10">
        <v>500</v>
      </c>
      <c r="I78" s="10">
        <v>8</v>
      </c>
      <c r="J78" s="10">
        <v>3</v>
      </c>
      <c r="K78" s="10">
        <v>4</v>
      </c>
      <c r="L78" s="10">
        <v>2</v>
      </c>
      <c r="M78" s="10">
        <v>4</v>
      </c>
      <c r="N78" s="10">
        <v>2</v>
      </c>
      <c r="O78" s="10">
        <v>0</v>
      </c>
      <c r="P78" s="10">
        <v>0</v>
      </c>
      <c r="Q78" s="10">
        <v>1</v>
      </c>
      <c r="R78" s="10">
        <v>1</v>
      </c>
      <c r="S78" s="11">
        <v>1</v>
      </c>
    </row>
    <row r="79" spans="1:19" x14ac:dyDescent="0.3">
      <c r="A79" s="9" t="s">
        <v>82</v>
      </c>
      <c r="B79" s="10">
        <v>0</v>
      </c>
      <c r="C79" s="10">
        <v>0</v>
      </c>
      <c r="D79" s="10">
        <v>5</v>
      </c>
      <c r="E79" s="10">
        <v>6</v>
      </c>
      <c r="F79" s="10">
        <v>0</v>
      </c>
      <c r="G79" s="10">
        <v>7</v>
      </c>
      <c r="H79" s="10">
        <v>450</v>
      </c>
      <c r="I79" s="10">
        <v>2</v>
      </c>
      <c r="J79" s="10">
        <v>3</v>
      </c>
      <c r="K79" s="10">
        <v>4</v>
      </c>
      <c r="L79" s="10">
        <v>1</v>
      </c>
      <c r="M79" s="10">
        <v>4</v>
      </c>
      <c r="N79" s="10">
        <v>3</v>
      </c>
      <c r="O79" s="10">
        <v>0</v>
      </c>
      <c r="P79" s="10">
        <v>0</v>
      </c>
      <c r="Q79" s="10">
        <v>1</v>
      </c>
      <c r="R79" s="10">
        <v>1</v>
      </c>
      <c r="S79" s="11">
        <v>1</v>
      </c>
    </row>
    <row r="80" spans="1:19" x14ac:dyDescent="0.3">
      <c r="A80" s="9" t="s">
        <v>81</v>
      </c>
      <c r="B80" s="10">
        <v>1</v>
      </c>
      <c r="C80" s="10">
        <v>0</v>
      </c>
      <c r="D80" s="10">
        <v>2</v>
      </c>
      <c r="E80" s="10">
        <v>1</v>
      </c>
      <c r="F80" s="10">
        <v>0</v>
      </c>
      <c r="G80" s="10">
        <v>7</v>
      </c>
      <c r="H80" s="10">
        <v>500</v>
      </c>
      <c r="I80" s="10">
        <v>5</v>
      </c>
      <c r="J80" s="10">
        <v>4</v>
      </c>
      <c r="K80" s="10">
        <v>4</v>
      </c>
      <c r="L80" s="10">
        <v>1</v>
      </c>
      <c r="M80" s="10">
        <v>4</v>
      </c>
      <c r="N80" s="10">
        <v>1</v>
      </c>
      <c r="O80" s="10">
        <v>1</v>
      </c>
      <c r="P80" s="10">
        <v>0</v>
      </c>
      <c r="Q80" s="10">
        <v>0</v>
      </c>
      <c r="R80" s="10">
        <v>0</v>
      </c>
      <c r="S80" s="11">
        <v>1</v>
      </c>
    </row>
    <row r="81" spans="1:19" x14ac:dyDescent="0.3">
      <c r="A81" s="9" t="s">
        <v>80</v>
      </c>
      <c r="B81" s="10">
        <v>1</v>
      </c>
      <c r="C81" s="10">
        <v>1</v>
      </c>
      <c r="D81" s="10">
        <v>2</v>
      </c>
      <c r="E81" s="10">
        <v>3</v>
      </c>
      <c r="F81" s="10">
        <v>0</v>
      </c>
      <c r="G81" s="10">
        <v>4</v>
      </c>
      <c r="H81" s="10">
        <v>450</v>
      </c>
      <c r="I81" s="10">
        <v>5</v>
      </c>
      <c r="J81" s="10">
        <v>2</v>
      </c>
      <c r="K81" s="10">
        <v>4</v>
      </c>
      <c r="L81" s="10">
        <v>1</v>
      </c>
      <c r="M81" s="10">
        <v>3</v>
      </c>
      <c r="N81" s="10">
        <v>3</v>
      </c>
      <c r="O81" s="10">
        <v>0</v>
      </c>
      <c r="P81" s="10">
        <v>0</v>
      </c>
      <c r="Q81" s="10">
        <v>1</v>
      </c>
      <c r="R81" s="10">
        <v>0</v>
      </c>
      <c r="S81" s="11">
        <v>1</v>
      </c>
    </row>
    <row r="82" spans="1:19" x14ac:dyDescent="0.3">
      <c r="A82" s="9" t="s">
        <v>79</v>
      </c>
      <c r="B82" s="10">
        <v>1</v>
      </c>
      <c r="C82" s="10">
        <v>0</v>
      </c>
      <c r="D82" s="10">
        <v>5</v>
      </c>
      <c r="E82" s="10">
        <v>1</v>
      </c>
      <c r="F82" s="10">
        <v>0</v>
      </c>
      <c r="G82" s="10">
        <v>7</v>
      </c>
      <c r="H82" s="10">
        <v>450</v>
      </c>
      <c r="I82" s="10">
        <v>2</v>
      </c>
      <c r="J82" s="10">
        <v>4</v>
      </c>
      <c r="K82" s="10">
        <v>4</v>
      </c>
      <c r="L82" s="10">
        <v>1</v>
      </c>
      <c r="M82" s="10">
        <v>3</v>
      </c>
      <c r="N82" s="10">
        <v>3</v>
      </c>
      <c r="O82" s="10">
        <v>1</v>
      </c>
      <c r="P82" s="10">
        <v>0</v>
      </c>
      <c r="Q82" s="10">
        <v>0</v>
      </c>
      <c r="R82" s="10">
        <v>1</v>
      </c>
      <c r="S82" s="11">
        <v>1</v>
      </c>
    </row>
    <row r="83" spans="1:19" x14ac:dyDescent="0.3">
      <c r="A83" s="9" t="s">
        <v>78</v>
      </c>
      <c r="B83" s="10">
        <v>1</v>
      </c>
      <c r="C83" s="10">
        <v>1</v>
      </c>
      <c r="D83" s="10">
        <v>5</v>
      </c>
      <c r="E83" s="10">
        <v>6</v>
      </c>
      <c r="F83" s="10">
        <v>0</v>
      </c>
      <c r="G83" s="10">
        <v>7</v>
      </c>
      <c r="H83" s="10">
        <v>450</v>
      </c>
      <c r="I83" s="10">
        <v>2</v>
      </c>
      <c r="J83" s="10">
        <v>2</v>
      </c>
      <c r="K83" s="10">
        <v>3</v>
      </c>
      <c r="L83" s="10">
        <v>1</v>
      </c>
      <c r="M83" s="10">
        <v>4</v>
      </c>
      <c r="N83" s="10">
        <v>3</v>
      </c>
      <c r="O83" s="10">
        <v>1</v>
      </c>
      <c r="P83" s="10">
        <v>0</v>
      </c>
      <c r="Q83" s="10">
        <v>0</v>
      </c>
      <c r="R83" s="10">
        <v>1</v>
      </c>
      <c r="S83" s="11">
        <v>1</v>
      </c>
    </row>
    <row r="84" spans="1:19" x14ac:dyDescent="0.3">
      <c r="A84" s="9" t="s">
        <v>77</v>
      </c>
      <c r="B84" s="10">
        <v>1</v>
      </c>
      <c r="C84" s="10">
        <v>0</v>
      </c>
      <c r="D84" s="10">
        <v>1</v>
      </c>
      <c r="E84" s="10">
        <v>1</v>
      </c>
      <c r="F84" s="10">
        <v>0</v>
      </c>
      <c r="G84" s="10">
        <v>7</v>
      </c>
      <c r="H84" s="10">
        <v>450</v>
      </c>
      <c r="I84" s="10">
        <v>2</v>
      </c>
      <c r="J84" s="10">
        <v>5</v>
      </c>
      <c r="K84" s="10">
        <v>4</v>
      </c>
      <c r="L84" s="10">
        <v>1</v>
      </c>
      <c r="M84" s="10">
        <v>4</v>
      </c>
      <c r="N84" s="10">
        <v>3</v>
      </c>
      <c r="O84" s="10">
        <v>0</v>
      </c>
      <c r="P84" s="10">
        <v>0</v>
      </c>
      <c r="Q84" s="10">
        <v>0</v>
      </c>
      <c r="R84" s="10">
        <v>1</v>
      </c>
      <c r="S84" s="11">
        <v>1</v>
      </c>
    </row>
    <row r="85" spans="1:19" x14ac:dyDescent="0.3">
      <c r="A85" s="9" t="s">
        <v>76</v>
      </c>
      <c r="B85" s="10">
        <v>1</v>
      </c>
      <c r="C85" s="10">
        <v>0</v>
      </c>
      <c r="D85" s="10">
        <v>1</v>
      </c>
      <c r="E85" s="10">
        <v>1</v>
      </c>
      <c r="F85" s="10">
        <v>0</v>
      </c>
      <c r="G85" s="10">
        <v>7</v>
      </c>
      <c r="H85" s="10">
        <v>1000</v>
      </c>
      <c r="I85" s="10">
        <v>5</v>
      </c>
      <c r="J85" s="10">
        <v>3</v>
      </c>
      <c r="K85" s="10">
        <v>5</v>
      </c>
      <c r="L85" s="10">
        <v>1</v>
      </c>
      <c r="M85" s="10">
        <v>4</v>
      </c>
      <c r="N85" s="10">
        <v>3</v>
      </c>
      <c r="O85" s="10">
        <v>1</v>
      </c>
      <c r="P85" s="10">
        <v>0</v>
      </c>
      <c r="Q85" s="10">
        <v>1</v>
      </c>
      <c r="R85" s="10">
        <v>1</v>
      </c>
      <c r="S85" s="11">
        <v>1</v>
      </c>
    </row>
    <row r="86" spans="1:19" x14ac:dyDescent="0.3">
      <c r="A86" s="9" t="s">
        <v>75</v>
      </c>
      <c r="B86" s="10">
        <v>1</v>
      </c>
      <c r="C86" s="10">
        <v>0</v>
      </c>
      <c r="D86" s="10">
        <v>5</v>
      </c>
      <c r="E86" s="10">
        <v>1</v>
      </c>
      <c r="F86" s="10">
        <v>0</v>
      </c>
      <c r="G86" s="10">
        <v>7</v>
      </c>
      <c r="H86" s="10">
        <v>1500</v>
      </c>
      <c r="I86" s="10">
        <v>5</v>
      </c>
      <c r="J86" s="10">
        <v>5</v>
      </c>
      <c r="K86" s="10">
        <v>4</v>
      </c>
      <c r="L86" s="10">
        <v>1</v>
      </c>
      <c r="M86" s="10">
        <v>4</v>
      </c>
      <c r="N86" s="10">
        <v>4</v>
      </c>
      <c r="O86" s="10">
        <v>0</v>
      </c>
      <c r="P86" s="10">
        <v>0</v>
      </c>
      <c r="Q86" s="10">
        <v>0</v>
      </c>
      <c r="R86" s="10">
        <v>0</v>
      </c>
      <c r="S86" s="11">
        <v>1</v>
      </c>
    </row>
    <row r="87" spans="1:19" x14ac:dyDescent="0.3">
      <c r="A87" s="9" t="s">
        <v>73</v>
      </c>
      <c r="B87" s="10">
        <v>0</v>
      </c>
      <c r="C87" s="10">
        <v>0</v>
      </c>
      <c r="D87" s="10">
        <v>5</v>
      </c>
      <c r="E87" s="10">
        <v>6</v>
      </c>
      <c r="F87" s="10">
        <v>0</v>
      </c>
      <c r="G87" s="10">
        <v>7</v>
      </c>
      <c r="H87" s="10">
        <v>450</v>
      </c>
      <c r="I87" s="10">
        <v>2</v>
      </c>
      <c r="J87" s="10">
        <v>2</v>
      </c>
      <c r="K87" s="10">
        <v>4</v>
      </c>
      <c r="L87" s="10">
        <v>1</v>
      </c>
      <c r="M87" s="10">
        <v>4</v>
      </c>
      <c r="N87" s="10">
        <v>3</v>
      </c>
      <c r="O87" s="10">
        <v>0</v>
      </c>
      <c r="P87" s="10">
        <v>0</v>
      </c>
      <c r="Q87" s="10">
        <v>0</v>
      </c>
      <c r="R87" s="10">
        <v>1</v>
      </c>
      <c r="S87" s="11">
        <v>1</v>
      </c>
    </row>
    <row r="88" spans="1:19" x14ac:dyDescent="0.3">
      <c r="A88" s="9" t="s">
        <v>72</v>
      </c>
      <c r="B88" s="10">
        <v>1</v>
      </c>
      <c r="C88" s="10">
        <v>0</v>
      </c>
      <c r="D88" s="10">
        <v>2</v>
      </c>
      <c r="E88" s="10">
        <v>1</v>
      </c>
      <c r="F88" s="10">
        <v>0</v>
      </c>
      <c r="G88" s="10">
        <v>7</v>
      </c>
      <c r="H88" s="10">
        <v>450</v>
      </c>
      <c r="I88" s="10">
        <v>5</v>
      </c>
      <c r="J88" s="10">
        <v>5</v>
      </c>
      <c r="K88" s="10">
        <v>4</v>
      </c>
      <c r="L88" s="10">
        <v>1</v>
      </c>
      <c r="M88" s="10">
        <v>3</v>
      </c>
      <c r="N88" s="10">
        <v>1</v>
      </c>
      <c r="O88" s="10">
        <v>1</v>
      </c>
      <c r="P88" s="10">
        <v>0</v>
      </c>
      <c r="Q88" s="10">
        <v>0</v>
      </c>
      <c r="R88" s="10">
        <v>0</v>
      </c>
      <c r="S88" s="11">
        <v>1</v>
      </c>
    </row>
    <row r="89" spans="1:19" x14ac:dyDescent="0.3">
      <c r="A89" s="9" t="s">
        <v>71</v>
      </c>
      <c r="B89" s="10">
        <v>1</v>
      </c>
      <c r="C89" s="10">
        <v>0</v>
      </c>
      <c r="D89" s="10">
        <v>1</v>
      </c>
      <c r="E89" s="10">
        <v>1</v>
      </c>
      <c r="F89" s="10">
        <v>0</v>
      </c>
      <c r="G89" s="10">
        <v>7</v>
      </c>
      <c r="H89" s="10">
        <v>500</v>
      </c>
      <c r="I89" s="10">
        <v>5</v>
      </c>
      <c r="J89" s="10">
        <v>4</v>
      </c>
      <c r="K89" s="10">
        <v>5</v>
      </c>
      <c r="L89" s="10">
        <v>2</v>
      </c>
      <c r="M89" s="10">
        <v>4</v>
      </c>
      <c r="N89" s="10">
        <v>3</v>
      </c>
      <c r="O89" s="10">
        <v>0</v>
      </c>
      <c r="P89" s="10">
        <v>0</v>
      </c>
      <c r="Q89" s="10">
        <v>1</v>
      </c>
      <c r="R89" s="10">
        <v>1</v>
      </c>
      <c r="S89" s="11">
        <v>1</v>
      </c>
    </row>
    <row r="90" spans="1:19" x14ac:dyDescent="0.3">
      <c r="A90" s="9" t="s">
        <v>70</v>
      </c>
      <c r="B90" s="10">
        <v>1</v>
      </c>
      <c r="C90" s="10">
        <v>1</v>
      </c>
      <c r="D90" s="10">
        <v>5</v>
      </c>
      <c r="E90" s="10">
        <v>6</v>
      </c>
      <c r="F90" s="10">
        <v>0</v>
      </c>
      <c r="G90" s="10">
        <v>7</v>
      </c>
      <c r="H90" s="10">
        <v>1000</v>
      </c>
      <c r="I90" s="10">
        <v>5</v>
      </c>
      <c r="J90" s="10">
        <v>2</v>
      </c>
      <c r="K90" s="10">
        <v>2</v>
      </c>
      <c r="L90" s="10">
        <v>1</v>
      </c>
      <c r="M90" s="10">
        <v>5</v>
      </c>
      <c r="N90" s="10">
        <v>3</v>
      </c>
      <c r="O90" s="10">
        <v>0</v>
      </c>
      <c r="P90" s="10">
        <v>0</v>
      </c>
      <c r="Q90" s="10">
        <v>0</v>
      </c>
      <c r="R90" s="10">
        <v>0</v>
      </c>
      <c r="S90" s="11">
        <v>1</v>
      </c>
    </row>
    <row r="91" spans="1:19" x14ac:dyDescent="0.3">
      <c r="A91" s="9" t="s">
        <v>68</v>
      </c>
      <c r="B91" s="10">
        <v>1</v>
      </c>
      <c r="C91" s="10">
        <v>1</v>
      </c>
      <c r="D91" s="10">
        <v>2</v>
      </c>
      <c r="E91" s="10">
        <v>6</v>
      </c>
      <c r="F91" s="10">
        <v>0</v>
      </c>
      <c r="G91" s="10">
        <v>7</v>
      </c>
      <c r="H91" s="10">
        <v>450</v>
      </c>
      <c r="I91" s="10">
        <v>2</v>
      </c>
      <c r="J91" s="10">
        <v>1</v>
      </c>
      <c r="K91" s="10">
        <v>4</v>
      </c>
      <c r="L91" s="10">
        <v>1</v>
      </c>
      <c r="M91" s="10">
        <v>4</v>
      </c>
      <c r="N91" s="10">
        <v>3</v>
      </c>
      <c r="O91" s="10">
        <v>1</v>
      </c>
      <c r="P91" s="10">
        <v>0</v>
      </c>
      <c r="Q91" s="10">
        <v>1</v>
      </c>
      <c r="R91" s="10">
        <v>1</v>
      </c>
      <c r="S91" s="11">
        <v>1</v>
      </c>
    </row>
    <row r="92" spans="1:19" x14ac:dyDescent="0.3">
      <c r="A92" s="9" t="s">
        <v>67</v>
      </c>
      <c r="B92" s="10">
        <v>1</v>
      </c>
      <c r="C92" s="10">
        <v>0</v>
      </c>
      <c r="D92" s="10">
        <v>2</v>
      </c>
      <c r="E92" s="10">
        <v>1</v>
      </c>
      <c r="F92" s="10">
        <v>0</v>
      </c>
      <c r="G92" s="10">
        <v>8</v>
      </c>
      <c r="H92" s="10">
        <v>450</v>
      </c>
      <c r="I92" s="10">
        <v>5</v>
      </c>
      <c r="J92" s="10">
        <v>1</v>
      </c>
      <c r="K92" s="10">
        <v>4</v>
      </c>
      <c r="L92" s="10">
        <v>1</v>
      </c>
      <c r="M92" s="10">
        <v>3</v>
      </c>
      <c r="N92" s="10">
        <v>1</v>
      </c>
      <c r="O92" s="10">
        <v>1</v>
      </c>
      <c r="P92" s="10">
        <v>0</v>
      </c>
      <c r="Q92" s="10">
        <v>1</v>
      </c>
      <c r="R92" s="10">
        <v>0</v>
      </c>
      <c r="S92" s="11">
        <v>2</v>
      </c>
    </row>
    <row r="93" spans="1:19" x14ac:dyDescent="0.3">
      <c r="A93" s="9" t="s">
        <v>66</v>
      </c>
      <c r="B93" s="10">
        <v>1</v>
      </c>
      <c r="C93" s="10">
        <v>0</v>
      </c>
      <c r="D93" s="10">
        <v>0</v>
      </c>
      <c r="E93" s="10">
        <v>1</v>
      </c>
      <c r="F93" s="10">
        <v>1</v>
      </c>
      <c r="G93" s="10">
        <v>2</v>
      </c>
      <c r="H93" s="10">
        <v>450</v>
      </c>
      <c r="I93" s="10">
        <v>2</v>
      </c>
      <c r="J93" s="10">
        <v>4</v>
      </c>
      <c r="K93" s="10">
        <v>4</v>
      </c>
      <c r="L93" s="10">
        <v>1</v>
      </c>
      <c r="M93" s="10">
        <v>4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1">
        <v>1</v>
      </c>
    </row>
    <row r="94" spans="1:19" x14ac:dyDescent="0.3">
      <c r="A94" s="9" t="s">
        <v>65</v>
      </c>
      <c r="B94" s="10">
        <v>1</v>
      </c>
      <c r="C94" s="10">
        <v>0</v>
      </c>
      <c r="D94" s="10">
        <v>1</v>
      </c>
      <c r="E94" s="10">
        <v>6</v>
      </c>
      <c r="F94" s="10">
        <v>0</v>
      </c>
      <c r="G94" s="10">
        <v>7</v>
      </c>
      <c r="H94" s="10">
        <v>1000</v>
      </c>
      <c r="I94" s="10">
        <v>2</v>
      </c>
      <c r="J94" s="10">
        <v>5</v>
      </c>
      <c r="K94" s="10">
        <v>4</v>
      </c>
      <c r="L94" s="10">
        <v>1</v>
      </c>
      <c r="M94" s="10">
        <v>4</v>
      </c>
      <c r="N94" s="10">
        <v>3</v>
      </c>
      <c r="O94" s="10">
        <v>0</v>
      </c>
      <c r="P94" s="10">
        <v>0</v>
      </c>
      <c r="Q94" s="10">
        <v>0</v>
      </c>
      <c r="R94" s="10">
        <v>1</v>
      </c>
      <c r="S94" s="11">
        <v>1</v>
      </c>
    </row>
    <row r="95" spans="1:19" x14ac:dyDescent="0.3">
      <c r="A95" s="9" t="s">
        <v>64</v>
      </c>
      <c r="B95" s="10">
        <v>1</v>
      </c>
      <c r="C95" s="10">
        <v>1</v>
      </c>
      <c r="D95" s="10">
        <v>1</v>
      </c>
      <c r="E95" s="10">
        <v>1</v>
      </c>
      <c r="F95" s="10">
        <v>0</v>
      </c>
      <c r="G95" s="10">
        <v>5</v>
      </c>
      <c r="H95" s="10">
        <v>450</v>
      </c>
      <c r="I95" s="10">
        <v>2</v>
      </c>
      <c r="J95" s="10">
        <v>1</v>
      </c>
      <c r="K95" s="10">
        <v>4</v>
      </c>
      <c r="L95" s="10">
        <v>1</v>
      </c>
      <c r="M95" s="10">
        <v>4</v>
      </c>
      <c r="N95" s="10">
        <v>3</v>
      </c>
      <c r="O95" s="10">
        <v>0</v>
      </c>
      <c r="P95" s="10">
        <v>0</v>
      </c>
      <c r="Q95" s="10">
        <v>0</v>
      </c>
      <c r="R95" s="10">
        <v>1</v>
      </c>
      <c r="S95" s="11">
        <v>1</v>
      </c>
    </row>
    <row r="96" spans="1:19" x14ac:dyDescent="0.3">
      <c r="A96" s="9" t="s">
        <v>63</v>
      </c>
      <c r="B96" s="10">
        <v>1</v>
      </c>
      <c r="C96" s="10">
        <v>0</v>
      </c>
      <c r="D96" s="10">
        <v>1</v>
      </c>
      <c r="E96" s="10">
        <v>1</v>
      </c>
      <c r="F96" s="10">
        <v>0</v>
      </c>
      <c r="G96" s="10">
        <v>7</v>
      </c>
      <c r="H96" s="10">
        <v>1500</v>
      </c>
      <c r="I96" s="10">
        <v>2</v>
      </c>
      <c r="J96" s="10">
        <v>3</v>
      </c>
      <c r="K96" s="10">
        <v>5</v>
      </c>
      <c r="L96" s="10">
        <v>1</v>
      </c>
      <c r="M96" s="10">
        <v>4</v>
      </c>
      <c r="N96" s="10">
        <v>4</v>
      </c>
      <c r="O96" s="10">
        <v>0</v>
      </c>
      <c r="P96" s="10">
        <v>0</v>
      </c>
      <c r="Q96" s="10">
        <v>1</v>
      </c>
      <c r="R96" s="10">
        <v>1</v>
      </c>
      <c r="S96" s="11">
        <v>1</v>
      </c>
    </row>
    <row r="97" spans="1:19" x14ac:dyDescent="0.3">
      <c r="A97" s="9" t="s">
        <v>62</v>
      </c>
      <c r="B97" s="10">
        <v>1</v>
      </c>
      <c r="C97" s="10">
        <v>0</v>
      </c>
      <c r="D97" s="10">
        <v>2</v>
      </c>
      <c r="E97" s="10">
        <v>1</v>
      </c>
      <c r="F97" s="10">
        <v>0</v>
      </c>
      <c r="G97" s="10">
        <v>7</v>
      </c>
      <c r="H97" s="10">
        <v>2000</v>
      </c>
      <c r="I97" s="10">
        <v>2</v>
      </c>
      <c r="J97" s="10">
        <v>4</v>
      </c>
      <c r="K97" s="10">
        <v>4</v>
      </c>
      <c r="L97" s="10">
        <v>1</v>
      </c>
      <c r="M97" s="10">
        <v>4</v>
      </c>
      <c r="N97" s="10">
        <v>4</v>
      </c>
      <c r="O97" s="10">
        <v>1</v>
      </c>
      <c r="P97" s="10">
        <v>0</v>
      </c>
      <c r="Q97" s="10">
        <v>1</v>
      </c>
      <c r="R97" s="10">
        <v>1</v>
      </c>
      <c r="S97" s="11">
        <v>1</v>
      </c>
    </row>
    <row r="98" spans="1:19" x14ac:dyDescent="0.3">
      <c r="A98" s="9" t="s">
        <v>61</v>
      </c>
      <c r="B98" s="10">
        <v>1</v>
      </c>
      <c r="C98" s="10">
        <v>1</v>
      </c>
      <c r="D98" s="10">
        <v>2</v>
      </c>
      <c r="E98" s="10">
        <v>3</v>
      </c>
      <c r="F98" s="10">
        <v>0</v>
      </c>
      <c r="G98" s="10">
        <v>5</v>
      </c>
      <c r="H98" s="10">
        <v>450</v>
      </c>
      <c r="I98" s="10">
        <v>8</v>
      </c>
      <c r="J98" s="10">
        <v>3</v>
      </c>
      <c r="K98" s="10">
        <v>4</v>
      </c>
      <c r="L98" s="10">
        <v>1</v>
      </c>
      <c r="M98" s="10">
        <v>4</v>
      </c>
      <c r="N98" s="10">
        <v>3</v>
      </c>
      <c r="O98" s="10">
        <v>0</v>
      </c>
      <c r="P98" s="10">
        <v>0</v>
      </c>
      <c r="Q98" s="10">
        <v>1</v>
      </c>
      <c r="R98" s="10">
        <v>1</v>
      </c>
      <c r="S98" s="11">
        <v>1</v>
      </c>
    </row>
    <row r="99" spans="1:19" x14ac:dyDescent="0.3">
      <c r="A99" s="9" t="s">
        <v>60</v>
      </c>
      <c r="B99" s="10">
        <v>1</v>
      </c>
      <c r="C99" s="10">
        <v>0</v>
      </c>
      <c r="D99" s="10">
        <v>2</v>
      </c>
      <c r="E99" s="10">
        <v>1</v>
      </c>
      <c r="F99" s="10">
        <v>0</v>
      </c>
      <c r="G99" s="10">
        <v>8</v>
      </c>
      <c r="H99" s="10">
        <v>450</v>
      </c>
      <c r="I99" s="10">
        <v>5</v>
      </c>
      <c r="J99" s="10">
        <v>6</v>
      </c>
      <c r="K99" s="10">
        <v>4</v>
      </c>
      <c r="L99" s="10">
        <v>1</v>
      </c>
      <c r="M99" s="10">
        <v>4</v>
      </c>
      <c r="N99" s="10">
        <v>1</v>
      </c>
      <c r="O99" s="10">
        <v>1</v>
      </c>
      <c r="P99" s="10">
        <v>0</v>
      </c>
      <c r="Q99" s="10">
        <v>0</v>
      </c>
      <c r="R99" s="10">
        <v>0</v>
      </c>
      <c r="S99" s="11">
        <v>1</v>
      </c>
    </row>
    <row r="100" spans="1:19" x14ac:dyDescent="0.3">
      <c r="A100" s="9" t="s">
        <v>59</v>
      </c>
      <c r="B100" s="10">
        <v>1</v>
      </c>
      <c r="C100" s="10">
        <v>0</v>
      </c>
      <c r="D100" s="10">
        <v>1</v>
      </c>
      <c r="E100" s="10">
        <v>1</v>
      </c>
      <c r="F100" s="10">
        <v>0</v>
      </c>
      <c r="G100" s="10">
        <v>7</v>
      </c>
      <c r="H100" s="10">
        <v>1500</v>
      </c>
      <c r="I100" s="10">
        <v>2</v>
      </c>
      <c r="J100" s="10">
        <v>2</v>
      </c>
      <c r="K100" s="10">
        <v>5</v>
      </c>
      <c r="L100" s="10">
        <v>1</v>
      </c>
      <c r="M100" s="10">
        <v>3</v>
      </c>
      <c r="N100" s="10">
        <v>3</v>
      </c>
      <c r="O100" s="10">
        <v>0</v>
      </c>
      <c r="P100" s="10">
        <v>0</v>
      </c>
      <c r="Q100" s="10">
        <v>1</v>
      </c>
      <c r="R100" s="10">
        <v>1</v>
      </c>
      <c r="S100" s="11">
        <v>1</v>
      </c>
    </row>
    <row r="101" spans="1:19" x14ac:dyDescent="0.3">
      <c r="A101" s="9" t="s">
        <v>58</v>
      </c>
      <c r="B101" s="10">
        <v>1</v>
      </c>
      <c r="C101" s="10">
        <v>1</v>
      </c>
      <c r="D101" s="10">
        <v>2</v>
      </c>
      <c r="E101" s="10">
        <v>3</v>
      </c>
      <c r="F101" s="10">
        <v>0</v>
      </c>
      <c r="G101" s="10">
        <v>4</v>
      </c>
      <c r="H101" s="10">
        <v>1000</v>
      </c>
      <c r="I101" s="10">
        <v>2</v>
      </c>
      <c r="J101" s="10">
        <v>3</v>
      </c>
      <c r="K101" s="10">
        <v>4</v>
      </c>
      <c r="L101" s="10">
        <v>1</v>
      </c>
      <c r="M101" s="10">
        <v>3</v>
      </c>
      <c r="N101" s="10">
        <v>3</v>
      </c>
      <c r="O101" s="10">
        <v>0</v>
      </c>
      <c r="P101" s="10">
        <v>0</v>
      </c>
      <c r="Q101" s="10">
        <v>1</v>
      </c>
      <c r="R101" s="10">
        <v>0</v>
      </c>
      <c r="S101" s="11">
        <v>1</v>
      </c>
    </row>
    <row r="102" spans="1:19" x14ac:dyDescent="0.3">
      <c r="A102" s="9" t="s">
        <v>57</v>
      </c>
      <c r="B102" s="10">
        <v>1</v>
      </c>
      <c r="C102" s="10">
        <v>0</v>
      </c>
      <c r="D102" s="10">
        <v>1</v>
      </c>
      <c r="E102" s="10">
        <v>6</v>
      </c>
      <c r="F102" s="10">
        <v>0</v>
      </c>
      <c r="G102" s="10">
        <v>7</v>
      </c>
      <c r="H102" s="10">
        <v>450</v>
      </c>
      <c r="I102" s="10">
        <v>5</v>
      </c>
      <c r="J102" s="10">
        <v>4</v>
      </c>
      <c r="K102" s="10">
        <v>4</v>
      </c>
      <c r="L102" s="10">
        <v>1</v>
      </c>
      <c r="M102" s="10">
        <v>4</v>
      </c>
      <c r="N102" s="10">
        <v>3</v>
      </c>
      <c r="O102" s="10">
        <v>1</v>
      </c>
      <c r="P102" s="10">
        <v>0</v>
      </c>
      <c r="Q102" s="10">
        <v>0</v>
      </c>
      <c r="R102" s="10">
        <v>1</v>
      </c>
      <c r="S102" s="11">
        <v>1</v>
      </c>
    </row>
    <row r="103" spans="1:19" x14ac:dyDescent="0.3">
      <c r="A103" s="9" t="s">
        <v>56</v>
      </c>
      <c r="B103" s="10">
        <v>1</v>
      </c>
      <c r="C103" s="10">
        <v>0</v>
      </c>
      <c r="D103" s="10">
        <v>5</v>
      </c>
      <c r="E103" s="10">
        <v>6</v>
      </c>
      <c r="F103" s="10">
        <v>0</v>
      </c>
      <c r="G103" s="10">
        <v>7</v>
      </c>
      <c r="H103" s="10">
        <v>1000</v>
      </c>
      <c r="I103" s="10">
        <v>5</v>
      </c>
      <c r="J103" s="10">
        <v>3</v>
      </c>
      <c r="K103" s="10">
        <v>4</v>
      </c>
      <c r="L103" s="10">
        <v>1</v>
      </c>
      <c r="M103" s="10">
        <v>4</v>
      </c>
      <c r="N103" s="10">
        <v>3</v>
      </c>
      <c r="O103" s="10">
        <v>0</v>
      </c>
      <c r="P103" s="10">
        <v>0</v>
      </c>
      <c r="Q103" s="10">
        <v>1</v>
      </c>
      <c r="R103" s="10">
        <v>1</v>
      </c>
      <c r="S103" s="11">
        <v>1</v>
      </c>
    </row>
    <row r="104" spans="1:19" x14ac:dyDescent="0.3">
      <c r="A104" s="9" t="s">
        <v>55</v>
      </c>
      <c r="B104" s="10">
        <v>1</v>
      </c>
      <c r="C104" s="10">
        <v>1</v>
      </c>
      <c r="D104" s="10">
        <v>1</v>
      </c>
      <c r="E104" s="10">
        <v>1</v>
      </c>
      <c r="F104" s="10">
        <v>0</v>
      </c>
      <c r="G104" s="10">
        <v>7</v>
      </c>
      <c r="H104" s="10">
        <v>2500</v>
      </c>
      <c r="I104" s="10">
        <v>2</v>
      </c>
      <c r="J104" s="10">
        <v>2</v>
      </c>
      <c r="K104" s="10">
        <v>4</v>
      </c>
      <c r="L104" s="10">
        <v>2</v>
      </c>
      <c r="M104" s="10">
        <v>3</v>
      </c>
      <c r="N104" s="10">
        <v>4</v>
      </c>
      <c r="O104" s="10">
        <v>0</v>
      </c>
      <c r="P104" s="10">
        <v>0</v>
      </c>
      <c r="Q104" s="10">
        <v>1</v>
      </c>
      <c r="R104" s="10">
        <v>0</v>
      </c>
      <c r="S104" s="11">
        <v>1</v>
      </c>
    </row>
    <row r="105" spans="1:19" x14ac:dyDescent="0.3">
      <c r="A105" s="9" t="s">
        <v>54</v>
      </c>
      <c r="B105" s="10">
        <v>1</v>
      </c>
      <c r="C105" s="10">
        <v>1</v>
      </c>
      <c r="D105" s="10">
        <v>1</v>
      </c>
      <c r="E105" s="10">
        <v>1</v>
      </c>
      <c r="F105" s="10">
        <v>0</v>
      </c>
      <c r="G105" s="10">
        <v>7</v>
      </c>
      <c r="H105" s="10">
        <v>500</v>
      </c>
      <c r="I105" s="10">
        <v>5</v>
      </c>
      <c r="J105" s="10">
        <v>2</v>
      </c>
      <c r="K105" s="10">
        <v>4</v>
      </c>
      <c r="L105" s="10">
        <v>1</v>
      </c>
      <c r="M105" s="10">
        <v>4</v>
      </c>
      <c r="N105" s="10">
        <v>3</v>
      </c>
      <c r="O105" s="10">
        <v>0</v>
      </c>
      <c r="P105" s="10">
        <v>0</v>
      </c>
      <c r="Q105" s="10">
        <v>0</v>
      </c>
      <c r="R105" s="10">
        <v>1</v>
      </c>
      <c r="S105" s="11">
        <v>1</v>
      </c>
    </row>
    <row r="106" spans="1:19" x14ac:dyDescent="0.3">
      <c r="A106" s="9" t="s">
        <v>53</v>
      </c>
      <c r="B106" s="10">
        <v>1</v>
      </c>
      <c r="C106" s="10">
        <v>0</v>
      </c>
      <c r="D106" s="10">
        <v>4</v>
      </c>
      <c r="E106" s="10">
        <v>6</v>
      </c>
      <c r="F106" s="10">
        <v>0</v>
      </c>
      <c r="G106" s="10">
        <v>7</v>
      </c>
      <c r="H106" s="10">
        <v>1000</v>
      </c>
      <c r="I106" s="10">
        <v>5</v>
      </c>
      <c r="J106" s="10">
        <v>7</v>
      </c>
      <c r="K106" s="10">
        <v>4</v>
      </c>
      <c r="L106" s="10">
        <v>1</v>
      </c>
      <c r="M106" s="10">
        <v>4</v>
      </c>
      <c r="N106" s="10">
        <v>3</v>
      </c>
      <c r="O106" s="10">
        <v>0</v>
      </c>
      <c r="P106" s="10">
        <v>0</v>
      </c>
      <c r="Q106" s="10">
        <v>0</v>
      </c>
      <c r="R106" s="10">
        <v>1</v>
      </c>
      <c r="S106" s="11">
        <v>1</v>
      </c>
    </row>
    <row r="107" spans="1:19" x14ac:dyDescent="0.3">
      <c r="A107" s="9" t="s">
        <v>52</v>
      </c>
      <c r="B107" s="10">
        <v>1</v>
      </c>
      <c r="C107" s="10">
        <v>0</v>
      </c>
      <c r="D107" s="10">
        <v>1</v>
      </c>
      <c r="E107" s="10">
        <v>1</v>
      </c>
      <c r="F107" s="10">
        <v>1</v>
      </c>
      <c r="G107" s="10">
        <v>7</v>
      </c>
      <c r="H107" s="10">
        <v>1000</v>
      </c>
      <c r="I107" s="10">
        <v>5</v>
      </c>
      <c r="J107" s="10">
        <v>4</v>
      </c>
      <c r="K107" s="10">
        <v>5</v>
      </c>
      <c r="L107" s="10">
        <v>1</v>
      </c>
      <c r="M107" s="10">
        <v>4</v>
      </c>
      <c r="N107" s="10">
        <v>3</v>
      </c>
      <c r="O107" s="10">
        <v>1</v>
      </c>
      <c r="P107" s="10">
        <v>0</v>
      </c>
      <c r="Q107" s="10">
        <v>1</v>
      </c>
      <c r="R107" s="10">
        <v>1</v>
      </c>
      <c r="S107" s="11">
        <v>1</v>
      </c>
    </row>
    <row r="108" spans="1:19" x14ac:dyDescent="0.3">
      <c r="A108" s="9" t="s">
        <v>51</v>
      </c>
      <c r="B108" s="10">
        <v>1</v>
      </c>
      <c r="C108" s="10">
        <v>0</v>
      </c>
      <c r="D108" s="10">
        <v>2</v>
      </c>
      <c r="E108" s="10">
        <v>1</v>
      </c>
      <c r="F108" s="10">
        <v>0</v>
      </c>
      <c r="G108" s="10">
        <v>7</v>
      </c>
      <c r="H108" s="10">
        <v>450</v>
      </c>
      <c r="I108" s="10">
        <v>4</v>
      </c>
      <c r="J108" s="10">
        <v>6</v>
      </c>
      <c r="K108" s="10">
        <v>4</v>
      </c>
      <c r="L108" s="10">
        <v>1</v>
      </c>
      <c r="M108" s="10">
        <v>4</v>
      </c>
      <c r="N108" s="10">
        <v>2</v>
      </c>
      <c r="O108" s="10">
        <v>1</v>
      </c>
      <c r="P108" s="10">
        <v>1</v>
      </c>
      <c r="Q108" s="10">
        <v>1</v>
      </c>
      <c r="R108" s="10">
        <v>1</v>
      </c>
      <c r="S108" s="11">
        <v>1</v>
      </c>
    </row>
    <row r="109" spans="1:19" x14ac:dyDescent="0.3">
      <c r="A109" s="9" t="s">
        <v>50</v>
      </c>
      <c r="B109" s="10">
        <v>1</v>
      </c>
      <c r="C109" s="10">
        <v>0</v>
      </c>
      <c r="D109" s="10">
        <v>1</v>
      </c>
      <c r="E109" s="10">
        <v>1</v>
      </c>
      <c r="F109" s="10">
        <v>0</v>
      </c>
      <c r="G109" s="10">
        <v>7</v>
      </c>
      <c r="H109" s="10">
        <v>1000</v>
      </c>
      <c r="I109" s="10">
        <v>2</v>
      </c>
      <c r="J109" s="10">
        <v>1</v>
      </c>
      <c r="K109" s="10">
        <v>4</v>
      </c>
      <c r="L109" s="10">
        <v>1</v>
      </c>
      <c r="M109" s="10">
        <v>3</v>
      </c>
      <c r="N109" s="10">
        <v>3</v>
      </c>
      <c r="O109" s="10" t="e">
        <v>#N/A</v>
      </c>
      <c r="P109" s="10">
        <v>1</v>
      </c>
      <c r="Q109" s="10">
        <v>1</v>
      </c>
      <c r="R109" s="10">
        <v>1</v>
      </c>
      <c r="S109" s="11">
        <v>1</v>
      </c>
    </row>
    <row r="110" spans="1:19" x14ac:dyDescent="0.3">
      <c r="A110" s="9" t="s">
        <v>49</v>
      </c>
      <c r="B110" s="10">
        <v>1</v>
      </c>
      <c r="C110" s="10">
        <v>1</v>
      </c>
      <c r="D110" s="10">
        <v>1</v>
      </c>
      <c r="E110" s="10">
        <v>1</v>
      </c>
      <c r="F110" s="10">
        <v>0</v>
      </c>
      <c r="G110" s="10">
        <v>7</v>
      </c>
      <c r="H110" s="10">
        <v>3000</v>
      </c>
      <c r="I110" s="10">
        <v>5</v>
      </c>
      <c r="J110" s="10">
        <v>6</v>
      </c>
      <c r="K110" s="10">
        <v>4</v>
      </c>
      <c r="L110" s="10">
        <v>1</v>
      </c>
      <c r="M110" s="10">
        <v>4</v>
      </c>
      <c r="N110" s="10">
        <v>1</v>
      </c>
      <c r="O110" s="10">
        <v>1</v>
      </c>
      <c r="P110" s="10">
        <v>0</v>
      </c>
      <c r="Q110" s="10">
        <v>1</v>
      </c>
      <c r="R110" s="10">
        <v>0</v>
      </c>
      <c r="S110" s="11">
        <v>1</v>
      </c>
    </row>
    <row r="111" spans="1:19" x14ac:dyDescent="0.3">
      <c r="A111" s="9" t="s">
        <v>48</v>
      </c>
      <c r="B111" s="10">
        <v>1</v>
      </c>
      <c r="C111" s="10">
        <v>1</v>
      </c>
      <c r="D111" s="10">
        <v>1</v>
      </c>
      <c r="E111" s="10">
        <v>1</v>
      </c>
      <c r="F111" s="10">
        <v>0</v>
      </c>
      <c r="G111" s="10">
        <v>7</v>
      </c>
      <c r="H111" s="10">
        <v>2000</v>
      </c>
      <c r="I111" s="10">
        <v>2</v>
      </c>
      <c r="J111" s="10">
        <v>3</v>
      </c>
      <c r="K111" s="10">
        <v>3</v>
      </c>
      <c r="L111" s="10">
        <v>1</v>
      </c>
      <c r="M111" s="10">
        <v>4</v>
      </c>
      <c r="N111" s="10">
        <v>2</v>
      </c>
      <c r="O111" s="10">
        <v>1</v>
      </c>
      <c r="P111" s="10">
        <v>0</v>
      </c>
      <c r="Q111" s="10">
        <v>0</v>
      </c>
      <c r="R111" s="10">
        <v>1</v>
      </c>
      <c r="S111" s="11">
        <v>1</v>
      </c>
    </row>
    <row r="112" spans="1:19" x14ac:dyDescent="0.3">
      <c r="A112" s="9" t="s">
        <v>47</v>
      </c>
      <c r="B112" s="10">
        <v>1</v>
      </c>
      <c r="C112" s="10">
        <v>1</v>
      </c>
      <c r="D112" s="10">
        <v>1</v>
      </c>
      <c r="E112" s="10">
        <v>1</v>
      </c>
      <c r="F112" s="10">
        <v>0</v>
      </c>
      <c r="G112" s="10">
        <v>7</v>
      </c>
      <c r="H112" s="10">
        <v>1500</v>
      </c>
      <c r="I112" s="10">
        <v>2</v>
      </c>
      <c r="J112" s="10">
        <v>1</v>
      </c>
      <c r="K112" s="10">
        <v>5</v>
      </c>
      <c r="L112" s="10">
        <v>2</v>
      </c>
      <c r="M112" s="10">
        <v>4</v>
      </c>
      <c r="N112" s="10">
        <v>4</v>
      </c>
      <c r="O112" s="10">
        <v>0</v>
      </c>
      <c r="P112" s="10">
        <v>0</v>
      </c>
      <c r="Q112" s="10">
        <v>1</v>
      </c>
      <c r="R112" s="10">
        <v>0</v>
      </c>
      <c r="S112" s="11">
        <v>1</v>
      </c>
    </row>
    <row r="113" spans="1:19" x14ac:dyDescent="0.3">
      <c r="A113" s="9" t="s">
        <v>46</v>
      </c>
      <c r="B113" s="10">
        <v>1</v>
      </c>
      <c r="C113" s="10">
        <v>0</v>
      </c>
      <c r="D113" s="10">
        <v>2</v>
      </c>
      <c r="E113" s="10">
        <v>1</v>
      </c>
      <c r="F113" s="10">
        <v>0</v>
      </c>
      <c r="G113" s="10">
        <v>1</v>
      </c>
      <c r="H113" s="10">
        <v>450</v>
      </c>
      <c r="I113" s="10">
        <v>5</v>
      </c>
      <c r="J113" s="10">
        <v>3</v>
      </c>
      <c r="K113" s="10">
        <v>4</v>
      </c>
      <c r="L113" s="10">
        <v>1</v>
      </c>
      <c r="M113" s="10">
        <v>3</v>
      </c>
      <c r="N113" s="10">
        <v>1</v>
      </c>
      <c r="O113" s="10">
        <v>1</v>
      </c>
      <c r="P113" s="10">
        <v>0</v>
      </c>
      <c r="Q113" s="10">
        <v>1</v>
      </c>
      <c r="R113" s="10">
        <v>1</v>
      </c>
      <c r="S113" s="11">
        <v>1</v>
      </c>
    </row>
    <row r="114" spans="1:19" x14ac:dyDescent="0.3">
      <c r="A114" s="9" t="s">
        <v>45</v>
      </c>
      <c r="B114" s="10">
        <v>1</v>
      </c>
      <c r="C114" s="10">
        <v>1</v>
      </c>
      <c r="D114" s="10">
        <v>5</v>
      </c>
      <c r="E114" s="10">
        <v>6</v>
      </c>
      <c r="F114" s="10">
        <v>0</v>
      </c>
      <c r="G114" s="10">
        <v>7</v>
      </c>
      <c r="H114" s="10">
        <v>450</v>
      </c>
      <c r="I114" s="10">
        <v>2</v>
      </c>
      <c r="J114" s="10">
        <v>3</v>
      </c>
      <c r="K114" s="10">
        <v>3</v>
      </c>
      <c r="L114" s="10">
        <v>1</v>
      </c>
      <c r="M114" s="10">
        <v>4</v>
      </c>
      <c r="N114" s="10">
        <v>3</v>
      </c>
      <c r="O114" s="10">
        <v>1</v>
      </c>
      <c r="P114" s="10">
        <v>0</v>
      </c>
      <c r="Q114" s="10">
        <v>0</v>
      </c>
      <c r="R114" s="10">
        <v>1</v>
      </c>
      <c r="S114" s="11">
        <v>1</v>
      </c>
    </row>
    <row r="115" spans="1:19" x14ac:dyDescent="0.3">
      <c r="A115" s="9" t="s">
        <v>44</v>
      </c>
      <c r="B115" s="10">
        <v>1</v>
      </c>
      <c r="C115" s="10">
        <v>1</v>
      </c>
      <c r="D115" s="10">
        <v>1</v>
      </c>
      <c r="E115" s="10">
        <v>6</v>
      </c>
      <c r="F115" s="10">
        <v>0</v>
      </c>
      <c r="G115" s="10">
        <v>7</v>
      </c>
      <c r="H115" s="10">
        <v>1500</v>
      </c>
      <c r="I115" s="10">
        <v>5</v>
      </c>
      <c r="J115" s="10">
        <v>3</v>
      </c>
      <c r="K115" s="10">
        <v>5</v>
      </c>
      <c r="L115" s="10">
        <v>1</v>
      </c>
      <c r="M115" s="10">
        <v>4</v>
      </c>
      <c r="N115" s="10">
        <v>3</v>
      </c>
      <c r="O115" s="10">
        <v>0</v>
      </c>
      <c r="P115" s="10">
        <v>0</v>
      </c>
      <c r="Q115" s="10">
        <v>1</v>
      </c>
      <c r="R115" s="10">
        <v>1</v>
      </c>
      <c r="S115" s="11">
        <v>1</v>
      </c>
    </row>
    <row r="116" spans="1:19" x14ac:dyDescent="0.3">
      <c r="A116" s="9" t="s">
        <v>43</v>
      </c>
      <c r="B116" s="10">
        <v>1</v>
      </c>
      <c r="C116" s="10">
        <v>0</v>
      </c>
      <c r="D116" s="10">
        <v>3</v>
      </c>
      <c r="E116" s="10">
        <v>6</v>
      </c>
      <c r="F116" s="10">
        <v>0</v>
      </c>
      <c r="G116" s="10">
        <v>7</v>
      </c>
      <c r="H116" s="10">
        <v>2000</v>
      </c>
      <c r="I116" s="10">
        <v>8</v>
      </c>
      <c r="J116" s="10">
        <v>3</v>
      </c>
      <c r="K116" s="10">
        <v>4</v>
      </c>
      <c r="L116" s="10">
        <v>2</v>
      </c>
      <c r="M116" s="10">
        <v>4</v>
      </c>
      <c r="N116" s="10">
        <v>3</v>
      </c>
      <c r="O116" s="10">
        <v>0</v>
      </c>
      <c r="P116" s="10">
        <v>0</v>
      </c>
      <c r="Q116" s="10">
        <v>0</v>
      </c>
      <c r="R116" s="10">
        <v>0</v>
      </c>
      <c r="S116" s="11">
        <v>1</v>
      </c>
    </row>
    <row r="117" spans="1:19" x14ac:dyDescent="0.3">
      <c r="A117" s="9" t="s">
        <v>41</v>
      </c>
      <c r="B117" s="10">
        <v>1</v>
      </c>
      <c r="C117" s="10">
        <v>0</v>
      </c>
      <c r="D117" s="10">
        <v>5</v>
      </c>
      <c r="E117" s="10">
        <v>6</v>
      </c>
      <c r="F117" s="10">
        <v>0</v>
      </c>
      <c r="G117" s="10">
        <v>7</v>
      </c>
      <c r="H117" s="10">
        <v>450</v>
      </c>
      <c r="I117" s="10">
        <v>9</v>
      </c>
      <c r="J117" s="10">
        <v>5</v>
      </c>
      <c r="K117" s="10">
        <v>4</v>
      </c>
      <c r="L117" s="10">
        <v>2</v>
      </c>
      <c r="M117" s="10">
        <v>4</v>
      </c>
      <c r="N117" s="10">
        <v>3</v>
      </c>
      <c r="O117" s="10">
        <v>0</v>
      </c>
      <c r="P117" s="10">
        <v>0</v>
      </c>
      <c r="Q117" s="10">
        <v>1</v>
      </c>
      <c r="R117" s="10">
        <v>0</v>
      </c>
      <c r="S117" s="11">
        <v>1</v>
      </c>
    </row>
    <row r="118" spans="1:19" x14ac:dyDescent="0.3">
      <c r="A118" s="9" t="s">
        <v>40</v>
      </c>
      <c r="B118" s="10">
        <v>1</v>
      </c>
      <c r="C118" s="10">
        <v>0</v>
      </c>
      <c r="D118" s="10">
        <v>5</v>
      </c>
      <c r="E118" s="10">
        <v>6</v>
      </c>
      <c r="F118" s="10">
        <v>0</v>
      </c>
      <c r="G118" s="10">
        <v>7</v>
      </c>
      <c r="H118" s="10">
        <v>450</v>
      </c>
      <c r="I118" s="10">
        <v>9</v>
      </c>
      <c r="J118" s="10">
        <v>2</v>
      </c>
      <c r="K118" s="10">
        <v>3</v>
      </c>
      <c r="L118" s="10">
        <v>1</v>
      </c>
      <c r="M118" s="10">
        <v>3</v>
      </c>
      <c r="N118" s="10">
        <v>3</v>
      </c>
      <c r="O118" s="10">
        <v>1</v>
      </c>
      <c r="P118" s="10">
        <v>0</v>
      </c>
      <c r="Q118" s="10">
        <v>1</v>
      </c>
      <c r="R118" s="10">
        <v>0</v>
      </c>
      <c r="S118" s="11">
        <v>1</v>
      </c>
    </row>
    <row r="119" spans="1:19" x14ac:dyDescent="0.3">
      <c r="A119" s="9" t="s">
        <v>39</v>
      </c>
      <c r="B119" s="10">
        <v>1</v>
      </c>
      <c r="C119" s="10">
        <v>1</v>
      </c>
      <c r="D119" s="10">
        <v>1</v>
      </c>
      <c r="E119" s="10">
        <v>6</v>
      </c>
      <c r="F119" s="10">
        <v>0</v>
      </c>
      <c r="G119" s="10">
        <v>7</v>
      </c>
      <c r="H119" s="10">
        <v>1500</v>
      </c>
      <c r="I119" s="10">
        <v>2</v>
      </c>
      <c r="J119" s="10">
        <v>2</v>
      </c>
      <c r="K119" s="10">
        <v>4</v>
      </c>
      <c r="L119" s="10">
        <v>1</v>
      </c>
      <c r="M119" s="10">
        <v>4</v>
      </c>
      <c r="N119" s="10">
        <v>4</v>
      </c>
      <c r="O119" s="10">
        <v>0</v>
      </c>
      <c r="P119" s="10">
        <v>0</v>
      </c>
      <c r="Q119" s="10">
        <v>1</v>
      </c>
      <c r="R119" s="10">
        <v>1</v>
      </c>
      <c r="S119" s="11">
        <v>1</v>
      </c>
    </row>
    <row r="120" spans="1:19" x14ac:dyDescent="0.3">
      <c r="A120" s="9" t="s">
        <v>38</v>
      </c>
      <c r="B120" s="10">
        <v>1</v>
      </c>
      <c r="C120" s="10">
        <v>1</v>
      </c>
      <c r="D120" s="10">
        <v>5</v>
      </c>
      <c r="E120" s="10">
        <v>6</v>
      </c>
      <c r="F120" s="10">
        <v>0</v>
      </c>
      <c r="G120" s="10">
        <v>7</v>
      </c>
      <c r="H120" s="10">
        <v>450</v>
      </c>
      <c r="I120" s="10">
        <v>5</v>
      </c>
      <c r="J120" s="10">
        <v>2</v>
      </c>
      <c r="K120" s="10">
        <v>4</v>
      </c>
      <c r="L120" s="10">
        <v>1</v>
      </c>
      <c r="M120" s="10">
        <v>4</v>
      </c>
      <c r="N120" s="10">
        <v>3</v>
      </c>
      <c r="O120" s="10">
        <v>1</v>
      </c>
      <c r="P120" s="10">
        <v>0</v>
      </c>
      <c r="Q120" s="10">
        <v>1</v>
      </c>
      <c r="R120" s="10">
        <v>1</v>
      </c>
      <c r="S120" s="11">
        <v>1</v>
      </c>
    </row>
    <row r="121" spans="1:19" x14ac:dyDescent="0.3">
      <c r="A121" s="9" t="s">
        <v>37</v>
      </c>
      <c r="B121" s="10">
        <v>1</v>
      </c>
      <c r="C121" s="10">
        <v>1</v>
      </c>
      <c r="D121" s="10">
        <v>1</v>
      </c>
      <c r="E121" s="10">
        <v>1</v>
      </c>
      <c r="F121" s="10">
        <v>0</v>
      </c>
      <c r="G121" s="10">
        <v>7</v>
      </c>
      <c r="H121" s="10">
        <v>1500</v>
      </c>
      <c r="I121" s="10">
        <v>6</v>
      </c>
      <c r="J121" s="10">
        <v>2</v>
      </c>
      <c r="K121" s="10">
        <v>4</v>
      </c>
      <c r="L121" s="10">
        <v>2</v>
      </c>
      <c r="M121" s="10">
        <v>4</v>
      </c>
      <c r="N121" s="10">
        <v>4</v>
      </c>
      <c r="O121" s="10">
        <v>0</v>
      </c>
      <c r="P121" s="10">
        <v>0</v>
      </c>
      <c r="Q121" s="10">
        <v>0</v>
      </c>
      <c r="R121" s="10">
        <v>0</v>
      </c>
      <c r="S121" s="11">
        <v>1</v>
      </c>
    </row>
    <row r="122" spans="1:19" x14ac:dyDescent="0.3">
      <c r="A122" s="9" t="s">
        <v>35</v>
      </c>
      <c r="B122" s="10">
        <v>1</v>
      </c>
      <c r="C122" s="10">
        <v>0</v>
      </c>
      <c r="D122" s="10">
        <v>1</v>
      </c>
      <c r="E122" s="10">
        <v>1</v>
      </c>
      <c r="F122" s="10">
        <v>0</v>
      </c>
      <c r="G122" s="10">
        <v>7</v>
      </c>
      <c r="H122" s="10">
        <v>1500</v>
      </c>
      <c r="I122" s="10">
        <v>2</v>
      </c>
      <c r="J122" s="10">
        <v>3</v>
      </c>
      <c r="K122" s="10">
        <v>5</v>
      </c>
      <c r="L122" s="10">
        <v>1</v>
      </c>
      <c r="M122" s="10">
        <v>4</v>
      </c>
      <c r="N122" s="10">
        <v>4</v>
      </c>
      <c r="O122" s="10">
        <v>0</v>
      </c>
      <c r="P122" s="10">
        <v>0</v>
      </c>
      <c r="Q122" s="10">
        <v>1</v>
      </c>
      <c r="R122" s="10">
        <v>1</v>
      </c>
      <c r="S122" s="11">
        <v>1</v>
      </c>
    </row>
    <row r="123" spans="1:19" x14ac:dyDescent="0.3">
      <c r="A123" s="9" t="s">
        <v>34</v>
      </c>
      <c r="B123" s="10">
        <v>1</v>
      </c>
      <c r="C123" s="10">
        <v>1</v>
      </c>
      <c r="D123" s="10">
        <v>1</v>
      </c>
      <c r="E123" s="10">
        <v>6</v>
      </c>
      <c r="F123" s="10">
        <v>0</v>
      </c>
      <c r="G123" s="10">
        <v>1</v>
      </c>
      <c r="H123" s="10">
        <v>500</v>
      </c>
      <c r="I123" s="10">
        <v>9</v>
      </c>
      <c r="J123" s="10">
        <v>2</v>
      </c>
      <c r="K123" s="10">
        <v>4</v>
      </c>
      <c r="L123" s="10">
        <v>2</v>
      </c>
      <c r="M123" s="10">
        <v>4</v>
      </c>
      <c r="N123" s="10">
        <v>3</v>
      </c>
      <c r="O123" s="10">
        <v>0</v>
      </c>
      <c r="P123" s="10">
        <v>0</v>
      </c>
      <c r="Q123" s="10">
        <v>1</v>
      </c>
      <c r="R123" s="10">
        <v>1</v>
      </c>
      <c r="S123" s="11">
        <v>1</v>
      </c>
    </row>
    <row r="124" spans="1:19" x14ac:dyDescent="0.3">
      <c r="A124" s="9" t="s">
        <v>33</v>
      </c>
      <c r="B124" s="10">
        <v>1</v>
      </c>
      <c r="C124" s="10">
        <v>0</v>
      </c>
      <c r="D124" s="10">
        <v>1</v>
      </c>
      <c r="E124" s="10">
        <v>1</v>
      </c>
      <c r="F124" s="10">
        <v>0</v>
      </c>
      <c r="G124" s="10">
        <v>7</v>
      </c>
      <c r="H124" s="10">
        <v>450</v>
      </c>
      <c r="I124" s="10">
        <v>3</v>
      </c>
      <c r="J124" s="10">
        <v>1</v>
      </c>
      <c r="K124" s="10">
        <v>3</v>
      </c>
      <c r="L124" s="10">
        <v>1</v>
      </c>
      <c r="M124" s="10">
        <v>3</v>
      </c>
      <c r="N124" s="10">
        <v>4</v>
      </c>
      <c r="O124" s="10">
        <v>1</v>
      </c>
      <c r="P124" s="10">
        <v>0</v>
      </c>
      <c r="Q124" s="10">
        <v>1</v>
      </c>
      <c r="R124" s="10">
        <v>1</v>
      </c>
      <c r="S124" s="11">
        <v>1</v>
      </c>
    </row>
    <row r="125" spans="1:19" x14ac:dyDescent="0.3">
      <c r="A125" s="9" t="s">
        <v>32</v>
      </c>
      <c r="B125" s="10">
        <v>1</v>
      </c>
      <c r="C125" s="10">
        <v>0</v>
      </c>
      <c r="D125" s="10">
        <v>1</v>
      </c>
      <c r="E125" s="10">
        <v>1</v>
      </c>
      <c r="F125" s="10">
        <v>0</v>
      </c>
      <c r="G125" s="10">
        <v>7</v>
      </c>
      <c r="H125" s="10">
        <v>450</v>
      </c>
      <c r="I125" s="10">
        <v>3</v>
      </c>
      <c r="J125" s="10">
        <v>2</v>
      </c>
      <c r="K125" s="10">
        <v>3</v>
      </c>
      <c r="L125" s="10">
        <v>1</v>
      </c>
      <c r="M125" s="10">
        <v>3</v>
      </c>
      <c r="N125" s="10">
        <v>3</v>
      </c>
      <c r="O125" s="10">
        <v>1</v>
      </c>
      <c r="P125" s="10">
        <v>0</v>
      </c>
      <c r="Q125" s="10">
        <v>1</v>
      </c>
      <c r="R125" s="10">
        <v>1</v>
      </c>
      <c r="S125" s="11">
        <v>1</v>
      </c>
    </row>
    <row r="126" spans="1:19" x14ac:dyDescent="0.3">
      <c r="A126" s="9" t="s">
        <v>31</v>
      </c>
      <c r="B126" s="10">
        <v>1</v>
      </c>
      <c r="C126" s="10">
        <v>1</v>
      </c>
      <c r="D126" s="10">
        <v>3</v>
      </c>
      <c r="E126" s="10">
        <v>1</v>
      </c>
      <c r="F126" s="10">
        <v>0</v>
      </c>
      <c r="G126" s="10">
        <v>7</v>
      </c>
      <c r="H126" s="10">
        <v>450</v>
      </c>
      <c r="I126" s="10">
        <v>6</v>
      </c>
      <c r="J126" s="10">
        <v>1</v>
      </c>
      <c r="K126" s="10">
        <v>4</v>
      </c>
      <c r="L126" s="10">
        <v>1</v>
      </c>
      <c r="M126" s="10">
        <v>4</v>
      </c>
      <c r="N126" s="10">
        <v>3</v>
      </c>
      <c r="O126" s="10">
        <v>0</v>
      </c>
      <c r="P126" s="10">
        <v>0</v>
      </c>
      <c r="Q126" s="10">
        <v>1</v>
      </c>
      <c r="R126" s="10">
        <v>1</v>
      </c>
      <c r="S126" s="11">
        <v>1</v>
      </c>
    </row>
    <row r="127" spans="1:19" x14ac:dyDescent="0.3">
      <c r="A127" s="9" t="s">
        <v>30</v>
      </c>
      <c r="B127" s="10">
        <v>1</v>
      </c>
      <c r="C127" s="10">
        <v>1</v>
      </c>
      <c r="D127" s="10">
        <v>3</v>
      </c>
      <c r="E127" s="10">
        <v>1</v>
      </c>
      <c r="F127" s="10">
        <v>1</v>
      </c>
      <c r="G127" s="10">
        <v>3</v>
      </c>
      <c r="H127" s="10">
        <v>1500</v>
      </c>
      <c r="I127" s="10">
        <v>6</v>
      </c>
      <c r="J127" s="10">
        <v>7</v>
      </c>
      <c r="K127" s="10">
        <v>4</v>
      </c>
      <c r="L127" s="10">
        <v>1</v>
      </c>
      <c r="M127" s="10">
        <v>4</v>
      </c>
      <c r="N127" s="10">
        <v>3</v>
      </c>
      <c r="O127" s="10">
        <v>0</v>
      </c>
      <c r="P127" s="10">
        <v>0</v>
      </c>
      <c r="Q127" s="10">
        <v>1</v>
      </c>
      <c r="R127" s="10">
        <v>1</v>
      </c>
      <c r="S127" s="11">
        <v>1</v>
      </c>
    </row>
    <row r="128" spans="1:19" x14ac:dyDescent="0.3">
      <c r="A128" s="9" t="s">
        <v>29</v>
      </c>
      <c r="B128" s="10">
        <v>1</v>
      </c>
      <c r="C128" s="10">
        <v>0</v>
      </c>
      <c r="D128" s="10">
        <v>1</v>
      </c>
      <c r="E128" s="10">
        <v>1</v>
      </c>
      <c r="F128" s="10">
        <v>0</v>
      </c>
      <c r="G128" s="10">
        <v>7</v>
      </c>
      <c r="H128" s="10">
        <v>1000</v>
      </c>
      <c r="I128" s="10">
        <v>2</v>
      </c>
      <c r="J128" s="10">
        <v>1</v>
      </c>
      <c r="K128" s="10">
        <v>4</v>
      </c>
      <c r="L128" s="10">
        <v>1</v>
      </c>
      <c r="M128" s="10">
        <v>4</v>
      </c>
      <c r="N128" s="10">
        <v>2</v>
      </c>
      <c r="O128" s="10">
        <v>1</v>
      </c>
      <c r="P128" s="10">
        <v>0</v>
      </c>
      <c r="Q128" s="10">
        <v>1</v>
      </c>
      <c r="R128" s="10">
        <v>1</v>
      </c>
      <c r="S128" s="11">
        <v>1</v>
      </c>
    </row>
    <row r="129" spans="1:19" x14ac:dyDescent="0.3">
      <c r="A129" s="9" t="s">
        <v>28</v>
      </c>
      <c r="B129" s="10">
        <v>1</v>
      </c>
      <c r="C129" s="10">
        <v>0</v>
      </c>
      <c r="D129" s="10">
        <v>1</v>
      </c>
      <c r="E129" s="10">
        <v>1</v>
      </c>
      <c r="F129" s="10">
        <v>1</v>
      </c>
      <c r="G129" s="10">
        <v>7</v>
      </c>
      <c r="H129" s="10">
        <v>3000</v>
      </c>
      <c r="I129" s="10">
        <v>5</v>
      </c>
      <c r="J129" s="10">
        <v>4</v>
      </c>
      <c r="K129" s="10">
        <v>5</v>
      </c>
      <c r="L129" s="10">
        <v>1</v>
      </c>
      <c r="M129" s="10">
        <v>4</v>
      </c>
      <c r="N129" s="10">
        <v>4</v>
      </c>
      <c r="O129" s="10">
        <v>1</v>
      </c>
      <c r="P129" s="10">
        <v>0</v>
      </c>
      <c r="Q129" s="10">
        <v>1</v>
      </c>
      <c r="R129" s="10">
        <v>1</v>
      </c>
      <c r="S129" s="11">
        <v>1</v>
      </c>
    </row>
    <row r="130" spans="1:19" x14ac:dyDescent="0.3">
      <c r="A130" s="9" t="s">
        <v>27</v>
      </c>
      <c r="B130" s="10">
        <v>1</v>
      </c>
      <c r="C130" s="10">
        <v>1</v>
      </c>
      <c r="D130" s="10">
        <v>1</v>
      </c>
      <c r="E130" s="10">
        <v>1</v>
      </c>
      <c r="F130" s="10">
        <v>0</v>
      </c>
      <c r="G130" s="10">
        <v>4</v>
      </c>
      <c r="H130" s="10">
        <v>1500</v>
      </c>
      <c r="I130" s="10">
        <v>9</v>
      </c>
      <c r="J130" s="10">
        <v>3</v>
      </c>
      <c r="K130" s="10">
        <v>4</v>
      </c>
      <c r="L130" s="10">
        <v>1</v>
      </c>
      <c r="M130" s="10">
        <v>4</v>
      </c>
      <c r="N130" s="10">
        <v>2</v>
      </c>
      <c r="O130" s="10">
        <v>0</v>
      </c>
      <c r="P130" s="10">
        <v>0</v>
      </c>
      <c r="Q130" s="10">
        <v>1</v>
      </c>
      <c r="R130" s="10">
        <v>1</v>
      </c>
      <c r="S130" s="11">
        <v>1</v>
      </c>
    </row>
    <row r="131" spans="1:19" x14ac:dyDescent="0.3">
      <c r="A131" s="9" t="s">
        <v>26</v>
      </c>
      <c r="B131" s="10">
        <v>1</v>
      </c>
      <c r="C131" s="10">
        <v>1</v>
      </c>
      <c r="D131" s="10">
        <v>1</v>
      </c>
      <c r="E131" s="10">
        <v>1</v>
      </c>
      <c r="F131" s="10">
        <v>0</v>
      </c>
      <c r="G131" s="10">
        <v>7</v>
      </c>
      <c r="H131" s="10">
        <v>2500</v>
      </c>
      <c r="I131" s="10">
        <v>5</v>
      </c>
      <c r="J131" s="10">
        <v>3</v>
      </c>
      <c r="K131" s="10">
        <v>4</v>
      </c>
      <c r="L131" s="10">
        <v>2</v>
      </c>
      <c r="M131" s="10">
        <v>4</v>
      </c>
      <c r="N131" s="10">
        <v>4</v>
      </c>
      <c r="O131" s="10">
        <v>0</v>
      </c>
      <c r="P131" s="10">
        <v>1</v>
      </c>
      <c r="Q131" s="10">
        <v>1</v>
      </c>
      <c r="R131" s="10">
        <v>0</v>
      </c>
      <c r="S131" s="11">
        <v>1</v>
      </c>
    </row>
    <row r="132" spans="1:19" x14ac:dyDescent="0.3">
      <c r="A132" s="9" t="s">
        <v>26</v>
      </c>
      <c r="B132" s="10">
        <v>1</v>
      </c>
      <c r="C132" s="10">
        <v>1</v>
      </c>
      <c r="D132" s="10">
        <v>1</v>
      </c>
      <c r="E132" s="10">
        <v>1</v>
      </c>
      <c r="F132" s="10">
        <v>0</v>
      </c>
      <c r="G132" s="10">
        <v>7</v>
      </c>
      <c r="H132" s="10">
        <v>1500</v>
      </c>
      <c r="I132" s="10">
        <v>5</v>
      </c>
      <c r="J132" s="10">
        <v>2</v>
      </c>
      <c r="K132" s="10">
        <v>3</v>
      </c>
      <c r="L132" s="10">
        <v>1</v>
      </c>
      <c r="M132" s="10">
        <v>2</v>
      </c>
      <c r="N132" s="10">
        <v>4</v>
      </c>
      <c r="O132" s="10">
        <v>1</v>
      </c>
      <c r="P132" s="10">
        <v>0</v>
      </c>
      <c r="Q132" s="10">
        <v>1</v>
      </c>
      <c r="R132" s="10">
        <v>1</v>
      </c>
      <c r="S132" s="11">
        <v>1</v>
      </c>
    </row>
    <row r="133" spans="1:19" x14ac:dyDescent="0.3">
      <c r="A133" s="9" t="s">
        <v>26</v>
      </c>
      <c r="B133" s="10">
        <v>1</v>
      </c>
      <c r="C133" s="10">
        <v>1</v>
      </c>
      <c r="D133" s="10">
        <v>1</v>
      </c>
      <c r="E133" s="10">
        <v>1</v>
      </c>
      <c r="F133" s="10">
        <v>0</v>
      </c>
      <c r="G133" s="10">
        <v>7</v>
      </c>
      <c r="H133" s="10">
        <v>450</v>
      </c>
      <c r="I133" s="10">
        <v>2</v>
      </c>
      <c r="J133" s="10">
        <v>2</v>
      </c>
      <c r="K133" s="10">
        <v>3</v>
      </c>
      <c r="L133" s="10">
        <v>1</v>
      </c>
      <c r="M133" s="10">
        <v>4</v>
      </c>
      <c r="N133" s="10">
        <v>3</v>
      </c>
      <c r="O133" s="10">
        <v>1</v>
      </c>
      <c r="P133" s="10">
        <v>0</v>
      </c>
      <c r="Q133" s="10">
        <v>0</v>
      </c>
      <c r="R133" s="10">
        <v>1</v>
      </c>
      <c r="S133" s="11">
        <v>1</v>
      </c>
    </row>
    <row r="134" spans="1:19" x14ac:dyDescent="0.3">
      <c r="A134" s="9" t="s">
        <v>26</v>
      </c>
      <c r="B134" s="10">
        <v>1</v>
      </c>
      <c r="C134" s="10">
        <v>1</v>
      </c>
      <c r="D134" s="10">
        <v>3</v>
      </c>
      <c r="E134" s="10">
        <v>1</v>
      </c>
      <c r="F134" s="10">
        <v>0</v>
      </c>
      <c r="G134" s="10">
        <v>7</v>
      </c>
      <c r="H134" s="10">
        <v>1500</v>
      </c>
      <c r="I134" s="10">
        <v>5</v>
      </c>
      <c r="J134" s="10">
        <v>4</v>
      </c>
      <c r="K134" s="10">
        <v>2</v>
      </c>
      <c r="L134" s="10">
        <v>1</v>
      </c>
      <c r="M134" s="10">
        <v>4</v>
      </c>
      <c r="N134" s="10">
        <v>3</v>
      </c>
      <c r="O134" s="10">
        <v>0</v>
      </c>
      <c r="P134" s="10">
        <v>0</v>
      </c>
      <c r="Q134" s="10">
        <v>1</v>
      </c>
      <c r="R134" s="10">
        <v>0</v>
      </c>
      <c r="S134" s="11">
        <v>1</v>
      </c>
    </row>
    <row r="135" spans="1:19" x14ac:dyDescent="0.3">
      <c r="A135" s="9" t="s">
        <v>26</v>
      </c>
      <c r="B135" s="10">
        <v>1</v>
      </c>
      <c r="C135" s="10">
        <v>1</v>
      </c>
      <c r="D135" s="10">
        <v>1</v>
      </c>
      <c r="E135" s="10">
        <v>1</v>
      </c>
      <c r="F135" s="10">
        <v>0</v>
      </c>
      <c r="G135" s="10">
        <v>0</v>
      </c>
      <c r="H135" s="10">
        <v>500</v>
      </c>
      <c r="I135" s="10">
        <v>2</v>
      </c>
      <c r="J135" s="10">
        <v>2</v>
      </c>
      <c r="K135" s="10">
        <v>3</v>
      </c>
      <c r="L135" s="10">
        <v>1</v>
      </c>
      <c r="M135" s="10">
        <v>5</v>
      </c>
      <c r="N135" s="10">
        <v>3</v>
      </c>
      <c r="O135" s="10">
        <v>0</v>
      </c>
      <c r="P135" s="10">
        <v>0</v>
      </c>
      <c r="Q135" s="10">
        <v>0</v>
      </c>
      <c r="R135" s="10">
        <v>1</v>
      </c>
      <c r="S135" s="11">
        <v>1</v>
      </c>
    </row>
    <row r="136" spans="1:19" x14ac:dyDescent="0.3">
      <c r="A136" s="9" t="s">
        <v>26</v>
      </c>
      <c r="B136" s="10">
        <v>1</v>
      </c>
      <c r="C136" s="10">
        <v>1</v>
      </c>
      <c r="D136" s="10">
        <v>1</v>
      </c>
      <c r="E136" s="10">
        <v>1</v>
      </c>
      <c r="F136" s="10">
        <v>1</v>
      </c>
      <c r="G136" s="10">
        <v>4</v>
      </c>
      <c r="H136" s="10">
        <v>4500</v>
      </c>
      <c r="I136" s="10">
        <v>2</v>
      </c>
      <c r="J136" s="10">
        <v>3</v>
      </c>
      <c r="K136" s="10">
        <v>3</v>
      </c>
      <c r="L136" s="10">
        <v>1</v>
      </c>
      <c r="M136" s="10">
        <v>4</v>
      </c>
      <c r="N136" s="10">
        <v>4</v>
      </c>
      <c r="O136" s="10">
        <v>1</v>
      </c>
      <c r="P136" s="10">
        <v>0</v>
      </c>
      <c r="Q136" s="10">
        <v>1</v>
      </c>
      <c r="R136" s="10">
        <v>1</v>
      </c>
      <c r="S136" s="11">
        <v>1</v>
      </c>
    </row>
    <row r="137" spans="1:19" x14ac:dyDescent="0.3">
      <c r="A137" s="9" t="s">
        <v>26</v>
      </c>
      <c r="B137" s="10">
        <v>1</v>
      </c>
      <c r="C137" s="10">
        <v>1</v>
      </c>
      <c r="D137" s="10">
        <v>1</v>
      </c>
      <c r="E137" s="10">
        <v>6</v>
      </c>
      <c r="F137" s="10">
        <v>0</v>
      </c>
      <c r="G137" s="10">
        <v>7</v>
      </c>
      <c r="H137" s="10">
        <v>2500</v>
      </c>
      <c r="I137" s="10">
        <v>5</v>
      </c>
      <c r="J137" s="10">
        <v>1</v>
      </c>
      <c r="K137" s="10">
        <v>4</v>
      </c>
      <c r="L137" s="10">
        <v>1</v>
      </c>
      <c r="M137" s="10">
        <v>4</v>
      </c>
      <c r="N137" s="10">
        <v>4</v>
      </c>
      <c r="O137" s="10">
        <v>0</v>
      </c>
      <c r="P137" s="10">
        <v>1</v>
      </c>
      <c r="Q137" s="10">
        <v>1</v>
      </c>
      <c r="R137" s="10">
        <v>1</v>
      </c>
      <c r="S137" s="11">
        <v>1</v>
      </c>
    </row>
    <row r="138" spans="1:19" x14ac:dyDescent="0.3">
      <c r="A138" s="9" t="s">
        <v>25</v>
      </c>
      <c r="B138" s="10">
        <v>0</v>
      </c>
      <c r="C138" s="10">
        <v>1</v>
      </c>
      <c r="D138" s="10">
        <v>3</v>
      </c>
      <c r="E138" s="10">
        <v>6</v>
      </c>
      <c r="F138" s="10">
        <v>0</v>
      </c>
      <c r="G138" s="10">
        <v>7</v>
      </c>
      <c r="H138" s="10">
        <v>1500</v>
      </c>
      <c r="I138" s="10">
        <v>6</v>
      </c>
      <c r="J138" s="10">
        <v>3</v>
      </c>
      <c r="K138" s="10">
        <v>2</v>
      </c>
      <c r="L138" s="10">
        <v>1</v>
      </c>
      <c r="M138" s="10">
        <v>4</v>
      </c>
      <c r="N138" s="10">
        <v>3</v>
      </c>
      <c r="O138" s="10">
        <v>0</v>
      </c>
      <c r="P138" s="10">
        <v>0</v>
      </c>
      <c r="Q138" s="10">
        <v>1</v>
      </c>
      <c r="R138" s="10">
        <v>1</v>
      </c>
      <c r="S138" s="11">
        <v>1</v>
      </c>
    </row>
    <row r="139" spans="1:19" x14ac:dyDescent="0.3">
      <c r="A139" s="9" t="s">
        <v>25</v>
      </c>
      <c r="B139" s="10">
        <v>1</v>
      </c>
      <c r="C139" s="10">
        <v>0</v>
      </c>
      <c r="D139" s="10">
        <v>4</v>
      </c>
      <c r="E139" s="10">
        <v>1</v>
      </c>
      <c r="F139" s="10">
        <v>0</v>
      </c>
      <c r="G139" s="10">
        <v>10</v>
      </c>
      <c r="H139" s="10">
        <v>1000</v>
      </c>
      <c r="I139" s="10">
        <v>7</v>
      </c>
      <c r="J139" s="10">
        <v>4</v>
      </c>
      <c r="K139" s="10">
        <v>4</v>
      </c>
      <c r="L139" s="10">
        <v>1</v>
      </c>
      <c r="M139" s="10">
        <v>4</v>
      </c>
      <c r="N139" s="10">
        <v>2</v>
      </c>
      <c r="O139" s="10">
        <v>0</v>
      </c>
      <c r="P139" s="10">
        <v>0</v>
      </c>
      <c r="Q139" s="10">
        <v>0</v>
      </c>
      <c r="R139" s="10">
        <v>1</v>
      </c>
      <c r="S139" s="11">
        <v>1</v>
      </c>
    </row>
    <row r="140" spans="1:19" x14ac:dyDescent="0.3">
      <c r="A140" s="9" t="s">
        <v>25</v>
      </c>
      <c r="B140" s="10">
        <v>1</v>
      </c>
      <c r="C140" s="10">
        <v>0</v>
      </c>
      <c r="D140" s="10">
        <v>2</v>
      </c>
      <c r="E140" s="10">
        <v>1</v>
      </c>
      <c r="F140" s="10">
        <v>0</v>
      </c>
      <c r="G140" s="10">
        <v>7</v>
      </c>
      <c r="H140" s="10">
        <v>450</v>
      </c>
      <c r="I140" s="10">
        <v>2</v>
      </c>
      <c r="J140" s="10">
        <v>5</v>
      </c>
      <c r="K140" s="10">
        <v>4</v>
      </c>
      <c r="L140" s="10">
        <v>1</v>
      </c>
      <c r="M140" s="10">
        <v>4</v>
      </c>
      <c r="N140" s="10">
        <v>3</v>
      </c>
      <c r="O140" s="10">
        <v>0</v>
      </c>
      <c r="P140" s="10">
        <v>0</v>
      </c>
      <c r="Q140" s="10">
        <v>1</v>
      </c>
      <c r="R140" s="10">
        <v>1</v>
      </c>
      <c r="S140" s="11">
        <v>1</v>
      </c>
    </row>
    <row r="141" spans="1:19" x14ac:dyDescent="0.3">
      <c r="A141" s="9" t="s">
        <v>25</v>
      </c>
      <c r="B141" s="10">
        <v>1</v>
      </c>
      <c r="C141" s="10">
        <v>1</v>
      </c>
      <c r="D141" s="10">
        <v>5</v>
      </c>
      <c r="E141" s="10">
        <v>6</v>
      </c>
      <c r="F141" s="10">
        <v>0</v>
      </c>
      <c r="G141" s="10">
        <v>7</v>
      </c>
      <c r="H141" s="10">
        <v>450</v>
      </c>
      <c r="I141" s="10">
        <v>2</v>
      </c>
      <c r="J141" s="10">
        <v>3</v>
      </c>
      <c r="K141" s="10">
        <v>3</v>
      </c>
      <c r="L141" s="10">
        <v>1</v>
      </c>
      <c r="M141" s="10">
        <v>4</v>
      </c>
      <c r="N141" s="10">
        <v>3</v>
      </c>
      <c r="O141" s="10">
        <v>1</v>
      </c>
      <c r="P141" s="10">
        <v>0</v>
      </c>
      <c r="Q141" s="10">
        <v>0</v>
      </c>
      <c r="R141" s="10">
        <v>1</v>
      </c>
      <c r="S141" s="11">
        <v>1</v>
      </c>
    </row>
    <row r="142" spans="1:19" x14ac:dyDescent="0.3">
      <c r="A142" s="9" t="s">
        <v>25</v>
      </c>
      <c r="B142" s="10">
        <v>1</v>
      </c>
      <c r="C142" s="10">
        <v>0</v>
      </c>
      <c r="D142" s="10">
        <v>1</v>
      </c>
      <c r="E142" s="10">
        <v>1</v>
      </c>
      <c r="F142" s="10">
        <v>0</v>
      </c>
      <c r="G142" s="10">
        <v>7</v>
      </c>
      <c r="H142" s="10">
        <v>1500</v>
      </c>
      <c r="I142" s="10">
        <v>5</v>
      </c>
      <c r="J142" s="10">
        <v>3</v>
      </c>
      <c r="K142" s="10">
        <v>4</v>
      </c>
      <c r="L142" s="10">
        <v>1</v>
      </c>
      <c r="M142" s="10">
        <v>4</v>
      </c>
      <c r="N142" s="10">
        <v>3</v>
      </c>
      <c r="O142" s="10">
        <v>0</v>
      </c>
      <c r="P142" s="10">
        <v>0</v>
      </c>
      <c r="Q142" s="10">
        <v>1</v>
      </c>
      <c r="R142" s="10">
        <v>1</v>
      </c>
      <c r="S142" s="11">
        <v>1</v>
      </c>
    </row>
    <row r="143" spans="1:19" x14ac:dyDescent="0.3">
      <c r="A143" s="9" t="s">
        <v>25</v>
      </c>
      <c r="B143" s="10">
        <v>1</v>
      </c>
      <c r="C143" s="10">
        <v>1</v>
      </c>
      <c r="D143" s="10">
        <v>1</v>
      </c>
      <c r="E143" s="10">
        <v>1</v>
      </c>
      <c r="F143" s="10">
        <v>0</v>
      </c>
      <c r="G143" s="10">
        <v>7</v>
      </c>
      <c r="H143" s="10">
        <v>2000</v>
      </c>
      <c r="I143" s="10">
        <v>2</v>
      </c>
      <c r="J143" s="10">
        <v>1</v>
      </c>
      <c r="K143" s="10">
        <v>4</v>
      </c>
      <c r="L143" s="10">
        <v>1</v>
      </c>
      <c r="M143" s="10">
        <v>5</v>
      </c>
      <c r="N143" s="10">
        <v>4</v>
      </c>
      <c r="O143" s="10">
        <v>0</v>
      </c>
      <c r="P143" s="10">
        <v>1</v>
      </c>
      <c r="Q143" s="10">
        <v>0</v>
      </c>
      <c r="R143" s="10">
        <v>1</v>
      </c>
      <c r="S143" s="11">
        <v>1</v>
      </c>
    </row>
    <row r="144" spans="1:19" x14ac:dyDescent="0.3">
      <c r="A144" s="9" t="s">
        <v>23</v>
      </c>
      <c r="B144" s="10">
        <v>1</v>
      </c>
      <c r="C144" s="10">
        <v>1</v>
      </c>
      <c r="D144" s="10">
        <v>4</v>
      </c>
      <c r="E144" s="10">
        <v>5</v>
      </c>
      <c r="F144" s="10">
        <v>0</v>
      </c>
      <c r="G144" s="10">
        <v>5</v>
      </c>
      <c r="H144" s="10">
        <v>1000</v>
      </c>
      <c r="I144" s="10">
        <v>2</v>
      </c>
      <c r="J144" s="10">
        <v>4</v>
      </c>
      <c r="K144" s="10">
        <v>4</v>
      </c>
      <c r="L144" s="10">
        <v>1</v>
      </c>
      <c r="M144" s="10">
        <v>4</v>
      </c>
      <c r="N144" s="10">
        <v>4</v>
      </c>
      <c r="O144" s="10">
        <v>0</v>
      </c>
      <c r="P144" s="10">
        <v>0</v>
      </c>
      <c r="Q144" s="10">
        <v>0</v>
      </c>
      <c r="R144" s="10">
        <v>1</v>
      </c>
      <c r="S144" s="11">
        <v>1</v>
      </c>
    </row>
    <row r="145" spans="1:19" x14ac:dyDescent="0.3">
      <c r="A145" s="9" t="s">
        <v>23</v>
      </c>
      <c r="B145" s="10">
        <v>1</v>
      </c>
      <c r="C145" s="10">
        <v>0</v>
      </c>
      <c r="D145" s="10">
        <v>2</v>
      </c>
      <c r="E145" s="10">
        <v>3</v>
      </c>
      <c r="F145" s="10">
        <v>0</v>
      </c>
      <c r="G145" s="10">
        <v>7</v>
      </c>
      <c r="H145" s="10">
        <v>450</v>
      </c>
      <c r="I145" s="10">
        <v>4</v>
      </c>
      <c r="J145" s="10">
        <v>2</v>
      </c>
      <c r="K145" s="10">
        <v>4</v>
      </c>
      <c r="L145" s="10">
        <v>1</v>
      </c>
      <c r="M145" s="10">
        <v>4</v>
      </c>
      <c r="N145" s="10">
        <v>3</v>
      </c>
      <c r="O145" s="10">
        <v>1</v>
      </c>
      <c r="P145" s="10">
        <v>1</v>
      </c>
      <c r="Q145" s="10">
        <v>1</v>
      </c>
      <c r="R145" s="10">
        <v>1</v>
      </c>
      <c r="S145" s="11">
        <v>1</v>
      </c>
    </row>
    <row r="146" spans="1:19" x14ac:dyDescent="0.3">
      <c r="A146" s="9" t="s">
        <v>23</v>
      </c>
      <c r="B146" s="10">
        <v>1</v>
      </c>
      <c r="C146" s="10">
        <v>1</v>
      </c>
      <c r="D146" s="10">
        <v>1</v>
      </c>
      <c r="E146" s="10">
        <v>1</v>
      </c>
      <c r="F146" s="10">
        <v>0</v>
      </c>
      <c r="G146" s="10">
        <v>7</v>
      </c>
      <c r="H146" s="10">
        <v>1000</v>
      </c>
      <c r="I146" s="10">
        <v>5</v>
      </c>
      <c r="J146" s="10">
        <v>1</v>
      </c>
      <c r="K146" s="10">
        <v>4</v>
      </c>
      <c r="L146" s="10">
        <v>1</v>
      </c>
      <c r="M146" s="10">
        <v>4</v>
      </c>
      <c r="N146" s="10">
        <v>4</v>
      </c>
      <c r="O146" s="10">
        <v>0</v>
      </c>
      <c r="P146" s="10">
        <v>0</v>
      </c>
      <c r="Q146" s="10">
        <v>1</v>
      </c>
      <c r="R146" s="10">
        <v>1</v>
      </c>
      <c r="S146" s="11">
        <v>1</v>
      </c>
    </row>
    <row r="147" spans="1:19" x14ac:dyDescent="0.3">
      <c r="A147" s="9" t="s">
        <v>22</v>
      </c>
      <c r="B147" s="10">
        <v>1</v>
      </c>
      <c r="C147" s="10">
        <v>1</v>
      </c>
      <c r="D147" s="10">
        <v>3</v>
      </c>
      <c r="E147" s="10">
        <v>1</v>
      </c>
      <c r="F147" s="10">
        <v>0</v>
      </c>
      <c r="G147" s="10">
        <v>7</v>
      </c>
      <c r="H147" s="10">
        <v>3500</v>
      </c>
      <c r="I147" s="10">
        <v>6</v>
      </c>
      <c r="J147" s="10">
        <v>1</v>
      </c>
      <c r="K147" s="10">
        <v>4</v>
      </c>
      <c r="L147" s="10">
        <v>1</v>
      </c>
      <c r="M147" s="10">
        <v>4</v>
      </c>
      <c r="N147" s="10">
        <v>4</v>
      </c>
      <c r="O147" s="10">
        <v>0</v>
      </c>
      <c r="P147" s="10">
        <v>0</v>
      </c>
      <c r="Q147" s="10">
        <v>0</v>
      </c>
      <c r="R147" s="10">
        <v>1</v>
      </c>
      <c r="S147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6EF1-7A61-470C-9C49-87D1DEB72099}">
  <dimension ref="B9"/>
  <sheetViews>
    <sheetView workbookViewId="0"/>
  </sheetViews>
  <sheetFormatPr defaultRowHeight="14.4" x14ac:dyDescent="0.3"/>
  <sheetData>
    <row r="9" spans="2:2" x14ac:dyDescent="0.3">
      <c r="B9">
        <f>1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00BE-B827-4E8B-9294-4C672A1B3750}">
  <dimension ref="A1:T68"/>
  <sheetViews>
    <sheetView workbookViewId="0"/>
  </sheetViews>
  <sheetFormatPr defaultColWidth="30.77734375" defaultRowHeight="14.4" x14ac:dyDescent="0.3"/>
  <cols>
    <col min="1" max="1" width="30.77734375" style="2"/>
    <col min="2" max="16384" width="30.77734375" style="1"/>
  </cols>
  <sheetData>
    <row r="1" spans="1:20" x14ac:dyDescent="0.3">
      <c r="A1" s="2" t="s">
        <v>174</v>
      </c>
      <c r="B1" s="1" t="s">
        <v>319</v>
      </c>
      <c r="C1" s="1" t="s">
        <v>165</v>
      </c>
      <c r="D1" s="1">
        <v>8</v>
      </c>
      <c r="E1" s="1" t="s">
        <v>166</v>
      </c>
      <c r="F1" s="1">
        <v>3</v>
      </c>
      <c r="G1" s="1" t="s">
        <v>167</v>
      </c>
      <c r="H1" s="1">
        <v>2</v>
      </c>
      <c r="I1" s="1" t="s">
        <v>168</v>
      </c>
      <c r="J1" s="1">
        <v>1</v>
      </c>
      <c r="K1" s="1" t="s">
        <v>169</v>
      </c>
      <c r="L1" s="1">
        <v>0</v>
      </c>
      <c r="M1" s="1" t="s">
        <v>170</v>
      </c>
      <c r="N1" s="1">
        <v>0</v>
      </c>
      <c r="O1" s="1" t="s">
        <v>171</v>
      </c>
      <c r="P1" s="1">
        <v>1</v>
      </c>
      <c r="Q1" s="1" t="s">
        <v>172</v>
      </c>
      <c r="R1" s="1">
        <v>0</v>
      </c>
      <c r="S1" s="1" t="s">
        <v>173</v>
      </c>
      <c r="T1" s="1">
        <v>0</v>
      </c>
    </row>
    <row r="2" spans="1:20" x14ac:dyDescent="0.3">
      <c r="A2" s="2" t="s">
        <v>176</v>
      </c>
      <c r="B2" s="1" t="s">
        <v>320</v>
      </c>
    </row>
    <row r="3" spans="1:20" x14ac:dyDescent="0.3">
      <c r="A3" s="2" t="s">
        <v>178</v>
      </c>
      <c r="B3" s="1" t="b">
        <f>IF(B10&gt;256,"TripUpST110AndEarlier",TRUE)</f>
        <v>1</v>
      </c>
    </row>
    <row r="4" spans="1:20" x14ac:dyDescent="0.3">
      <c r="A4" s="2" t="s">
        <v>179</v>
      </c>
      <c r="B4" s="1" t="s">
        <v>180</v>
      </c>
    </row>
    <row r="5" spans="1:20" x14ac:dyDescent="0.3">
      <c r="A5" s="2" t="s">
        <v>181</v>
      </c>
      <c r="B5" s="1" t="b">
        <v>1</v>
      </c>
    </row>
    <row r="6" spans="1:20" x14ac:dyDescent="0.3">
      <c r="A6" s="2" t="s">
        <v>182</v>
      </c>
      <c r="B6" s="1" t="b">
        <v>0</v>
      </c>
    </row>
    <row r="7" spans="1:20" x14ac:dyDescent="0.3">
      <c r="A7" s="2" t="s">
        <v>183</v>
      </c>
      <c r="B7" s="1">
        <f>Sheet5!$A:$S</f>
        <v>1</v>
      </c>
    </row>
    <row r="8" spans="1:20" x14ac:dyDescent="0.3">
      <c r="A8" s="2" t="s">
        <v>184</v>
      </c>
      <c r="B8" s="1">
        <v>2</v>
      </c>
    </row>
    <row r="9" spans="1:20" x14ac:dyDescent="0.3">
      <c r="A9" s="2" t="s">
        <v>185</v>
      </c>
      <c r="B9" s="15">
        <f>1</f>
        <v>1</v>
      </c>
    </row>
    <row r="10" spans="1:20" x14ac:dyDescent="0.3">
      <c r="A10" s="2" t="s">
        <v>186</v>
      </c>
      <c r="B10" s="1">
        <v>19</v>
      </c>
    </row>
    <row r="12" spans="1:20" x14ac:dyDescent="0.3">
      <c r="A12" s="2" t="s">
        <v>187</v>
      </c>
      <c r="B12" s="1" t="s">
        <v>349</v>
      </c>
      <c r="C12" s="1" t="s">
        <v>189</v>
      </c>
      <c r="D12" s="1" t="s">
        <v>321</v>
      </c>
      <c r="E12" s="1" t="b">
        <v>1</v>
      </c>
      <c r="F12" s="1">
        <v>0</v>
      </c>
      <c r="G12" s="1">
        <v>4</v>
      </c>
      <c r="H12" s="1">
        <v>1</v>
      </c>
    </row>
    <row r="13" spans="1:20" x14ac:dyDescent="0.3">
      <c r="A13" s="2" t="s">
        <v>191</v>
      </c>
      <c r="B13" s="1" t="str">
        <f>Sheet5!$A:$A</f>
        <v>2022-11-07T20:53:25</v>
      </c>
    </row>
    <row r="14" spans="1:20" x14ac:dyDescent="0.3">
      <c r="A14" s="2" t="s">
        <v>192</v>
      </c>
    </row>
    <row r="15" spans="1:20" x14ac:dyDescent="0.3">
      <c r="A15" s="2" t="s">
        <v>193</v>
      </c>
      <c r="B15" s="1" t="s">
        <v>350</v>
      </c>
      <c r="C15" s="1" t="s">
        <v>195</v>
      </c>
      <c r="D15" s="1" t="s">
        <v>322</v>
      </c>
      <c r="E15" s="1" t="b">
        <v>1</v>
      </c>
      <c r="F15" s="1">
        <v>0</v>
      </c>
      <c r="G15" s="1">
        <v>4</v>
      </c>
      <c r="H15" s="1">
        <v>0</v>
      </c>
    </row>
    <row r="16" spans="1:20" x14ac:dyDescent="0.3">
      <c r="A16" s="2" t="s">
        <v>197</v>
      </c>
      <c r="B16" s="1">
        <f>Sheet5!$B:$B</f>
        <v>1</v>
      </c>
    </row>
    <row r="17" spans="1:8" x14ac:dyDescent="0.3">
      <c r="A17" s="2" t="s">
        <v>198</v>
      </c>
    </row>
    <row r="18" spans="1:8" x14ac:dyDescent="0.3">
      <c r="A18" s="2" t="s">
        <v>199</v>
      </c>
      <c r="B18" s="1" t="s">
        <v>351</v>
      </c>
      <c r="C18" s="1" t="s">
        <v>201</v>
      </c>
      <c r="D18" s="1" t="s">
        <v>323</v>
      </c>
      <c r="E18" s="1" t="b">
        <v>1</v>
      </c>
      <c r="F18" s="1">
        <v>0</v>
      </c>
      <c r="G18" s="1">
        <v>4</v>
      </c>
      <c r="H18" s="1">
        <v>0</v>
      </c>
    </row>
    <row r="19" spans="1:8" x14ac:dyDescent="0.3">
      <c r="A19" s="2" t="s">
        <v>203</v>
      </c>
      <c r="B19" s="1">
        <f>Sheet5!$C:$C</f>
        <v>0</v>
      </c>
    </row>
    <row r="20" spans="1:8" x14ac:dyDescent="0.3">
      <c r="A20" s="2" t="s">
        <v>204</v>
      </c>
    </row>
    <row r="21" spans="1:8" x14ac:dyDescent="0.3">
      <c r="A21" s="2" t="s">
        <v>205</v>
      </c>
      <c r="B21" s="1" t="s">
        <v>352</v>
      </c>
      <c r="C21" s="1" t="s">
        <v>207</v>
      </c>
      <c r="D21" s="1" t="s">
        <v>324</v>
      </c>
      <c r="E21" s="1" t="b">
        <v>1</v>
      </c>
      <c r="F21" s="1">
        <v>0</v>
      </c>
      <c r="G21" s="1">
        <v>4</v>
      </c>
      <c r="H21" s="1">
        <v>0</v>
      </c>
    </row>
    <row r="22" spans="1:8" x14ac:dyDescent="0.3">
      <c r="A22" s="2" t="s">
        <v>209</v>
      </c>
      <c r="B22" s="1">
        <f>Sheet5!$D:$D</f>
        <v>1</v>
      </c>
    </row>
    <row r="23" spans="1:8" x14ac:dyDescent="0.3">
      <c r="A23" s="2" t="s">
        <v>210</v>
      </c>
    </row>
    <row r="24" spans="1:8" x14ac:dyDescent="0.3">
      <c r="A24" s="2" t="s">
        <v>211</v>
      </c>
      <c r="B24" s="1" t="s">
        <v>353</v>
      </c>
      <c r="C24" s="1" t="s">
        <v>213</v>
      </c>
      <c r="D24" s="1" t="s">
        <v>325</v>
      </c>
      <c r="E24" s="1" t="b">
        <v>1</v>
      </c>
      <c r="F24" s="1">
        <v>0</v>
      </c>
      <c r="G24" s="1">
        <v>4</v>
      </c>
      <c r="H24" s="1">
        <v>0</v>
      </c>
    </row>
    <row r="25" spans="1:8" x14ac:dyDescent="0.3">
      <c r="A25" s="2" t="s">
        <v>215</v>
      </c>
      <c r="B25" s="1">
        <f>Sheet5!$E:$E</f>
        <v>1</v>
      </c>
    </row>
    <row r="26" spans="1:8" x14ac:dyDescent="0.3">
      <c r="A26" s="2" t="s">
        <v>216</v>
      </c>
    </row>
    <row r="27" spans="1:8" x14ac:dyDescent="0.3">
      <c r="A27" s="2" t="s">
        <v>217</v>
      </c>
      <c r="B27" s="1" t="s">
        <v>354</v>
      </c>
      <c r="C27" s="1" t="s">
        <v>219</v>
      </c>
      <c r="D27" s="1" t="s">
        <v>326</v>
      </c>
      <c r="E27" s="1" t="b">
        <v>1</v>
      </c>
      <c r="F27" s="1">
        <v>0</v>
      </c>
      <c r="G27" s="1">
        <v>4</v>
      </c>
      <c r="H27" s="1">
        <v>0</v>
      </c>
    </row>
    <row r="28" spans="1:8" x14ac:dyDescent="0.3">
      <c r="A28" s="2" t="s">
        <v>221</v>
      </c>
      <c r="B28" s="1">
        <f>Sheet5!$F:$F</f>
        <v>0</v>
      </c>
    </row>
    <row r="29" spans="1:8" x14ac:dyDescent="0.3">
      <c r="A29" s="2" t="s">
        <v>222</v>
      </c>
    </row>
    <row r="30" spans="1:8" x14ac:dyDescent="0.3">
      <c r="A30" s="2" t="s">
        <v>223</v>
      </c>
      <c r="B30" s="1" t="s">
        <v>355</v>
      </c>
      <c r="C30" s="1" t="s">
        <v>225</v>
      </c>
      <c r="D30" s="1" t="s">
        <v>327</v>
      </c>
      <c r="E30" s="1" t="b">
        <v>1</v>
      </c>
      <c r="F30" s="1">
        <v>0</v>
      </c>
      <c r="G30" s="1">
        <v>4</v>
      </c>
      <c r="H30" s="1">
        <v>0</v>
      </c>
    </row>
    <row r="31" spans="1:8" x14ac:dyDescent="0.3">
      <c r="A31" s="2" t="s">
        <v>227</v>
      </c>
      <c r="B31" s="1">
        <f>Sheet5!$G:$G</f>
        <v>7</v>
      </c>
    </row>
    <row r="32" spans="1:8" x14ac:dyDescent="0.3">
      <c r="A32" s="2" t="s">
        <v>228</v>
      </c>
    </row>
    <row r="33" spans="1:8" x14ac:dyDescent="0.3">
      <c r="A33" s="2" t="s">
        <v>229</v>
      </c>
      <c r="B33" s="1" t="s">
        <v>356</v>
      </c>
      <c r="C33" s="1" t="s">
        <v>231</v>
      </c>
      <c r="D33" s="1" t="s">
        <v>328</v>
      </c>
      <c r="E33" s="1" t="b">
        <v>1</v>
      </c>
      <c r="F33" s="1">
        <v>0</v>
      </c>
      <c r="G33" s="1">
        <v>4</v>
      </c>
      <c r="H33" s="1">
        <v>0</v>
      </c>
    </row>
    <row r="34" spans="1:8" x14ac:dyDescent="0.3">
      <c r="A34" s="2" t="s">
        <v>233</v>
      </c>
      <c r="B34" s="1">
        <f>Sheet5!$H:$H</f>
        <v>450</v>
      </c>
    </row>
    <row r="35" spans="1:8" x14ac:dyDescent="0.3">
      <c r="A35" s="2" t="s">
        <v>234</v>
      </c>
    </row>
    <row r="36" spans="1:8" x14ac:dyDescent="0.3">
      <c r="A36" s="2" t="s">
        <v>235</v>
      </c>
      <c r="B36" s="1" t="s">
        <v>357</v>
      </c>
      <c r="C36" s="1" t="s">
        <v>237</v>
      </c>
      <c r="D36" s="1" t="s">
        <v>329</v>
      </c>
      <c r="E36" s="1" t="b">
        <v>1</v>
      </c>
      <c r="F36" s="1">
        <v>0</v>
      </c>
      <c r="G36" s="1">
        <v>4</v>
      </c>
      <c r="H36" s="1">
        <v>0</v>
      </c>
    </row>
    <row r="37" spans="1:8" x14ac:dyDescent="0.3">
      <c r="A37" s="2" t="s">
        <v>239</v>
      </c>
      <c r="B37" s="1">
        <f>Sheet5!$I:$I</f>
        <v>6</v>
      </c>
    </row>
    <row r="38" spans="1:8" x14ac:dyDescent="0.3">
      <c r="A38" s="2" t="s">
        <v>240</v>
      </c>
    </row>
    <row r="39" spans="1:8" x14ac:dyDescent="0.3">
      <c r="A39" s="2" t="s">
        <v>241</v>
      </c>
      <c r="B39" s="1" t="s">
        <v>358</v>
      </c>
      <c r="C39" s="1" t="s">
        <v>243</v>
      </c>
      <c r="D39" s="1" t="s">
        <v>330</v>
      </c>
      <c r="E39" s="1" t="b">
        <v>1</v>
      </c>
      <c r="F39" s="1">
        <v>0</v>
      </c>
      <c r="G39" s="1">
        <v>4</v>
      </c>
      <c r="H39" s="1">
        <v>0</v>
      </c>
    </row>
    <row r="40" spans="1:8" x14ac:dyDescent="0.3">
      <c r="A40" s="2" t="s">
        <v>245</v>
      </c>
      <c r="B40" s="1">
        <f>Sheet5!$J:$J</f>
        <v>2</v>
      </c>
    </row>
    <row r="41" spans="1:8" x14ac:dyDescent="0.3">
      <c r="A41" s="2" t="s">
        <v>246</v>
      </c>
    </row>
    <row r="42" spans="1:8" x14ac:dyDescent="0.3">
      <c r="A42" s="2" t="s">
        <v>247</v>
      </c>
      <c r="B42" s="1" t="s">
        <v>359</v>
      </c>
      <c r="C42" s="1" t="s">
        <v>249</v>
      </c>
      <c r="D42" s="1" t="s">
        <v>331</v>
      </c>
      <c r="E42" s="1" t="b">
        <v>1</v>
      </c>
      <c r="F42" s="1">
        <v>0</v>
      </c>
      <c r="G42" s="1">
        <v>4</v>
      </c>
      <c r="H42" s="1">
        <v>1</v>
      </c>
    </row>
    <row r="43" spans="1:8" x14ac:dyDescent="0.3">
      <c r="A43" s="2" t="s">
        <v>251</v>
      </c>
      <c r="B43" s="1">
        <f>Sheet5!$K:$K</f>
        <v>2</v>
      </c>
    </row>
    <row r="44" spans="1:8" x14ac:dyDescent="0.3">
      <c r="A44" s="2" t="s">
        <v>252</v>
      </c>
    </row>
    <row r="45" spans="1:8" x14ac:dyDescent="0.3">
      <c r="A45" s="2" t="s">
        <v>253</v>
      </c>
      <c r="B45" s="1" t="s">
        <v>360</v>
      </c>
      <c r="C45" s="1" t="s">
        <v>255</v>
      </c>
      <c r="D45" s="1" t="s">
        <v>332</v>
      </c>
      <c r="E45" s="1" t="b">
        <v>1</v>
      </c>
      <c r="F45" s="1">
        <v>0</v>
      </c>
      <c r="G45" s="1">
        <v>4</v>
      </c>
      <c r="H45" s="1">
        <v>0</v>
      </c>
    </row>
    <row r="46" spans="1:8" x14ac:dyDescent="0.3">
      <c r="A46" s="2" t="s">
        <v>257</v>
      </c>
      <c r="B46" s="1">
        <f>Sheet5!$L:$L</f>
        <v>1</v>
      </c>
    </row>
    <row r="47" spans="1:8" x14ac:dyDescent="0.3">
      <c r="A47" s="2" t="s">
        <v>258</v>
      </c>
    </row>
    <row r="48" spans="1:8" x14ac:dyDescent="0.3">
      <c r="A48" s="2" t="s">
        <v>259</v>
      </c>
      <c r="B48" s="1" t="s">
        <v>361</v>
      </c>
      <c r="C48" s="1" t="s">
        <v>261</v>
      </c>
      <c r="D48" s="1" t="s">
        <v>333</v>
      </c>
      <c r="E48" s="1" t="b">
        <v>1</v>
      </c>
      <c r="F48" s="1">
        <v>0</v>
      </c>
      <c r="G48" s="1">
        <v>4</v>
      </c>
      <c r="H48" s="1">
        <v>0</v>
      </c>
    </row>
    <row r="49" spans="1:8" x14ac:dyDescent="0.3">
      <c r="A49" s="2" t="s">
        <v>263</v>
      </c>
      <c r="B49" s="1">
        <f>Sheet5!$M:$M</f>
        <v>4</v>
      </c>
    </row>
    <row r="50" spans="1:8" x14ac:dyDescent="0.3">
      <c r="A50" s="2" t="s">
        <v>264</v>
      </c>
    </row>
    <row r="51" spans="1:8" x14ac:dyDescent="0.3">
      <c r="A51" s="2" t="s">
        <v>265</v>
      </c>
      <c r="B51" s="1" t="s">
        <v>362</v>
      </c>
      <c r="C51" s="1" t="s">
        <v>267</v>
      </c>
      <c r="D51" s="1" t="s">
        <v>334</v>
      </c>
      <c r="E51" s="1" t="b">
        <v>1</v>
      </c>
      <c r="F51" s="1">
        <v>0</v>
      </c>
      <c r="G51" s="1">
        <v>4</v>
      </c>
      <c r="H51" s="1">
        <v>0</v>
      </c>
    </row>
    <row r="52" spans="1:8" x14ac:dyDescent="0.3">
      <c r="A52" s="2" t="s">
        <v>269</v>
      </c>
      <c r="B52" s="1">
        <f>Sheet5!$N:$N</f>
        <v>4</v>
      </c>
    </row>
    <row r="53" spans="1:8" x14ac:dyDescent="0.3">
      <c r="A53" s="2" t="s">
        <v>270</v>
      </c>
    </row>
    <row r="54" spans="1:8" x14ac:dyDescent="0.3">
      <c r="A54" s="2" t="s">
        <v>271</v>
      </c>
      <c r="B54" s="1" t="s">
        <v>363</v>
      </c>
      <c r="C54" s="1" t="s">
        <v>273</v>
      </c>
      <c r="D54" s="1" t="s">
        <v>335</v>
      </c>
      <c r="E54" s="1" t="b">
        <v>1</v>
      </c>
      <c r="F54" s="1">
        <v>0</v>
      </c>
      <c r="G54" s="1">
        <v>4</v>
      </c>
      <c r="H54" s="1">
        <v>1</v>
      </c>
    </row>
    <row r="55" spans="1:8" x14ac:dyDescent="0.3">
      <c r="A55" s="2" t="s">
        <v>275</v>
      </c>
      <c r="B55" s="1">
        <f>Sheet5!$O:$O</f>
        <v>0</v>
      </c>
    </row>
    <row r="56" spans="1:8" x14ac:dyDescent="0.3">
      <c r="A56" s="2" t="s">
        <v>276</v>
      </c>
    </row>
    <row r="57" spans="1:8" x14ac:dyDescent="0.3">
      <c r="A57" s="2" t="s">
        <v>277</v>
      </c>
      <c r="B57" s="1" t="s">
        <v>364</v>
      </c>
      <c r="C57" s="1" t="s">
        <v>279</v>
      </c>
      <c r="D57" s="1" t="s">
        <v>336</v>
      </c>
      <c r="E57" s="1" t="b">
        <v>1</v>
      </c>
      <c r="F57" s="1">
        <v>0</v>
      </c>
      <c r="G57" s="1">
        <v>4</v>
      </c>
      <c r="H57" s="1">
        <v>0</v>
      </c>
    </row>
    <row r="58" spans="1:8" x14ac:dyDescent="0.3">
      <c r="A58" s="2" t="s">
        <v>281</v>
      </c>
      <c r="B58" s="1">
        <f>Sheet5!$P:$P</f>
        <v>0</v>
      </c>
    </row>
    <row r="59" spans="1:8" x14ac:dyDescent="0.3">
      <c r="A59" s="2" t="s">
        <v>282</v>
      </c>
    </row>
    <row r="60" spans="1:8" x14ac:dyDescent="0.3">
      <c r="A60" s="2" t="s">
        <v>283</v>
      </c>
      <c r="B60" s="1" t="s">
        <v>365</v>
      </c>
      <c r="C60" s="1" t="s">
        <v>285</v>
      </c>
      <c r="D60" s="1" t="s">
        <v>337</v>
      </c>
      <c r="E60" s="1" t="b">
        <v>1</v>
      </c>
      <c r="F60" s="1">
        <v>0</v>
      </c>
      <c r="G60" s="1">
        <v>4</v>
      </c>
      <c r="H60" s="1">
        <v>0</v>
      </c>
    </row>
    <row r="61" spans="1:8" x14ac:dyDescent="0.3">
      <c r="A61" s="2" t="s">
        <v>287</v>
      </c>
      <c r="B61" s="1">
        <f>Sheet5!$Q:$Q</f>
        <v>0</v>
      </c>
    </row>
    <row r="62" spans="1:8" x14ac:dyDescent="0.3">
      <c r="A62" s="2" t="s">
        <v>288</v>
      </c>
    </row>
    <row r="63" spans="1:8" x14ac:dyDescent="0.3">
      <c r="A63" s="2" t="s">
        <v>289</v>
      </c>
      <c r="B63" s="1" t="s">
        <v>366</v>
      </c>
      <c r="C63" s="1" t="s">
        <v>291</v>
      </c>
      <c r="D63" s="1" t="s">
        <v>338</v>
      </c>
      <c r="E63" s="1" t="b">
        <v>1</v>
      </c>
      <c r="F63" s="1">
        <v>0</v>
      </c>
      <c r="G63" s="1">
        <v>4</v>
      </c>
      <c r="H63" s="1">
        <v>0</v>
      </c>
    </row>
    <row r="64" spans="1:8" x14ac:dyDescent="0.3">
      <c r="A64" s="2" t="s">
        <v>293</v>
      </c>
      <c r="B64" s="1">
        <f>Sheet5!$R:$R</f>
        <v>1</v>
      </c>
    </row>
    <row r="65" spans="1:8" x14ac:dyDescent="0.3">
      <c r="A65" s="2" t="s">
        <v>294</v>
      </c>
    </row>
    <row r="66" spans="1:8" x14ac:dyDescent="0.3">
      <c r="A66" s="2" t="s">
        <v>295</v>
      </c>
      <c r="B66" s="1" t="s">
        <v>367</v>
      </c>
      <c r="C66" s="1" t="s">
        <v>297</v>
      </c>
      <c r="D66" s="1" t="s">
        <v>339</v>
      </c>
      <c r="E66" s="1" t="b">
        <v>1</v>
      </c>
      <c r="F66" s="1">
        <v>0</v>
      </c>
      <c r="G66" s="1">
        <v>4</v>
      </c>
      <c r="H66" s="1">
        <v>0</v>
      </c>
    </row>
    <row r="67" spans="1:8" x14ac:dyDescent="0.3">
      <c r="A67" s="2" t="s">
        <v>299</v>
      </c>
      <c r="B67" s="1">
        <f>Sheet5!$S:$S</f>
        <v>1</v>
      </c>
    </row>
    <row r="68" spans="1:8" x14ac:dyDescent="0.3">
      <c r="A68" s="2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11B6-5708-4F88-B912-2C9BDF780EA1}">
  <dimension ref="A1:T77"/>
  <sheetViews>
    <sheetView workbookViewId="0"/>
  </sheetViews>
  <sheetFormatPr defaultColWidth="30.77734375" defaultRowHeight="14.4" x14ac:dyDescent="0.3"/>
  <cols>
    <col min="1" max="1" width="30.77734375" style="2"/>
    <col min="2" max="16384" width="30.77734375" style="1"/>
  </cols>
  <sheetData>
    <row r="1" spans="1:20" x14ac:dyDescent="0.3">
      <c r="A1" s="2" t="s">
        <v>174</v>
      </c>
      <c r="B1" s="1" t="s">
        <v>175</v>
      </c>
      <c r="C1" s="1" t="s">
        <v>165</v>
      </c>
      <c r="D1" s="1">
        <v>8</v>
      </c>
      <c r="E1" s="1" t="s">
        <v>166</v>
      </c>
      <c r="F1" s="1">
        <v>3</v>
      </c>
      <c r="G1" s="1" t="s">
        <v>167</v>
      </c>
      <c r="H1" s="1">
        <v>2</v>
      </c>
      <c r="I1" s="1" t="s">
        <v>168</v>
      </c>
      <c r="J1" s="1">
        <v>1</v>
      </c>
      <c r="K1" s="1" t="s">
        <v>169</v>
      </c>
      <c r="L1" s="1">
        <v>0</v>
      </c>
      <c r="M1" s="1" t="s">
        <v>170</v>
      </c>
      <c r="N1" s="1">
        <v>0</v>
      </c>
      <c r="O1" s="1" t="s">
        <v>171</v>
      </c>
      <c r="P1" s="1">
        <v>1</v>
      </c>
      <c r="Q1" s="1" t="s">
        <v>172</v>
      </c>
      <c r="R1" s="1">
        <v>0</v>
      </c>
      <c r="S1" s="1" t="s">
        <v>173</v>
      </c>
      <c r="T1" s="1">
        <v>0</v>
      </c>
    </row>
    <row r="2" spans="1:20" x14ac:dyDescent="0.3">
      <c r="A2" s="2" t="s">
        <v>176</v>
      </c>
      <c r="B2" s="1" t="s">
        <v>177</v>
      </c>
    </row>
    <row r="3" spans="1:20" x14ac:dyDescent="0.3">
      <c r="A3" s="2" t="s">
        <v>178</v>
      </c>
      <c r="B3" s="1" t="b">
        <f>IF(B10&gt;256,"TripUpST110AndEarlier",TRUE)</f>
        <v>1</v>
      </c>
    </row>
    <row r="4" spans="1:20" x14ac:dyDescent="0.3">
      <c r="A4" s="2" t="s">
        <v>179</v>
      </c>
      <c r="B4" s="1" t="s">
        <v>180</v>
      </c>
    </row>
    <row r="5" spans="1:20" x14ac:dyDescent="0.3">
      <c r="A5" s="2" t="s">
        <v>181</v>
      </c>
      <c r="B5" s="1" t="b">
        <v>1</v>
      </c>
    </row>
    <row r="6" spans="1:20" x14ac:dyDescent="0.3">
      <c r="A6" s="2" t="s">
        <v>182</v>
      </c>
      <c r="B6" s="1" t="b">
        <v>0</v>
      </c>
    </row>
    <row r="7" spans="1:20" x14ac:dyDescent="0.3">
      <c r="A7" s="2" t="s">
        <v>183</v>
      </c>
      <c r="B7" s="1">
        <f>Sheet1!$A$1:$V$157</f>
        <v>1</v>
      </c>
    </row>
    <row r="8" spans="1:20" x14ac:dyDescent="0.3">
      <c r="A8" s="2" t="s">
        <v>184</v>
      </c>
      <c r="B8" s="1">
        <v>2</v>
      </c>
    </row>
    <row r="9" spans="1:20" x14ac:dyDescent="0.3">
      <c r="A9" s="2" t="s">
        <v>185</v>
      </c>
      <c r="B9" s="15">
        <f>1</f>
        <v>1</v>
      </c>
    </row>
    <row r="10" spans="1:20" x14ac:dyDescent="0.3">
      <c r="A10" s="2" t="s">
        <v>186</v>
      </c>
      <c r="B10" s="1">
        <v>22</v>
      </c>
    </row>
    <row r="12" spans="1:20" x14ac:dyDescent="0.3">
      <c r="A12" s="2" t="s">
        <v>187</v>
      </c>
      <c r="B12" s="1" t="s">
        <v>188</v>
      </c>
      <c r="C12" s="1" t="s">
        <v>189</v>
      </c>
      <c r="D12" s="1" t="s">
        <v>190</v>
      </c>
      <c r="E12" s="1" t="b">
        <v>1</v>
      </c>
      <c r="F12" s="1">
        <v>0</v>
      </c>
      <c r="G12" s="1">
        <v>4</v>
      </c>
      <c r="H12" s="1">
        <v>1</v>
      </c>
    </row>
    <row r="13" spans="1:20" x14ac:dyDescent="0.3">
      <c r="A13" s="2" t="s">
        <v>191</v>
      </c>
      <c r="B13" s="1" t="str">
        <f>Sheet1!$A$1:$A$157</f>
        <v>2022-11-07T20:53:25</v>
      </c>
    </row>
    <row r="14" spans="1:20" x14ac:dyDescent="0.3">
      <c r="A14" s="2" t="s">
        <v>192</v>
      </c>
    </row>
    <row r="15" spans="1:20" x14ac:dyDescent="0.3">
      <c r="A15" s="2" t="s">
        <v>193</v>
      </c>
      <c r="B15" s="1" t="s">
        <v>194</v>
      </c>
      <c r="C15" s="1" t="s">
        <v>195</v>
      </c>
      <c r="D15" s="1" t="s">
        <v>196</v>
      </c>
      <c r="E15" s="1" t="b">
        <v>1</v>
      </c>
      <c r="F15" s="1">
        <v>0</v>
      </c>
      <c r="G15" s="1">
        <v>4</v>
      </c>
      <c r="H15" s="1">
        <v>1</v>
      </c>
    </row>
    <row r="16" spans="1:20" x14ac:dyDescent="0.3">
      <c r="A16" s="2" t="s">
        <v>197</v>
      </c>
      <c r="B16" s="1">
        <f>Sheet1!$B$1:$B$157</f>
        <v>1</v>
      </c>
    </row>
    <row r="17" spans="1:8" x14ac:dyDescent="0.3">
      <c r="A17" s="2" t="s">
        <v>198</v>
      </c>
    </row>
    <row r="18" spans="1:8" x14ac:dyDescent="0.3">
      <c r="A18" s="2" t="s">
        <v>199</v>
      </c>
      <c r="B18" s="1" t="s">
        <v>200</v>
      </c>
      <c r="C18" s="1" t="s">
        <v>201</v>
      </c>
      <c r="D18" s="1" t="s">
        <v>202</v>
      </c>
      <c r="E18" s="1" t="b">
        <v>1</v>
      </c>
      <c r="F18" s="1">
        <v>0</v>
      </c>
      <c r="G18" s="1">
        <v>4</v>
      </c>
      <c r="H18" s="1">
        <v>0</v>
      </c>
    </row>
    <row r="19" spans="1:8" x14ac:dyDescent="0.3">
      <c r="A19" s="2" t="s">
        <v>203</v>
      </c>
      <c r="B19" s="1">
        <f>Sheet1!$C$1:$C$157</f>
        <v>0</v>
      </c>
    </row>
    <row r="20" spans="1:8" x14ac:dyDescent="0.3">
      <c r="A20" s="2" t="s">
        <v>204</v>
      </c>
    </row>
    <row r="21" spans="1:8" x14ac:dyDescent="0.3">
      <c r="A21" s="2" t="s">
        <v>205</v>
      </c>
      <c r="B21" s="1" t="s">
        <v>206</v>
      </c>
      <c r="C21" s="1" t="s">
        <v>207</v>
      </c>
      <c r="D21" s="1" t="s">
        <v>208</v>
      </c>
      <c r="E21" s="1" t="b">
        <v>1</v>
      </c>
      <c r="F21" s="1">
        <v>0</v>
      </c>
      <c r="G21" s="1">
        <v>4</v>
      </c>
      <c r="H21" s="1">
        <v>1</v>
      </c>
    </row>
    <row r="22" spans="1:8" x14ac:dyDescent="0.3">
      <c r="A22" s="2" t="s">
        <v>209</v>
      </c>
      <c r="B22" s="1">
        <f>Sheet1!$D$1:$D$157</f>
        <v>1</v>
      </c>
    </row>
    <row r="23" spans="1:8" x14ac:dyDescent="0.3">
      <c r="A23" s="2" t="s">
        <v>210</v>
      </c>
    </row>
    <row r="24" spans="1:8" x14ac:dyDescent="0.3">
      <c r="A24" s="2" t="s">
        <v>211</v>
      </c>
      <c r="B24" s="1" t="s">
        <v>212</v>
      </c>
      <c r="C24" s="1" t="s">
        <v>213</v>
      </c>
      <c r="D24" s="1" t="s">
        <v>214</v>
      </c>
      <c r="E24" s="1" t="b">
        <v>1</v>
      </c>
      <c r="F24" s="1">
        <v>0</v>
      </c>
      <c r="G24" s="1">
        <v>4</v>
      </c>
      <c r="H24" s="1">
        <v>1</v>
      </c>
    </row>
    <row r="25" spans="1:8" x14ac:dyDescent="0.3">
      <c r="A25" s="2" t="s">
        <v>215</v>
      </c>
      <c r="B25" s="1">
        <f>Sheet1!$E$1:$E$157</f>
        <v>1</v>
      </c>
    </row>
    <row r="26" spans="1:8" x14ac:dyDescent="0.3">
      <c r="A26" s="2" t="s">
        <v>216</v>
      </c>
    </row>
    <row r="27" spans="1:8" x14ac:dyDescent="0.3">
      <c r="A27" s="2" t="s">
        <v>217</v>
      </c>
      <c r="B27" s="1" t="s">
        <v>218</v>
      </c>
      <c r="C27" s="1" t="s">
        <v>219</v>
      </c>
      <c r="D27" s="1" t="s">
        <v>220</v>
      </c>
      <c r="E27" s="1" t="b">
        <v>1</v>
      </c>
      <c r="F27" s="1">
        <v>0</v>
      </c>
      <c r="G27" s="1">
        <v>4</v>
      </c>
      <c r="H27" s="1">
        <v>1</v>
      </c>
    </row>
    <row r="28" spans="1:8" x14ac:dyDescent="0.3">
      <c r="A28" s="2" t="s">
        <v>221</v>
      </c>
      <c r="B28" s="1">
        <f>Sheet1!$F$1:$F$157</f>
        <v>0</v>
      </c>
    </row>
    <row r="29" spans="1:8" x14ac:dyDescent="0.3">
      <c r="A29" s="2" t="s">
        <v>222</v>
      </c>
    </row>
    <row r="30" spans="1:8" x14ac:dyDescent="0.3">
      <c r="A30" s="2" t="s">
        <v>223</v>
      </c>
      <c r="B30" s="1" t="s">
        <v>224</v>
      </c>
      <c r="C30" s="1" t="s">
        <v>225</v>
      </c>
      <c r="D30" s="1" t="s">
        <v>226</v>
      </c>
      <c r="E30" s="1" t="b">
        <v>1</v>
      </c>
      <c r="F30" s="1">
        <v>0</v>
      </c>
      <c r="G30" s="1">
        <v>4</v>
      </c>
      <c r="H30" s="1">
        <v>1</v>
      </c>
    </row>
    <row r="31" spans="1:8" x14ac:dyDescent="0.3">
      <c r="A31" s="2" t="s">
        <v>227</v>
      </c>
      <c r="B31" s="1">
        <f>Sheet1!$G$1:$G$157</f>
        <v>7</v>
      </c>
    </row>
    <row r="32" spans="1:8" x14ac:dyDescent="0.3">
      <c r="A32" s="2" t="s">
        <v>228</v>
      </c>
    </row>
    <row r="33" spans="1:8" x14ac:dyDescent="0.3">
      <c r="A33" s="2" t="s">
        <v>229</v>
      </c>
      <c r="B33" s="1" t="s">
        <v>230</v>
      </c>
      <c r="C33" s="1" t="s">
        <v>231</v>
      </c>
      <c r="D33" s="1" t="s">
        <v>232</v>
      </c>
      <c r="E33" s="1" t="b">
        <v>1</v>
      </c>
      <c r="F33" s="1">
        <v>0</v>
      </c>
      <c r="G33" s="1">
        <v>4</v>
      </c>
      <c r="H33" s="1">
        <v>1</v>
      </c>
    </row>
    <row r="34" spans="1:8" x14ac:dyDescent="0.3">
      <c r="A34" s="2" t="s">
        <v>233</v>
      </c>
      <c r="B34" s="1" t="str">
        <f>Sheet1!$H$1:$H$157</f>
        <v>&lt;500</v>
      </c>
    </row>
    <row r="35" spans="1:8" x14ac:dyDescent="0.3">
      <c r="A35" s="2" t="s">
        <v>234</v>
      </c>
    </row>
    <row r="36" spans="1:8" x14ac:dyDescent="0.3">
      <c r="A36" s="2" t="s">
        <v>235</v>
      </c>
      <c r="B36" s="1" t="s">
        <v>236</v>
      </c>
      <c r="C36" s="1" t="s">
        <v>237</v>
      </c>
      <c r="D36" s="1" t="s">
        <v>238</v>
      </c>
      <c r="E36" s="1" t="b">
        <v>1</v>
      </c>
      <c r="F36" s="1">
        <v>0</v>
      </c>
      <c r="G36" s="1">
        <v>4</v>
      </c>
      <c r="H36" s="1">
        <v>1</v>
      </c>
    </row>
    <row r="37" spans="1:8" x14ac:dyDescent="0.3">
      <c r="A37" s="2" t="s">
        <v>239</v>
      </c>
      <c r="B37" s="1">
        <f>Sheet1!$I$1:$I$157</f>
        <v>6</v>
      </c>
    </row>
    <row r="38" spans="1:8" x14ac:dyDescent="0.3">
      <c r="A38" s="2" t="s">
        <v>240</v>
      </c>
    </row>
    <row r="39" spans="1:8" x14ac:dyDescent="0.3">
      <c r="A39" s="2" t="s">
        <v>241</v>
      </c>
      <c r="B39" s="1" t="s">
        <v>242</v>
      </c>
      <c r="C39" s="1" t="s">
        <v>243</v>
      </c>
      <c r="D39" s="1" t="s">
        <v>244</v>
      </c>
      <c r="E39" s="1" t="b">
        <v>1</v>
      </c>
      <c r="F39" s="1">
        <v>0</v>
      </c>
      <c r="G39" s="1">
        <v>4</v>
      </c>
      <c r="H39" s="1">
        <v>0</v>
      </c>
    </row>
    <row r="40" spans="1:8" x14ac:dyDescent="0.3">
      <c r="A40" s="2" t="s">
        <v>245</v>
      </c>
      <c r="B40" s="1">
        <f>Sheet1!$J$1:$J$157</f>
        <v>2</v>
      </c>
    </row>
    <row r="41" spans="1:8" x14ac:dyDescent="0.3">
      <c r="A41" s="2" t="s">
        <v>246</v>
      </c>
    </row>
    <row r="42" spans="1:8" x14ac:dyDescent="0.3">
      <c r="A42" s="2" t="s">
        <v>247</v>
      </c>
      <c r="B42" s="1" t="s">
        <v>248</v>
      </c>
      <c r="C42" s="1" t="s">
        <v>249</v>
      </c>
      <c r="D42" s="1" t="s">
        <v>250</v>
      </c>
      <c r="E42" s="1" t="b">
        <v>1</v>
      </c>
      <c r="F42" s="1">
        <v>0</v>
      </c>
      <c r="G42" s="1">
        <v>4</v>
      </c>
      <c r="H42" s="1">
        <v>1</v>
      </c>
    </row>
    <row r="43" spans="1:8" x14ac:dyDescent="0.3">
      <c r="A43" s="2" t="s">
        <v>251</v>
      </c>
      <c r="B43" s="1">
        <f>Sheet1!$K$1:$K$157</f>
        <v>4</v>
      </c>
    </row>
    <row r="44" spans="1:8" x14ac:dyDescent="0.3">
      <c r="A44" s="2" t="s">
        <v>252</v>
      </c>
    </row>
    <row r="45" spans="1:8" x14ac:dyDescent="0.3">
      <c r="A45" s="2" t="s">
        <v>253</v>
      </c>
      <c r="B45" s="1" t="s">
        <v>254</v>
      </c>
      <c r="C45" s="1" t="s">
        <v>255</v>
      </c>
      <c r="D45" s="1" t="s">
        <v>256</v>
      </c>
      <c r="E45" s="1" t="b">
        <v>1</v>
      </c>
      <c r="F45" s="1">
        <v>0</v>
      </c>
      <c r="G45" s="1">
        <v>4</v>
      </c>
      <c r="H45" s="1">
        <v>1</v>
      </c>
    </row>
    <row r="46" spans="1:8" x14ac:dyDescent="0.3">
      <c r="A46" s="2" t="s">
        <v>257</v>
      </c>
      <c r="B46" s="1">
        <f>Sheet1!$L$1:$L$157</f>
        <v>2</v>
      </c>
    </row>
    <row r="47" spans="1:8" x14ac:dyDescent="0.3">
      <c r="A47" s="2" t="s">
        <v>258</v>
      </c>
    </row>
    <row r="48" spans="1:8" x14ac:dyDescent="0.3">
      <c r="A48" s="2" t="s">
        <v>259</v>
      </c>
      <c r="B48" s="1" t="s">
        <v>260</v>
      </c>
      <c r="C48" s="1" t="s">
        <v>261</v>
      </c>
      <c r="D48" s="1" t="s">
        <v>262</v>
      </c>
      <c r="E48" s="1" t="b">
        <v>1</v>
      </c>
      <c r="F48" s="1">
        <v>0</v>
      </c>
      <c r="G48" s="1">
        <v>4</v>
      </c>
      <c r="H48" s="1">
        <v>1</v>
      </c>
    </row>
    <row r="49" spans="1:8" x14ac:dyDescent="0.3">
      <c r="A49" s="2" t="s">
        <v>263</v>
      </c>
      <c r="B49" s="1">
        <f>Sheet1!$M$1:$M$157</f>
        <v>4</v>
      </c>
    </row>
    <row r="50" spans="1:8" x14ac:dyDescent="0.3">
      <c r="A50" s="2" t="s">
        <v>264</v>
      </c>
    </row>
    <row r="51" spans="1:8" x14ac:dyDescent="0.3">
      <c r="A51" s="2" t="s">
        <v>265</v>
      </c>
      <c r="B51" s="1" t="s">
        <v>266</v>
      </c>
      <c r="C51" s="1" t="s">
        <v>267</v>
      </c>
      <c r="D51" s="1" t="s">
        <v>268</v>
      </c>
      <c r="E51" s="1" t="b">
        <v>1</v>
      </c>
      <c r="F51" s="1">
        <v>0</v>
      </c>
      <c r="G51" s="1">
        <v>4</v>
      </c>
      <c r="H51" s="1">
        <v>1</v>
      </c>
    </row>
    <row r="52" spans="1:8" x14ac:dyDescent="0.3">
      <c r="A52" s="2" t="s">
        <v>269</v>
      </c>
      <c r="B52" s="1">
        <f>Sheet1!$N$1:$N$157</f>
        <v>3</v>
      </c>
    </row>
    <row r="53" spans="1:8" x14ac:dyDescent="0.3">
      <c r="A53" s="2" t="s">
        <v>270</v>
      </c>
    </row>
    <row r="54" spans="1:8" x14ac:dyDescent="0.3">
      <c r="A54" s="2" t="s">
        <v>271</v>
      </c>
      <c r="B54" s="1" t="s">
        <v>272</v>
      </c>
      <c r="C54" s="1" t="s">
        <v>273</v>
      </c>
      <c r="D54" s="1" t="s">
        <v>274</v>
      </c>
      <c r="E54" s="1" t="b">
        <v>1</v>
      </c>
      <c r="F54" s="1">
        <v>0</v>
      </c>
      <c r="G54" s="1">
        <v>4</v>
      </c>
      <c r="H54" s="1">
        <v>1</v>
      </c>
    </row>
    <row r="55" spans="1:8" x14ac:dyDescent="0.3">
      <c r="A55" s="2" t="s">
        <v>275</v>
      </c>
      <c r="B55" s="1">
        <f>Sheet1!$O$1:$O$157</f>
        <v>0</v>
      </c>
    </row>
    <row r="56" spans="1:8" x14ac:dyDescent="0.3">
      <c r="A56" s="2" t="s">
        <v>276</v>
      </c>
    </row>
    <row r="57" spans="1:8" x14ac:dyDescent="0.3">
      <c r="A57" s="2" t="s">
        <v>277</v>
      </c>
      <c r="B57" s="1" t="s">
        <v>278</v>
      </c>
      <c r="C57" s="1" t="s">
        <v>279</v>
      </c>
      <c r="D57" s="1" t="s">
        <v>280</v>
      </c>
      <c r="E57" s="1" t="b">
        <v>1</v>
      </c>
      <c r="F57" s="1">
        <v>0</v>
      </c>
      <c r="G57" s="1">
        <v>4</v>
      </c>
      <c r="H57" s="1">
        <v>1</v>
      </c>
    </row>
    <row r="58" spans="1:8" x14ac:dyDescent="0.3">
      <c r="A58" s="2" t="s">
        <v>281</v>
      </c>
      <c r="B58" s="1">
        <f>Sheet1!$P$1:$P$157</f>
        <v>0</v>
      </c>
    </row>
    <row r="59" spans="1:8" x14ac:dyDescent="0.3">
      <c r="A59" s="2" t="s">
        <v>282</v>
      </c>
    </row>
    <row r="60" spans="1:8" x14ac:dyDescent="0.3">
      <c r="A60" s="2" t="s">
        <v>283</v>
      </c>
      <c r="B60" s="1" t="s">
        <v>284</v>
      </c>
      <c r="C60" s="1" t="s">
        <v>285</v>
      </c>
      <c r="D60" s="1" t="s">
        <v>286</v>
      </c>
      <c r="E60" s="1" t="b">
        <v>1</v>
      </c>
      <c r="F60" s="1">
        <v>0</v>
      </c>
      <c r="G60" s="1">
        <v>4</v>
      </c>
      <c r="H60" s="1">
        <v>1</v>
      </c>
    </row>
    <row r="61" spans="1:8" x14ac:dyDescent="0.3">
      <c r="A61" s="2" t="s">
        <v>287</v>
      </c>
      <c r="B61" s="1">
        <f>Sheet1!$Q$1:$Q$157</f>
        <v>1</v>
      </c>
    </row>
    <row r="62" spans="1:8" x14ac:dyDescent="0.3">
      <c r="A62" s="2" t="s">
        <v>288</v>
      </c>
    </row>
    <row r="63" spans="1:8" x14ac:dyDescent="0.3">
      <c r="A63" s="2" t="s">
        <v>289</v>
      </c>
      <c r="B63" s="1" t="s">
        <v>290</v>
      </c>
      <c r="C63" s="1" t="s">
        <v>291</v>
      </c>
      <c r="D63" s="1" t="s">
        <v>292</v>
      </c>
      <c r="E63" s="1" t="b">
        <v>1</v>
      </c>
      <c r="F63" s="1">
        <v>0</v>
      </c>
      <c r="G63" s="1">
        <v>4</v>
      </c>
      <c r="H63" s="1">
        <v>0</v>
      </c>
    </row>
    <row r="64" spans="1:8" x14ac:dyDescent="0.3">
      <c r="A64" s="2" t="s">
        <v>293</v>
      </c>
      <c r="B64" s="1">
        <f>Sheet1!$R$1:$R$157</f>
        <v>0</v>
      </c>
    </row>
    <row r="65" spans="1:8" x14ac:dyDescent="0.3">
      <c r="A65" s="2" t="s">
        <v>294</v>
      </c>
    </row>
    <row r="66" spans="1:8" x14ac:dyDescent="0.3">
      <c r="A66" s="2" t="s">
        <v>295</v>
      </c>
      <c r="B66" s="1" t="s">
        <v>296</v>
      </c>
      <c r="C66" s="1" t="s">
        <v>297</v>
      </c>
      <c r="D66" s="1" t="s">
        <v>298</v>
      </c>
      <c r="E66" s="1" t="b">
        <v>1</v>
      </c>
      <c r="F66" s="1">
        <v>0</v>
      </c>
      <c r="G66" s="1">
        <v>4</v>
      </c>
      <c r="H66" s="1">
        <v>1</v>
      </c>
    </row>
    <row r="67" spans="1:8" x14ac:dyDescent="0.3">
      <c r="A67" s="2" t="s">
        <v>299</v>
      </c>
      <c r="B67" s="1">
        <f>Sheet1!$S$1:$S$157</f>
        <v>1</v>
      </c>
    </row>
    <row r="68" spans="1:8" x14ac:dyDescent="0.3">
      <c r="A68" s="2" t="s">
        <v>300</v>
      </c>
    </row>
    <row r="69" spans="1:8" x14ac:dyDescent="0.3">
      <c r="A69" s="2" t="s">
        <v>301</v>
      </c>
      <c r="B69" s="1" t="s">
        <v>302</v>
      </c>
      <c r="C69" s="1" t="s">
        <v>303</v>
      </c>
      <c r="D69" s="1" t="s">
        <v>304</v>
      </c>
      <c r="E69" s="1" t="b">
        <v>1</v>
      </c>
      <c r="F69" s="1">
        <v>0</v>
      </c>
      <c r="G69" s="1">
        <v>4</v>
      </c>
      <c r="H69" s="1">
        <v>1</v>
      </c>
    </row>
    <row r="70" spans="1:8" x14ac:dyDescent="0.3">
      <c r="A70" s="2" t="s">
        <v>305</v>
      </c>
      <c r="B70" s="1">
        <f>Sheet1!$T$1:$T$157</f>
        <v>1</v>
      </c>
    </row>
    <row r="71" spans="1:8" x14ac:dyDescent="0.3">
      <c r="A71" s="2" t="s">
        <v>306</v>
      </c>
    </row>
    <row r="72" spans="1:8" x14ac:dyDescent="0.3">
      <c r="A72" s="2" t="s">
        <v>307</v>
      </c>
      <c r="B72" s="1" t="s">
        <v>308</v>
      </c>
      <c r="C72" s="1" t="s">
        <v>309</v>
      </c>
      <c r="D72" s="1" t="s">
        <v>310</v>
      </c>
      <c r="E72" s="1" t="b">
        <v>1</v>
      </c>
      <c r="F72" s="1">
        <v>0</v>
      </c>
      <c r="G72" s="1">
        <v>4</v>
      </c>
      <c r="H72" s="1">
        <v>1</v>
      </c>
    </row>
    <row r="73" spans="1:8" x14ac:dyDescent="0.3">
      <c r="A73" s="2" t="s">
        <v>311</v>
      </c>
      <c r="B73" s="1" t="e">
        <f>Sheet1!$U$1:$U$157</f>
        <v>#N/A</v>
      </c>
    </row>
    <row r="74" spans="1:8" x14ac:dyDescent="0.3">
      <c r="A74" s="2" t="s">
        <v>312</v>
      </c>
    </row>
    <row r="75" spans="1:8" x14ac:dyDescent="0.3">
      <c r="A75" s="2" t="s">
        <v>313</v>
      </c>
      <c r="B75" s="1" t="s">
        <v>314</v>
      </c>
      <c r="C75" s="1" t="s">
        <v>315</v>
      </c>
      <c r="D75" s="1" t="s">
        <v>316</v>
      </c>
      <c r="E75" s="1" t="b">
        <v>1</v>
      </c>
      <c r="F75" s="1">
        <v>0</v>
      </c>
      <c r="G75" s="1">
        <v>4</v>
      </c>
      <c r="H75" s="1">
        <v>1</v>
      </c>
    </row>
    <row r="76" spans="1:8" x14ac:dyDescent="0.3">
      <c r="A76" s="2" t="s">
        <v>317</v>
      </c>
      <c r="B76" s="1">
        <f>Sheet1!$V$1:$V$157</f>
        <v>1</v>
      </c>
    </row>
    <row r="77" spans="1:8" x14ac:dyDescent="0.3">
      <c r="A77" s="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B2EB-955A-440B-AB33-2713CE76943C}">
  <dimension ref="A1:V29"/>
  <sheetViews>
    <sheetView showGridLines="0" topLeftCell="G1" zoomScale="79" workbookViewId="0"/>
  </sheetViews>
  <sheetFormatPr defaultColWidth="12.77734375" defaultRowHeight="14.4" x14ac:dyDescent="0.3"/>
  <cols>
    <col min="1" max="1" width="16.77734375" bestFit="1" customWidth="1"/>
    <col min="2" max="4" width="12.77734375" customWidth="1"/>
    <col min="5" max="5" width="16.77734375" bestFit="1" customWidth="1"/>
    <col min="6" max="6" width="16.44140625" bestFit="1" customWidth="1"/>
    <col min="7" max="10" width="12.77734375" customWidth="1"/>
    <col min="11" max="11" width="13.6640625" bestFit="1" customWidth="1"/>
    <col min="12" max="14" width="12.77734375" customWidth="1"/>
    <col min="15" max="15" width="13.44140625" bestFit="1" customWidth="1"/>
    <col min="16" max="22" width="12.77734375" customWidth="1"/>
  </cols>
  <sheetData>
    <row r="1" spans="1:22" s="16" customFormat="1" ht="18" x14ac:dyDescent="0.35">
      <c r="A1" s="22" t="s">
        <v>340</v>
      </c>
      <c r="B1" s="20"/>
    </row>
    <row r="2" spans="1:22" s="16" customFormat="1" ht="10.199999999999999" x14ac:dyDescent="0.2">
      <c r="A2" s="18" t="s">
        <v>341</v>
      </c>
      <c r="B2" s="20" t="s">
        <v>342</v>
      </c>
    </row>
    <row r="3" spans="1:22" s="16" customFormat="1" ht="10.199999999999999" x14ac:dyDescent="0.2">
      <c r="A3" s="18" t="s">
        <v>343</v>
      </c>
      <c r="B3" s="20" t="s">
        <v>344</v>
      </c>
    </row>
    <row r="4" spans="1:22" s="16" customFormat="1" ht="10.199999999999999" x14ac:dyDescent="0.2">
      <c r="A4" s="18" t="s">
        <v>345</v>
      </c>
      <c r="B4" s="23">
        <v>44978</v>
      </c>
    </row>
    <row r="5" spans="1:22" s="17" customFormat="1" ht="10.199999999999999" x14ac:dyDescent="0.2">
      <c r="A5" s="19" t="s">
        <v>346</v>
      </c>
      <c r="B5" s="21" t="s">
        <v>347</v>
      </c>
    </row>
    <row r="7" spans="1:22" ht="15" customHeight="1" x14ac:dyDescent="0.3">
      <c r="A7" s="27"/>
      <c r="B7" s="24" t="s">
        <v>1</v>
      </c>
      <c r="C7" s="24" t="s">
        <v>2</v>
      </c>
      <c r="D7" s="24" t="s">
        <v>3</v>
      </c>
      <c r="E7" s="24" t="s">
        <v>4</v>
      </c>
      <c r="F7" s="24" t="s">
        <v>5</v>
      </c>
      <c r="G7" s="24" t="s">
        <v>6</v>
      </c>
      <c r="H7" s="24" t="s">
        <v>7</v>
      </c>
      <c r="I7" s="24" t="s">
        <v>8</v>
      </c>
      <c r="J7" s="24" t="s">
        <v>9</v>
      </c>
      <c r="K7" s="24" t="s">
        <v>10</v>
      </c>
      <c r="L7" s="24" t="s">
        <v>11</v>
      </c>
      <c r="M7" s="24" t="s">
        <v>12</v>
      </c>
      <c r="N7" s="24" t="s">
        <v>13</v>
      </c>
      <c r="O7" s="24" t="s">
        <v>14</v>
      </c>
      <c r="P7" s="24" t="s">
        <v>15</v>
      </c>
      <c r="Q7" s="24" t="s">
        <v>16</v>
      </c>
      <c r="R7" s="24" t="s">
        <v>17</v>
      </c>
      <c r="S7" s="24" t="s">
        <v>18</v>
      </c>
      <c r="T7" s="24" t="s">
        <v>19</v>
      </c>
      <c r="U7" s="24" t="s">
        <v>20</v>
      </c>
      <c r="V7" s="24" t="s">
        <v>21</v>
      </c>
    </row>
    <row r="8" spans="1:22" ht="15" customHeight="1" thickBot="1" x14ac:dyDescent="0.35">
      <c r="A8" s="28" t="s">
        <v>348</v>
      </c>
      <c r="B8" s="25" t="s">
        <v>175</v>
      </c>
      <c r="C8" s="25" t="s">
        <v>175</v>
      </c>
      <c r="D8" s="25" t="s">
        <v>175</v>
      </c>
      <c r="E8" s="25" t="s">
        <v>175</v>
      </c>
      <c r="F8" s="25" t="s">
        <v>175</v>
      </c>
      <c r="G8" s="25" t="s">
        <v>175</v>
      </c>
      <c r="H8" s="25" t="s">
        <v>175</v>
      </c>
      <c r="I8" s="25" t="s">
        <v>175</v>
      </c>
      <c r="J8" s="25" t="s">
        <v>175</v>
      </c>
      <c r="K8" s="25" t="s">
        <v>175</v>
      </c>
      <c r="L8" s="25" t="s">
        <v>175</v>
      </c>
      <c r="M8" s="25" t="s">
        <v>175</v>
      </c>
      <c r="N8" s="25" t="s">
        <v>175</v>
      </c>
      <c r="O8" s="25" t="s">
        <v>175</v>
      </c>
      <c r="P8" s="25" t="s">
        <v>175</v>
      </c>
      <c r="Q8" s="25" t="s">
        <v>175</v>
      </c>
      <c r="R8" s="25" t="s">
        <v>175</v>
      </c>
      <c r="S8" s="25" t="s">
        <v>175</v>
      </c>
      <c r="T8" s="25" t="s">
        <v>175</v>
      </c>
      <c r="U8" s="25" t="s">
        <v>175</v>
      </c>
      <c r="V8" s="25" t="s">
        <v>175</v>
      </c>
    </row>
    <row r="9" spans="1:22" ht="15" customHeight="1" thickTop="1" x14ac:dyDescent="0.3">
      <c r="A9" s="26" t="s">
        <v>1</v>
      </c>
      <c r="B9" s="29">
        <v>1</v>
      </c>
      <c r="C9" s="29" t="e">
        <f>$B$10</f>
        <v>#N/A</v>
      </c>
      <c r="D9" s="29" t="e">
        <f>$B$11</f>
        <v>#N/A</v>
      </c>
      <c r="E9" s="29" t="e">
        <f>$B$12</f>
        <v>#N/A</v>
      </c>
      <c r="F9" s="29" t="e">
        <f>$B$13</f>
        <v>#N/A</v>
      </c>
      <c r="G9" s="29" t="e">
        <f>$B$14</f>
        <v>#N/A</v>
      </c>
      <c r="H9" s="29" t="e">
        <f>$B$15</f>
        <v>#N/A</v>
      </c>
      <c r="I9" s="29" t="e">
        <f>$B$16</f>
        <v>#N/A</v>
      </c>
      <c r="J9" s="29" t="e">
        <f>$B$17</f>
        <v>#N/A</v>
      </c>
      <c r="K9" s="29" t="e">
        <f>$B$18</f>
        <v>#N/A</v>
      </c>
      <c r="L9" s="29" t="e">
        <f>$B$19</f>
        <v>#N/A</v>
      </c>
      <c r="M9" s="29" t="e">
        <f>$B$20</f>
        <v>#N/A</v>
      </c>
      <c r="N9" s="29" t="e">
        <f>$B$21</f>
        <v>#N/A</v>
      </c>
      <c r="O9" s="29" t="e">
        <f>$B$22</f>
        <v>#N/A</v>
      </c>
      <c r="P9" s="29" t="e">
        <f>$B$23</f>
        <v>#N/A</v>
      </c>
      <c r="Q9" s="29" t="e">
        <f>$B$24</f>
        <v>#N/A</v>
      </c>
      <c r="R9" s="29" t="e">
        <f>$B$25</f>
        <v>#N/A</v>
      </c>
      <c r="S9" s="29" t="e">
        <f>$B$26</f>
        <v>#N/A</v>
      </c>
      <c r="T9" s="29" t="e">
        <f>$B$27</f>
        <v>#N/A</v>
      </c>
      <c r="U9" s="29" t="e">
        <f>$B$28</f>
        <v>#N/A</v>
      </c>
      <c r="V9" s="29" t="e">
        <f>$B$29</f>
        <v>#N/A</v>
      </c>
    </row>
    <row r="10" spans="1:22" ht="15" customHeight="1" x14ac:dyDescent="0.3">
      <c r="A10" s="26" t="s">
        <v>2</v>
      </c>
      <c r="B10" s="29" t="e">
        <f>_xll.StatCorrelationCoeff( ST_INTERVIEWLANG1,ST_HOUSEPIC1)</f>
        <v>#N/A</v>
      </c>
      <c r="C10" s="29">
        <v>1</v>
      </c>
      <c r="D10" s="29" t="e">
        <f>$C$11</f>
        <v>#N/A</v>
      </c>
      <c r="E10" s="29">
        <f>$C$12</f>
        <v>4.2585610333007895E-2</v>
      </c>
      <c r="F10" s="29">
        <f>$C$13</f>
        <v>-6.5753786279419107E-2</v>
      </c>
      <c r="G10" s="29" t="e">
        <f>$C$14</f>
        <v>#N/A</v>
      </c>
      <c r="H10" s="29">
        <f>$C$15</f>
        <v>0.30096305735111162</v>
      </c>
      <c r="I10" s="29">
        <f>$C$16</f>
        <v>3.5088204459492719E-2</v>
      </c>
      <c r="J10" s="29">
        <f>$C$17</f>
        <v>-0.23785300073274368</v>
      </c>
      <c r="K10" s="29" t="e">
        <f>$C$18</f>
        <v>#N/A</v>
      </c>
      <c r="L10" s="29">
        <f>$C$19</f>
        <v>8.7707406398070328E-2</v>
      </c>
      <c r="M10" s="29" t="e">
        <f>$C$20</f>
        <v>#N/A</v>
      </c>
      <c r="N10" s="29">
        <f>$C$21</f>
        <v>9.3013292961690947E-2</v>
      </c>
      <c r="O10" s="29" t="e">
        <f>$C$22</f>
        <v>#N/A</v>
      </c>
      <c r="P10" s="29">
        <f>$C$23</f>
        <v>3.3552135648821139E-3</v>
      </c>
      <c r="Q10" s="29">
        <f>$C$24</f>
        <v>-6.960575579871299E-2</v>
      </c>
      <c r="R10" s="29">
        <f>$C$25</f>
        <v>0.36150300282151587</v>
      </c>
      <c r="S10" s="29" t="e">
        <f>$C$26</f>
        <v>#N/A</v>
      </c>
      <c r="T10" s="29" t="e">
        <f>$C$27</f>
        <v>#N/A</v>
      </c>
      <c r="U10" s="29" t="e">
        <f>$C$28</f>
        <v>#N/A</v>
      </c>
      <c r="V10" s="29">
        <f>$C$29</f>
        <v>-0.10002778935721308</v>
      </c>
    </row>
    <row r="11" spans="1:22" ht="15" customHeight="1" x14ac:dyDescent="0.3">
      <c r="A11" s="26" t="s">
        <v>3</v>
      </c>
      <c r="B11" s="29" t="e">
        <f>_xll.StatCorrelationCoeff( ST_INFORECIEVING1,ST_HOUSEPIC1)</f>
        <v>#N/A</v>
      </c>
      <c r="C11" s="29" t="e">
        <f>_xll.StatCorrelationCoeff( ST_INFORECIEVING1,ST_INTERVIEWLANG1)</f>
        <v>#N/A</v>
      </c>
      <c r="D11" s="29">
        <v>1</v>
      </c>
      <c r="E11" s="29" t="e">
        <f>$D$12</f>
        <v>#N/A</v>
      </c>
      <c r="F11" s="29" t="e">
        <f>$D$13</f>
        <v>#N/A</v>
      </c>
      <c r="G11" s="29" t="e">
        <f>$D$14</f>
        <v>#N/A</v>
      </c>
      <c r="H11" s="29" t="e">
        <f>$D$15</f>
        <v>#N/A</v>
      </c>
      <c r="I11" s="29" t="e">
        <f>$D$16</f>
        <v>#N/A</v>
      </c>
      <c r="J11" s="29" t="e">
        <f>$D$17</f>
        <v>#N/A</v>
      </c>
      <c r="K11" s="29" t="e">
        <f>$D$18</f>
        <v>#N/A</v>
      </c>
      <c r="L11" s="29" t="e">
        <f>$D$19</f>
        <v>#N/A</v>
      </c>
      <c r="M11" s="29" t="e">
        <f>$D$20</f>
        <v>#N/A</v>
      </c>
      <c r="N11" s="29" t="e">
        <f>$D$21</f>
        <v>#N/A</v>
      </c>
      <c r="O11" s="29" t="e">
        <f>$D$22</f>
        <v>#N/A</v>
      </c>
      <c r="P11" s="29" t="e">
        <f>$D$23</f>
        <v>#N/A</v>
      </c>
      <c r="Q11" s="29" t="e">
        <f>$D$24</f>
        <v>#N/A</v>
      </c>
      <c r="R11" s="29" t="e">
        <f>$D$25</f>
        <v>#N/A</v>
      </c>
      <c r="S11" s="29" t="e">
        <f>$D$26</f>
        <v>#N/A</v>
      </c>
      <c r="T11" s="29" t="e">
        <f>$D$27</f>
        <v>#N/A</v>
      </c>
      <c r="U11" s="29" t="e">
        <f>$D$28</f>
        <v>#N/A</v>
      </c>
      <c r="V11" s="29" t="e">
        <f>$D$29</f>
        <v>#N/A</v>
      </c>
    </row>
    <row r="12" spans="1:22" ht="15" customHeight="1" x14ac:dyDescent="0.3">
      <c r="A12" s="26" t="s">
        <v>4</v>
      </c>
      <c r="B12" s="29" t="e">
        <f>_xll.StatCorrelationCoeff( ST_COMMUNICATIONWAY1,ST_HOUSEPIC1)</f>
        <v>#N/A</v>
      </c>
      <c r="C12" s="29">
        <f>_xll.StatCorrelationCoeff( ST_COMMUNICATIONWAY1,ST_INTERVIEWLANG1)</f>
        <v>4.2585610333007895E-2</v>
      </c>
      <c r="D12" s="29" t="e">
        <f>_xll.StatCorrelationCoeff( ST_COMMUNICATIONWAY1,ST_INFORECIEVING1)</f>
        <v>#N/A</v>
      </c>
      <c r="E12" s="29">
        <v>1</v>
      </c>
      <c r="F12" s="29">
        <f>$E$13</f>
        <v>-0.13140511713106437</v>
      </c>
      <c r="G12" s="29" t="e">
        <f>$E$14</f>
        <v>#N/A</v>
      </c>
      <c r="H12" s="29">
        <f>$E$15</f>
        <v>-0.29795038395531792</v>
      </c>
      <c r="I12" s="29">
        <f>$E$16</f>
        <v>5.0664502300018656E-2</v>
      </c>
      <c r="J12" s="29">
        <f>$E$17</f>
        <v>-5.0377859986265941E-2</v>
      </c>
      <c r="K12" s="29" t="e">
        <f>$E$18</f>
        <v>#N/A</v>
      </c>
      <c r="L12" s="29">
        <f>$E$19</f>
        <v>0.13799647381030491</v>
      </c>
      <c r="M12" s="29" t="e">
        <f>$E$20</f>
        <v>#N/A</v>
      </c>
      <c r="N12" s="29">
        <f>$E$21</f>
        <v>-1.9244862283677847E-2</v>
      </c>
      <c r="O12" s="29" t="e">
        <f>$E$22</f>
        <v>#N/A</v>
      </c>
      <c r="P12" s="29">
        <f>$E$23</f>
        <v>-7.5201539175911186E-2</v>
      </c>
      <c r="Q12" s="29">
        <f>$E$24</f>
        <v>-0.13109190391716385</v>
      </c>
      <c r="R12" s="29">
        <f>$E$25</f>
        <v>0.16464058624792535</v>
      </c>
      <c r="S12" s="29" t="e">
        <f>$E$26</f>
        <v>#N/A</v>
      </c>
      <c r="T12" s="29" t="e">
        <f>$E$27</f>
        <v>#N/A</v>
      </c>
      <c r="U12" s="29" t="e">
        <f>$E$28</f>
        <v>#N/A</v>
      </c>
      <c r="V12" s="29">
        <f>$E$29</f>
        <v>-7.9825836287595597E-2</v>
      </c>
    </row>
    <row r="13" spans="1:22" ht="15" customHeight="1" x14ac:dyDescent="0.3">
      <c r="A13" s="26" t="s">
        <v>5</v>
      </c>
      <c r="B13" s="29" t="e">
        <f>_xll.StatCorrelationCoeff( ST_LEADERPARTICIPATION1,ST_HOUSEPIC1)</f>
        <v>#N/A</v>
      </c>
      <c r="C13" s="29">
        <f>_xll.StatCorrelationCoeff( ST_LEADERPARTICIPATION1,ST_INTERVIEWLANG1)</f>
        <v>-6.5753786279419107E-2</v>
      </c>
      <c r="D13" s="29" t="e">
        <f>_xll.StatCorrelationCoeff( ST_LEADERPARTICIPATION1,ST_INFORECIEVING1)</f>
        <v>#N/A</v>
      </c>
      <c r="E13" s="29">
        <f>_xll.StatCorrelationCoeff( ST_LEADERPARTICIPATION1,ST_COMMUNICATIONWAY1)</f>
        <v>-0.13140511713106437</v>
      </c>
      <c r="F13" s="29">
        <v>1</v>
      </c>
      <c r="G13" s="29" t="e">
        <f>$F$14</f>
        <v>#N/A</v>
      </c>
      <c r="H13" s="29">
        <f>$F$15</f>
        <v>0.12649349944183752</v>
      </c>
      <c r="I13" s="29">
        <f>$F$16</f>
        <v>-2.632747707851708E-2</v>
      </c>
      <c r="J13" s="29">
        <f>$F$17</f>
        <v>0.22566430431122764</v>
      </c>
      <c r="K13" s="29" t="e">
        <f>$F$18</f>
        <v>#N/A</v>
      </c>
      <c r="L13" s="29">
        <f>$F$19</f>
        <v>-0.11693280360646444</v>
      </c>
      <c r="M13" s="29" t="e">
        <f>$F$20</f>
        <v>#N/A</v>
      </c>
      <c r="N13" s="29">
        <f>$F$21</f>
        <v>9.9617562262887156E-3</v>
      </c>
      <c r="O13" s="29" t="e">
        <f>$F$22</f>
        <v>#N/A</v>
      </c>
      <c r="P13" s="29">
        <f>$F$23</f>
        <v>0.12582192637096404</v>
      </c>
      <c r="Q13" s="29">
        <f>$F$24</f>
        <v>5.7812740933970749E-2</v>
      </c>
      <c r="R13" s="29">
        <f>$F$25</f>
        <v>-0.10474074896574492</v>
      </c>
      <c r="S13" s="29" t="e">
        <f>$F$26</f>
        <v>#N/A</v>
      </c>
      <c r="T13" s="29" t="e">
        <f>$F$27</f>
        <v>#N/A</v>
      </c>
      <c r="U13" s="29" t="e">
        <f>$F$28</f>
        <v>#N/A</v>
      </c>
      <c r="V13" s="29">
        <f>$F$29</f>
        <v>-3.3924535609100123E-2</v>
      </c>
    </row>
    <row r="14" spans="1:22" ht="15" customHeight="1" x14ac:dyDescent="0.3">
      <c r="A14" s="26" t="s">
        <v>6</v>
      </c>
      <c r="B14" s="29" t="e">
        <f>_xll.StatCorrelationCoeff( ST_COMMUORG1,ST_HOUSEPIC1)</f>
        <v>#N/A</v>
      </c>
      <c r="C14" s="29" t="e">
        <f>_xll.StatCorrelationCoeff( ST_COMMUORG1,ST_INTERVIEWLANG1)</f>
        <v>#N/A</v>
      </c>
      <c r="D14" s="29" t="e">
        <f>_xll.StatCorrelationCoeff( ST_COMMUORG1,ST_INFORECIEVING1)</f>
        <v>#N/A</v>
      </c>
      <c r="E14" s="29" t="e">
        <f>_xll.StatCorrelationCoeff( ST_COMMUORG1,ST_COMMUNICATIONWAY1)</f>
        <v>#N/A</v>
      </c>
      <c r="F14" s="29" t="e">
        <f>_xll.StatCorrelationCoeff( ST_COMMUORG1,ST_LEADERPARTICIPATION1)</f>
        <v>#N/A</v>
      </c>
      <c r="G14" s="29">
        <v>1</v>
      </c>
      <c r="H14" s="29" t="e">
        <f>$G$15</f>
        <v>#N/A</v>
      </c>
      <c r="I14" s="29" t="e">
        <f>$G$16</f>
        <v>#N/A</v>
      </c>
      <c r="J14" s="29" t="e">
        <f>$G$17</f>
        <v>#N/A</v>
      </c>
      <c r="K14" s="29" t="e">
        <f>$G$18</f>
        <v>#N/A</v>
      </c>
      <c r="L14" s="29" t="e">
        <f>$G$19</f>
        <v>#N/A</v>
      </c>
      <c r="M14" s="29" t="e">
        <f>$G$20</f>
        <v>#N/A</v>
      </c>
      <c r="N14" s="29" t="e">
        <f>$G$21</f>
        <v>#N/A</v>
      </c>
      <c r="O14" s="29" t="e">
        <f>$G$22</f>
        <v>#N/A</v>
      </c>
      <c r="P14" s="29" t="e">
        <f>$G$23</f>
        <v>#N/A</v>
      </c>
      <c r="Q14" s="29" t="e">
        <f>$G$24</f>
        <v>#N/A</v>
      </c>
      <c r="R14" s="29" t="e">
        <f>$G$25</f>
        <v>#N/A</v>
      </c>
      <c r="S14" s="29" t="e">
        <f>$G$26</f>
        <v>#N/A</v>
      </c>
      <c r="T14" s="29" t="e">
        <f>$G$27</f>
        <v>#N/A</v>
      </c>
      <c r="U14" s="29" t="e">
        <f>$G$28</f>
        <v>#N/A</v>
      </c>
      <c r="V14" s="29" t="e">
        <f>$G$29</f>
        <v>#N/A</v>
      </c>
    </row>
    <row r="15" spans="1:22" ht="15" customHeight="1" x14ac:dyDescent="0.3">
      <c r="A15" s="26" t="s">
        <v>7</v>
      </c>
      <c r="B15" s="29" t="e">
        <f>_xll.StatCorrelationCoeff( ST_AVGMONSAL,ST_HOUSEPIC1)</f>
        <v>#N/A</v>
      </c>
      <c r="C15" s="29">
        <f>_xll.StatCorrelationCoeff( ST_AVGMONSAL,ST_INTERVIEWLANG1)</f>
        <v>0.30096305735111162</v>
      </c>
      <c r="D15" s="29" t="e">
        <f>_xll.StatCorrelationCoeff( ST_AVGMONSAL,ST_INFORECIEVING1)</f>
        <v>#N/A</v>
      </c>
      <c r="E15" s="29">
        <f>_xll.StatCorrelationCoeff( ST_AVGMONSAL,ST_COMMUNICATIONWAY1)</f>
        <v>-0.29795038395531792</v>
      </c>
      <c r="F15" s="29">
        <f>_xll.StatCorrelationCoeff( ST_AVGMONSAL,ST_LEADERPARTICIPATION1)</f>
        <v>0.12649349944183752</v>
      </c>
      <c r="G15" s="29" t="e">
        <f>_xll.StatCorrelationCoeff( ST_AVGMONSAL,ST_COMMUORG1)</f>
        <v>#N/A</v>
      </c>
      <c r="H15" s="29">
        <v>1</v>
      </c>
      <c r="I15" s="29">
        <f>$H$16</f>
        <v>-0.14833734701535065</v>
      </c>
      <c r="J15" s="29">
        <f>$H$17</f>
        <v>-4.7774421767849677E-2</v>
      </c>
      <c r="K15" s="29" t="e">
        <f>$H$18</f>
        <v>#N/A</v>
      </c>
      <c r="L15" s="29">
        <f>$H$19</f>
        <v>5.7658651525561905E-2</v>
      </c>
      <c r="M15" s="29" t="e">
        <f>$H$20</f>
        <v>#N/A</v>
      </c>
      <c r="N15" s="29">
        <f>$H$21</f>
        <v>0.32914578699601188</v>
      </c>
      <c r="O15" s="29" t="e">
        <f>$H$22</f>
        <v>#N/A</v>
      </c>
      <c r="P15" s="29">
        <f>$H$23</f>
        <v>2.1435978932257731E-2</v>
      </c>
      <c r="Q15" s="29">
        <f>$H$24</f>
        <v>3.8391271772766807E-3</v>
      </c>
      <c r="R15" s="29">
        <f>$H$25</f>
        <v>-0.30449905348680323</v>
      </c>
      <c r="S15" s="29" t="e">
        <f>$H$26</f>
        <v>#N/A</v>
      </c>
      <c r="T15" s="29" t="e">
        <f>$H$27</f>
        <v>#N/A</v>
      </c>
      <c r="U15" s="29" t="e">
        <f>$H$28</f>
        <v>#N/A</v>
      </c>
      <c r="V15" s="29" t="e">
        <f>$H$29</f>
        <v>#NUM!</v>
      </c>
    </row>
    <row r="16" spans="1:22" ht="15" customHeight="1" x14ac:dyDescent="0.3">
      <c r="A16" s="26" t="s">
        <v>8</v>
      </c>
      <c r="B16" s="29" t="e">
        <f>_xll.StatCorrelationCoeff( ST_HOUSEHEAD1,ST_HOUSEPIC1)</f>
        <v>#N/A</v>
      </c>
      <c r="C16" s="29">
        <f>_xll.StatCorrelationCoeff( ST_HOUSEHEAD1,ST_INTERVIEWLANG1)</f>
        <v>3.5088204459492719E-2</v>
      </c>
      <c r="D16" s="29" t="e">
        <f>_xll.StatCorrelationCoeff( ST_HOUSEHEAD1,ST_INFORECIEVING1)</f>
        <v>#N/A</v>
      </c>
      <c r="E16" s="29">
        <f>_xll.StatCorrelationCoeff( ST_HOUSEHEAD1,ST_COMMUNICATIONWAY1)</f>
        <v>5.0664502300018656E-2</v>
      </c>
      <c r="F16" s="29">
        <f>_xll.StatCorrelationCoeff( ST_HOUSEHEAD1,ST_LEADERPARTICIPATION1)</f>
        <v>-2.632747707851708E-2</v>
      </c>
      <c r="G16" s="29" t="e">
        <f>_xll.StatCorrelationCoeff( ST_HOUSEHEAD1,ST_COMMUORG1)</f>
        <v>#N/A</v>
      </c>
      <c r="H16" s="29">
        <f>_xll.StatCorrelationCoeff( ST_HOUSEHEAD1,ST_AVGMONSAL)</f>
        <v>-0.14833734701535065</v>
      </c>
      <c r="I16" s="29">
        <v>1</v>
      </c>
      <c r="J16" s="29">
        <f>$I$17</f>
        <v>0.15245035646296651</v>
      </c>
      <c r="K16" s="29" t="e">
        <f>$I$18</f>
        <v>#N/A</v>
      </c>
      <c r="L16" s="29">
        <f>$I$19</f>
        <v>0.16340554137697375</v>
      </c>
      <c r="M16" s="29" t="e">
        <f>$I$20</f>
        <v>#N/A</v>
      </c>
      <c r="N16" s="29">
        <f>$I$21</f>
        <v>-0.20102903859095433</v>
      </c>
      <c r="O16" s="29" t="e">
        <f>$I$22</f>
        <v>#N/A</v>
      </c>
      <c r="P16" s="29">
        <f>$I$23</f>
        <v>-9.8825053605941654E-2</v>
      </c>
      <c r="Q16" s="29">
        <f>$I$24</f>
        <v>5.0932711045220715E-2</v>
      </c>
      <c r="R16" s="29">
        <f>$I$25</f>
        <v>0.11628292308499216</v>
      </c>
      <c r="S16" s="29" t="e">
        <f>$I$26</f>
        <v>#N/A</v>
      </c>
      <c r="T16" s="29" t="e">
        <f>$I$27</f>
        <v>#N/A</v>
      </c>
      <c r="U16" s="29" t="e">
        <f>$I$28</f>
        <v>#N/A</v>
      </c>
      <c r="V16" s="29">
        <f>$I$29</f>
        <v>0.11919075882854313</v>
      </c>
    </row>
    <row r="17" spans="1:22" ht="15" customHeight="1" x14ac:dyDescent="0.3">
      <c r="A17" s="26" t="s">
        <v>9</v>
      </c>
      <c r="B17" s="29" t="e">
        <f>_xll.StatCorrelationCoeff( ST_NOHOUSEHOLD,ST_HOUSEPIC1)</f>
        <v>#N/A</v>
      </c>
      <c r="C17" s="29">
        <f>_xll.StatCorrelationCoeff( ST_NOHOUSEHOLD,ST_INTERVIEWLANG1)</f>
        <v>-0.23785300073274368</v>
      </c>
      <c r="D17" s="29" t="e">
        <f>_xll.StatCorrelationCoeff( ST_NOHOUSEHOLD,ST_INFORECIEVING1)</f>
        <v>#N/A</v>
      </c>
      <c r="E17" s="29">
        <f>_xll.StatCorrelationCoeff( ST_NOHOUSEHOLD,ST_COMMUNICATIONWAY1)</f>
        <v>-5.0377859986265941E-2</v>
      </c>
      <c r="F17" s="29">
        <f>_xll.StatCorrelationCoeff( ST_NOHOUSEHOLD,ST_LEADERPARTICIPATION1)</f>
        <v>0.22566430431122764</v>
      </c>
      <c r="G17" s="29" t="e">
        <f>_xll.StatCorrelationCoeff( ST_NOHOUSEHOLD,ST_COMMUORG1)</f>
        <v>#N/A</v>
      </c>
      <c r="H17" s="29">
        <f>_xll.StatCorrelationCoeff( ST_NOHOUSEHOLD,ST_AVGMONSAL)</f>
        <v>-4.7774421767849677E-2</v>
      </c>
      <c r="I17" s="29">
        <f>_xll.StatCorrelationCoeff( ST_NOHOUSEHOLD,ST_HOUSEHEAD1)</f>
        <v>0.15245035646296651</v>
      </c>
      <c r="J17" s="29">
        <v>1</v>
      </c>
      <c r="K17" s="29" t="e">
        <f>$J$18</f>
        <v>#N/A</v>
      </c>
      <c r="L17" s="29">
        <f>$J$19</f>
        <v>-0.10837657032615017</v>
      </c>
      <c r="M17" s="29" t="e">
        <f>$J$20</f>
        <v>#N/A</v>
      </c>
      <c r="N17" s="29">
        <f>$J$21</f>
        <v>-0.28442502047966628</v>
      </c>
      <c r="O17" s="29" t="e">
        <f>$J$22</f>
        <v>#N/A</v>
      </c>
      <c r="P17" s="29">
        <f>$J$23</f>
        <v>-1.5508328269960306E-2</v>
      </c>
      <c r="Q17" s="29">
        <f>$J$24</f>
        <v>6.8595945624991855E-2</v>
      </c>
      <c r="R17" s="29">
        <f>$J$25</f>
        <v>2.3243697712466233E-2</v>
      </c>
      <c r="S17" s="29" t="e">
        <f>$J$26</f>
        <v>#N/A</v>
      </c>
      <c r="T17" s="29" t="e">
        <f>$J$27</f>
        <v>#N/A</v>
      </c>
      <c r="U17" s="29" t="e">
        <f>$J$28</f>
        <v>#N/A</v>
      </c>
      <c r="V17" s="29">
        <f>$J$29</f>
        <v>0.12842896613420091</v>
      </c>
    </row>
    <row r="18" spans="1:22" ht="15" customHeight="1" x14ac:dyDescent="0.3">
      <c r="A18" s="26" t="s">
        <v>10</v>
      </c>
      <c r="B18" s="29" t="e">
        <f>_xll.StatCorrelationCoeff( ST_CHANGECOSITUA1,ST_HOUSEPIC1)</f>
        <v>#N/A</v>
      </c>
      <c r="C18" s="29" t="e">
        <f>_xll.StatCorrelationCoeff( ST_CHANGECOSITUA1,ST_INTERVIEWLANG1)</f>
        <v>#N/A</v>
      </c>
      <c r="D18" s="29" t="e">
        <f>_xll.StatCorrelationCoeff( ST_CHANGECOSITUA1,ST_INFORECIEVING1)</f>
        <v>#N/A</v>
      </c>
      <c r="E18" s="29" t="e">
        <f>_xll.StatCorrelationCoeff( ST_CHANGECOSITUA1,ST_COMMUNICATIONWAY1)</f>
        <v>#N/A</v>
      </c>
      <c r="F18" s="29" t="e">
        <f>_xll.StatCorrelationCoeff( ST_CHANGECOSITUA1,ST_LEADERPARTICIPATION1)</f>
        <v>#N/A</v>
      </c>
      <c r="G18" s="29" t="e">
        <f>_xll.StatCorrelationCoeff( ST_CHANGECOSITUA1,ST_COMMUORG1)</f>
        <v>#N/A</v>
      </c>
      <c r="H18" s="29" t="e">
        <f>_xll.StatCorrelationCoeff( ST_CHANGECOSITUA1,ST_AVGMONSAL)</f>
        <v>#N/A</v>
      </c>
      <c r="I18" s="29" t="e">
        <f>_xll.StatCorrelationCoeff( ST_CHANGECOSITUA1,ST_HOUSEHEAD1)</f>
        <v>#N/A</v>
      </c>
      <c r="J18" s="29" t="e">
        <f>_xll.StatCorrelationCoeff( ST_CHANGECOSITUA1,ST_NOHOUSEHOLD)</f>
        <v>#N/A</v>
      </c>
      <c r="K18" s="29">
        <v>1</v>
      </c>
      <c r="L18" s="29" t="e">
        <f>$K$19</f>
        <v>#N/A</v>
      </c>
      <c r="M18" s="29" t="e">
        <f>$K$20</f>
        <v>#N/A</v>
      </c>
      <c r="N18" s="29" t="e">
        <f>$K$21</f>
        <v>#N/A</v>
      </c>
      <c r="O18" s="29" t="e">
        <f>$K$22</f>
        <v>#N/A</v>
      </c>
      <c r="P18" s="29" t="e">
        <f>$K$23</f>
        <v>#N/A</v>
      </c>
      <c r="Q18" s="29" t="e">
        <f>$K$24</f>
        <v>#N/A</v>
      </c>
      <c r="R18" s="29" t="e">
        <f>$K$25</f>
        <v>#N/A</v>
      </c>
      <c r="S18" s="29" t="e">
        <f>$K$26</f>
        <v>#N/A</v>
      </c>
      <c r="T18" s="29" t="e">
        <f>$K$27</f>
        <v>#N/A</v>
      </c>
      <c r="U18" s="29" t="e">
        <f>$K$28</f>
        <v>#N/A</v>
      </c>
      <c r="V18" s="29" t="e">
        <f>$K$29</f>
        <v>#N/A</v>
      </c>
    </row>
    <row r="19" spans="1:22" ht="15" customHeight="1" x14ac:dyDescent="0.3">
      <c r="A19" s="26" t="s">
        <v>11</v>
      </c>
      <c r="B19" s="29" t="e">
        <f>_xll.StatCorrelationCoeff( ST_ACCSTATUS1,ST_HOUSEPIC1)</f>
        <v>#N/A</v>
      </c>
      <c r="C19" s="29">
        <f>_xll.StatCorrelationCoeff( ST_ACCSTATUS1,ST_INTERVIEWLANG1)</f>
        <v>8.7707406398070328E-2</v>
      </c>
      <c r="D19" s="29" t="e">
        <f>_xll.StatCorrelationCoeff( ST_ACCSTATUS1,ST_INFORECIEVING1)</f>
        <v>#N/A</v>
      </c>
      <c r="E19" s="29">
        <f>_xll.StatCorrelationCoeff( ST_ACCSTATUS1,ST_COMMUNICATIONWAY1)</f>
        <v>0.13799647381030491</v>
      </c>
      <c r="F19" s="29">
        <f>_xll.StatCorrelationCoeff( ST_ACCSTATUS1,ST_LEADERPARTICIPATION1)</f>
        <v>-0.11693280360646444</v>
      </c>
      <c r="G19" s="29" t="e">
        <f>_xll.StatCorrelationCoeff( ST_ACCSTATUS1,ST_COMMUORG1)</f>
        <v>#N/A</v>
      </c>
      <c r="H19" s="29">
        <f>_xll.StatCorrelationCoeff( ST_ACCSTATUS1,ST_AVGMONSAL)</f>
        <v>5.7658651525561905E-2</v>
      </c>
      <c r="I19" s="29">
        <f>_xll.StatCorrelationCoeff( ST_ACCSTATUS1,ST_HOUSEHEAD1)</f>
        <v>0.16340554137697375</v>
      </c>
      <c r="J19" s="29">
        <f>_xll.StatCorrelationCoeff( ST_ACCSTATUS1,ST_NOHOUSEHOLD)</f>
        <v>-0.10837657032615017</v>
      </c>
      <c r="K19" s="29" t="e">
        <f>_xll.StatCorrelationCoeff( ST_ACCSTATUS1,ST_CHANGECOSITUA1)</f>
        <v>#N/A</v>
      </c>
      <c r="L19" s="29">
        <v>1</v>
      </c>
      <c r="M19" s="29" t="e">
        <f>$L$20</f>
        <v>#N/A</v>
      </c>
      <c r="N19" s="29">
        <f>$L$21</f>
        <v>0.20582919427902738</v>
      </c>
      <c r="O19" s="29" t="e">
        <f>$L$22</f>
        <v>#N/A</v>
      </c>
      <c r="P19" s="29">
        <f>$L$23</f>
        <v>1.1507248564329272E-2</v>
      </c>
      <c r="Q19" s="29">
        <f>$L$24</f>
        <v>-1.8693748264125981E-2</v>
      </c>
      <c r="R19" s="29">
        <f>$L$25</f>
        <v>1.9852005394973477E-3</v>
      </c>
      <c r="S19" s="29" t="e">
        <f>$L$26</f>
        <v>#N/A</v>
      </c>
      <c r="T19" s="29" t="e">
        <f>$L$27</f>
        <v>#N/A</v>
      </c>
      <c r="U19" s="29" t="e">
        <f>$L$28</f>
        <v>#N/A</v>
      </c>
      <c r="V19" s="29">
        <f>$L$29</f>
        <v>-4.0235609321025524E-2</v>
      </c>
    </row>
    <row r="20" spans="1:22" ht="15" customHeight="1" x14ac:dyDescent="0.3">
      <c r="A20" s="26" t="s">
        <v>12</v>
      </c>
      <c r="B20" s="29" t="e">
        <f>_xll.StatCorrelationCoeff( ST_EDULEVEL1,ST_HOUSEPIC1)</f>
        <v>#N/A</v>
      </c>
      <c r="C20" s="29" t="e">
        <f>_xll.StatCorrelationCoeff( ST_EDULEVEL1,ST_INTERVIEWLANG1)</f>
        <v>#N/A</v>
      </c>
      <c r="D20" s="29" t="e">
        <f>_xll.StatCorrelationCoeff( ST_EDULEVEL1,ST_INFORECIEVING1)</f>
        <v>#N/A</v>
      </c>
      <c r="E20" s="29" t="e">
        <f>_xll.StatCorrelationCoeff( ST_EDULEVEL1,ST_COMMUNICATIONWAY1)</f>
        <v>#N/A</v>
      </c>
      <c r="F20" s="29" t="e">
        <f>_xll.StatCorrelationCoeff( ST_EDULEVEL1,ST_LEADERPARTICIPATION1)</f>
        <v>#N/A</v>
      </c>
      <c r="G20" s="29" t="e">
        <f>_xll.StatCorrelationCoeff( ST_EDULEVEL1,ST_COMMUORG1)</f>
        <v>#N/A</v>
      </c>
      <c r="H20" s="29" t="e">
        <f>_xll.StatCorrelationCoeff( ST_EDULEVEL1,ST_AVGMONSAL)</f>
        <v>#N/A</v>
      </c>
      <c r="I20" s="29" t="e">
        <f>_xll.StatCorrelationCoeff( ST_EDULEVEL1,ST_HOUSEHEAD1)</f>
        <v>#N/A</v>
      </c>
      <c r="J20" s="29" t="e">
        <f>_xll.StatCorrelationCoeff( ST_EDULEVEL1,ST_NOHOUSEHOLD)</f>
        <v>#N/A</v>
      </c>
      <c r="K20" s="29" t="e">
        <f>_xll.StatCorrelationCoeff( ST_EDULEVEL1,ST_CHANGECOSITUA1)</f>
        <v>#N/A</v>
      </c>
      <c r="L20" s="29" t="e">
        <f>_xll.StatCorrelationCoeff( ST_EDULEVEL1,ST_ACCSTATUS1)</f>
        <v>#N/A</v>
      </c>
      <c r="M20" s="29">
        <v>1</v>
      </c>
      <c r="N20" s="29" t="e">
        <f>$M$21</f>
        <v>#N/A</v>
      </c>
      <c r="O20" s="29" t="e">
        <f>$M$22</f>
        <v>#N/A</v>
      </c>
      <c r="P20" s="29" t="e">
        <f>$M$23</f>
        <v>#N/A</v>
      </c>
      <c r="Q20" s="29" t="e">
        <f>$M$24</f>
        <v>#N/A</v>
      </c>
      <c r="R20" s="29" t="e">
        <f>$M$25</f>
        <v>#N/A</v>
      </c>
      <c r="S20" s="29" t="e">
        <f>$M$26</f>
        <v>#N/A</v>
      </c>
      <c r="T20" s="29" t="e">
        <f>$M$27</f>
        <v>#N/A</v>
      </c>
      <c r="U20" s="29" t="e">
        <f>$M$28</f>
        <v>#N/A</v>
      </c>
      <c r="V20" s="29" t="e">
        <f>$M$29</f>
        <v>#N/A</v>
      </c>
    </row>
    <row r="21" spans="1:22" ht="15" customHeight="1" x14ac:dyDescent="0.3">
      <c r="A21" s="26" t="s">
        <v>13</v>
      </c>
      <c r="B21" s="29" t="e">
        <f>_xll.StatCorrelationCoeff( ST_PARTICIPANTJOB1,ST_HOUSEPIC1)</f>
        <v>#N/A</v>
      </c>
      <c r="C21" s="29">
        <f>_xll.StatCorrelationCoeff( ST_PARTICIPANTJOB1,ST_INTERVIEWLANG1)</f>
        <v>9.3013292961690947E-2</v>
      </c>
      <c r="D21" s="29" t="e">
        <f>_xll.StatCorrelationCoeff( ST_PARTICIPANTJOB1,ST_INFORECIEVING1)</f>
        <v>#N/A</v>
      </c>
      <c r="E21" s="29">
        <f>_xll.StatCorrelationCoeff( ST_PARTICIPANTJOB1,ST_COMMUNICATIONWAY1)</f>
        <v>-1.9244862283677847E-2</v>
      </c>
      <c r="F21" s="29">
        <f>_xll.StatCorrelationCoeff( ST_PARTICIPANTJOB1,ST_LEADERPARTICIPATION1)</f>
        <v>9.9617562262887156E-3</v>
      </c>
      <c r="G21" s="29" t="e">
        <f>_xll.StatCorrelationCoeff( ST_PARTICIPANTJOB1,ST_COMMUORG1)</f>
        <v>#N/A</v>
      </c>
      <c r="H21" s="29">
        <f>_xll.StatCorrelationCoeff( ST_PARTICIPANTJOB1,ST_AVGMONSAL)</f>
        <v>0.32914578699601188</v>
      </c>
      <c r="I21" s="29">
        <f>_xll.StatCorrelationCoeff( ST_PARTICIPANTJOB1,ST_HOUSEHEAD1)</f>
        <v>-0.20102903859095433</v>
      </c>
      <c r="J21" s="29">
        <f>_xll.StatCorrelationCoeff( ST_PARTICIPANTJOB1,ST_NOHOUSEHOLD)</f>
        <v>-0.28442502047966628</v>
      </c>
      <c r="K21" s="29" t="e">
        <f>_xll.StatCorrelationCoeff( ST_PARTICIPANTJOB1,ST_CHANGECOSITUA1)</f>
        <v>#N/A</v>
      </c>
      <c r="L21" s="29">
        <f>_xll.StatCorrelationCoeff( ST_PARTICIPANTJOB1,ST_ACCSTATUS1)</f>
        <v>0.20582919427902738</v>
      </c>
      <c r="M21" s="29" t="e">
        <f>_xll.StatCorrelationCoeff( ST_PARTICIPANTJOB1,ST_EDULEVEL1)</f>
        <v>#N/A</v>
      </c>
      <c r="N21" s="29">
        <v>1</v>
      </c>
      <c r="O21" s="29" t="e">
        <f>$N$22</f>
        <v>#N/A</v>
      </c>
      <c r="P21" s="29">
        <f>$N$23</f>
        <v>-1.6556636734604765E-2</v>
      </c>
      <c r="Q21" s="29">
        <f>$N$24</f>
        <v>1.9218331334431835E-2</v>
      </c>
      <c r="R21" s="29">
        <f>$N$25</f>
        <v>-0.20320339981742061</v>
      </c>
      <c r="S21" s="29" t="e">
        <f>$N$26</f>
        <v>#N/A</v>
      </c>
      <c r="T21" s="29" t="e">
        <f>$N$27</f>
        <v>#N/A</v>
      </c>
      <c r="U21" s="29" t="e">
        <f>$N$28</f>
        <v>#N/A</v>
      </c>
      <c r="V21" s="29">
        <f>$N$29</f>
        <v>-8.5693945434933097E-2</v>
      </c>
    </row>
    <row r="22" spans="1:22" ht="15" customHeight="1" x14ac:dyDescent="0.3">
      <c r="A22" s="26" t="s">
        <v>14</v>
      </c>
      <c r="B22" s="29" t="e">
        <f>_xll.StatCorrelationCoeff( ST_SELFBUILTHOUSE1,ST_HOUSEPIC1)</f>
        <v>#N/A</v>
      </c>
      <c r="C22" s="29" t="e">
        <f>_xll.StatCorrelationCoeff( ST_SELFBUILTHOUSE1,ST_INTERVIEWLANG1)</f>
        <v>#N/A</v>
      </c>
      <c r="D22" s="29" t="e">
        <f>_xll.StatCorrelationCoeff( ST_SELFBUILTHOUSE1,ST_INFORECIEVING1)</f>
        <v>#N/A</v>
      </c>
      <c r="E22" s="29" t="e">
        <f>_xll.StatCorrelationCoeff( ST_SELFBUILTHOUSE1,ST_COMMUNICATIONWAY1)</f>
        <v>#N/A</v>
      </c>
      <c r="F22" s="29" t="e">
        <f>_xll.StatCorrelationCoeff( ST_SELFBUILTHOUSE1,ST_LEADERPARTICIPATION1)</f>
        <v>#N/A</v>
      </c>
      <c r="G22" s="29" t="e">
        <f>_xll.StatCorrelationCoeff( ST_SELFBUILTHOUSE1,ST_COMMUORG1)</f>
        <v>#N/A</v>
      </c>
      <c r="H22" s="29" t="e">
        <f>_xll.StatCorrelationCoeff( ST_SELFBUILTHOUSE1,ST_AVGMONSAL)</f>
        <v>#N/A</v>
      </c>
      <c r="I22" s="29" t="e">
        <f>_xll.StatCorrelationCoeff( ST_SELFBUILTHOUSE1,ST_HOUSEHEAD1)</f>
        <v>#N/A</v>
      </c>
      <c r="J22" s="29" t="e">
        <f>_xll.StatCorrelationCoeff( ST_SELFBUILTHOUSE1,ST_NOHOUSEHOLD)</f>
        <v>#N/A</v>
      </c>
      <c r="K22" s="29" t="e">
        <f>_xll.StatCorrelationCoeff( ST_SELFBUILTHOUSE1,ST_CHANGECOSITUA1)</f>
        <v>#N/A</v>
      </c>
      <c r="L22" s="29" t="e">
        <f>_xll.StatCorrelationCoeff( ST_SELFBUILTHOUSE1,ST_ACCSTATUS1)</f>
        <v>#N/A</v>
      </c>
      <c r="M22" s="29" t="e">
        <f>_xll.StatCorrelationCoeff( ST_SELFBUILTHOUSE1,ST_EDULEVEL1)</f>
        <v>#N/A</v>
      </c>
      <c r="N22" s="29" t="e">
        <f>_xll.StatCorrelationCoeff( ST_SELFBUILTHOUSE1,ST_PARTICIPANTJOB1)</f>
        <v>#N/A</v>
      </c>
      <c r="O22" s="29">
        <v>1</v>
      </c>
      <c r="P22" s="29" t="e">
        <f>$O$23</f>
        <v>#N/A</v>
      </c>
      <c r="Q22" s="29" t="e">
        <f>$O$24</f>
        <v>#N/A</v>
      </c>
      <c r="R22" s="29" t="e">
        <f>$O$25</f>
        <v>#N/A</v>
      </c>
      <c r="S22" s="29" t="e">
        <f>$O$26</f>
        <v>#N/A</v>
      </c>
      <c r="T22" s="29" t="e">
        <f>$O$27</f>
        <v>#N/A</v>
      </c>
      <c r="U22" s="29" t="e">
        <f>$O$28</f>
        <v>#N/A</v>
      </c>
      <c r="V22" s="29" t="e">
        <f>$O$29</f>
        <v>#N/A</v>
      </c>
    </row>
    <row r="23" spans="1:22" ht="15" customHeight="1" x14ac:dyDescent="0.3">
      <c r="A23" s="26" t="s">
        <v>15</v>
      </c>
      <c r="B23" s="29" t="e">
        <f>_xll.StatCorrelationCoeff( ST_VEGES1,ST_HOUSEPIC1)</f>
        <v>#N/A</v>
      </c>
      <c r="C23" s="29">
        <f>_xll.StatCorrelationCoeff( ST_VEGES1,ST_INTERVIEWLANG1)</f>
        <v>3.3552135648821139E-3</v>
      </c>
      <c r="D23" s="29" t="e">
        <f>_xll.StatCorrelationCoeff( ST_VEGES1,ST_INFORECIEVING1)</f>
        <v>#N/A</v>
      </c>
      <c r="E23" s="29">
        <f>_xll.StatCorrelationCoeff( ST_VEGES1,ST_COMMUNICATIONWAY1)</f>
        <v>-7.5201539175911186E-2</v>
      </c>
      <c r="F23" s="29">
        <f>_xll.StatCorrelationCoeff( ST_VEGES1,ST_LEADERPARTICIPATION1)</f>
        <v>0.12582192637096404</v>
      </c>
      <c r="G23" s="29" t="e">
        <f>_xll.StatCorrelationCoeff( ST_VEGES1,ST_COMMUORG1)</f>
        <v>#N/A</v>
      </c>
      <c r="H23" s="29">
        <f>_xll.StatCorrelationCoeff( ST_VEGES1,ST_AVGMONSAL)</f>
        <v>2.1435978932257731E-2</v>
      </c>
      <c r="I23" s="29">
        <f>_xll.StatCorrelationCoeff( ST_VEGES1,ST_HOUSEHEAD1)</f>
        <v>-9.8825053605941654E-2</v>
      </c>
      <c r="J23" s="29">
        <f>_xll.StatCorrelationCoeff( ST_VEGES1,ST_NOHOUSEHOLD)</f>
        <v>-1.5508328269960306E-2</v>
      </c>
      <c r="K23" s="29" t="e">
        <f>_xll.StatCorrelationCoeff( ST_VEGES1,ST_CHANGECOSITUA1)</f>
        <v>#N/A</v>
      </c>
      <c r="L23" s="29">
        <f>_xll.StatCorrelationCoeff( ST_VEGES1,ST_ACCSTATUS1)</f>
        <v>1.1507248564329272E-2</v>
      </c>
      <c r="M23" s="29" t="e">
        <f>_xll.StatCorrelationCoeff( ST_VEGES1,ST_EDULEVEL1)</f>
        <v>#N/A</v>
      </c>
      <c r="N23" s="29">
        <f>_xll.StatCorrelationCoeff( ST_VEGES1,ST_PARTICIPANTJOB1)</f>
        <v>-1.6556636734604765E-2</v>
      </c>
      <c r="O23" s="29" t="e">
        <f>_xll.StatCorrelationCoeff( ST_VEGES1,ST_SELFBUILTHOUSE1)</f>
        <v>#N/A</v>
      </c>
      <c r="P23" s="29">
        <v>1</v>
      </c>
      <c r="Q23" s="29">
        <f>$P$24</f>
        <v>0.11938676039661257</v>
      </c>
      <c r="R23" s="29">
        <f>$P$25</f>
        <v>1.6160531939966586E-2</v>
      </c>
      <c r="S23" s="29" t="e">
        <f>$P$26</f>
        <v>#N/A</v>
      </c>
      <c r="T23" s="29" t="e">
        <f>$P$27</f>
        <v>#N/A</v>
      </c>
      <c r="U23" s="29" t="e">
        <f>$P$28</f>
        <v>#N/A</v>
      </c>
      <c r="V23" s="29">
        <f>$P$29</f>
        <v>-3.5239532550231351E-2</v>
      </c>
    </row>
    <row r="24" spans="1:22" ht="15" customHeight="1" x14ac:dyDescent="0.3">
      <c r="A24" s="26" t="s">
        <v>16</v>
      </c>
      <c r="B24" s="29" t="e">
        <f>_xll.StatCorrelationCoeff( ST_FLOODEXP1,ST_HOUSEPIC1)</f>
        <v>#N/A</v>
      </c>
      <c r="C24" s="29">
        <f>_xll.StatCorrelationCoeff( ST_FLOODEXP1,ST_INTERVIEWLANG1)</f>
        <v>-6.960575579871299E-2</v>
      </c>
      <c r="D24" s="29" t="e">
        <f>_xll.StatCorrelationCoeff( ST_FLOODEXP1,ST_INFORECIEVING1)</f>
        <v>#N/A</v>
      </c>
      <c r="E24" s="29">
        <f>_xll.StatCorrelationCoeff( ST_FLOODEXP1,ST_COMMUNICATIONWAY1)</f>
        <v>-0.13109190391716385</v>
      </c>
      <c r="F24" s="29">
        <f>_xll.StatCorrelationCoeff( ST_FLOODEXP1,ST_LEADERPARTICIPATION1)</f>
        <v>5.7812740933970749E-2</v>
      </c>
      <c r="G24" s="29" t="e">
        <f>_xll.StatCorrelationCoeff( ST_FLOODEXP1,ST_COMMUORG1)</f>
        <v>#N/A</v>
      </c>
      <c r="H24" s="29">
        <f>_xll.StatCorrelationCoeff( ST_FLOODEXP1,ST_AVGMONSAL)</f>
        <v>3.8391271772766807E-3</v>
      </c>
      <c r="I24" s="29">
        <f>_xll.StatCorrelationCoeff( ST_FLOODEXP1,ST_HOUSEHEAD1)</f>
        <v>5.0932711045220715E-2</v>
      </c>
      <c r="J24" s="29">
        <f>_xll.StatCorrelationCoeff( ST_FLOODEXP1,ST_NOHOUSEHOLD)</f>
        <v>6.8595945624991855E-2</v>
      </c>
      <c r="K24" s="29" t="e">
        <f>_xll.StatCorrelationCoeff( ST_FLOODEXP1,ST_CHANGECOSITUA1)</f>
        <v>#N/A</v>
      </c>
      <c r="L24" s="29">
        <f>_xll.StatCorrelationCoeff( ST_FLOODEXP1,ST_ACCSTATUS1)</f>
        <v>-1.8693748264125981E-2</v>
      </c>
      <c r="M24" s="29" t="e">
        <f>_xll.StatCorrelationCoeff( ST_FLOODEXP1,ST_EDULEVEL1)</f>
        <v>#N/A</v>
      </c>
      <c r="N24" s="29">
        <f>_xll.StatCorrelationCoeff( ST_FLOODEXP1,ST_PARTICIPANTJOB1)</f>
        <v>1.9218331334431835E-2</v>
      </c>
      <c r="O24" s="29" t="e">
        <f>_xll.StatCorrelationCoeff( ST_FLOODEXP1,ST_SELFBUILTHOUSE1)</f>
        <v>#N/A</v>
      </c>
      <c r="P24" s="29">
        <f>_xll.StatCorrelationCoeff( ST_FLOODEXP1,ST_VEGES1)</f>
        <v>0.11938676039661257</v>
      </c>
      <c r="Q24" s="29">
        <v>1</v>
      </c>
      <c r="R24" s="29" t="e">
        <f>$Q$25</f>
        <v>#NUM!</v>
      </c>
      <c r="S24" s="29" t="e">
        <f>$Q$26</f>
        <v>#N/A</v>
      </c>
      <c r="T24" s="29" t="e">
        <f>$Q$27</f>
        <v>#N/A</v>
      </c>
      <c r="U24" s="29" t="e">
        <f>$Q$28</f>
        <v>#N/A</v>
      </c>
      <c r="V24" s="29">
        <f>$Q$29</f>
        <v>9.7475138307165032E-2</v>
      </c>
    </row>
    <row r="25" spans="1:22" ht="15" customHeight="1" x14ac:dyDescent="0.3">
      <c r="A25" s="26" t="s">
        <v>17</v>
      </c>
      <c r="B25" s="29" t="e">
        <f>_xll.StatCorrelationCoeff( ST_YRLYFLOOD,ST_HOUSEPIC1)</f>
        <v>#N/A</v>
      </c>
      <c r="C25" s="29">
        <f>_xll.StatCorrelationCoeff( ST_YRLYFLOOD,ST_INTERVIEWLANG1)</f>
        <v>0.36150300282151587</v>
      </c>
      <c r="D25" s="29" t="e">
        <f>_xll.StatCorrelationCoeff( ST_YRLYFLOOD,ST_INFORECIEVING1)</f>
        <v>#N/A</v>
      </c>
      <c r="E25" s="29">
        <f>_xll.StatCorrelationCoeff( ST_YRLYFLOOD,ST_COMMUNICATIONWAY1)</f>
        <v>0.16464058624792535</v>
      </c>
      <c r="F25" s="29">
        <f>_xll.StatCorrelationCoeff( ST_YRLYFLOOD,ST_LEADERPARTICIPATION1)</f>
        <v>-0.10474074896574492</v>
      </c>
      <c r="G25" s="29" t="e">
        <f>_xll.StatCorrelationCoeff( ST_YRLYFLOOD,ST_COMMUORG1)</f>
        <v>#N/A</v>
      </c>
      <c r="H25" s="29">
        <f>_xll.StatCorrelationCoeff( ST_YRLYFLOOD,ST_AVGMONSAL)</f>
        <v>-0.30449905348680323</v>
      </c>
      <c r="I25" s="29">
        <f>_xll.StatCorrelationCoeff( ST_YRLYFLOOD,ST_HOUSEHEAD1)</f>
        <v>0.11628292308499216</v>
      </c>
      <c r="J25" s="29">
        <f>_xll.StatCorrelationCoeff( ST_YRLYFLOOD,ST_NOHOUSEHOLD)</f>
        <v>2.3243697712466233E-2</v>
      </c>
      <c r="K25" s="29" t="e">
        <f>_xll.StatCorrelationCoeff( ST_YRLYFLOOD,ST_CHANGECOSITUA1)</f>
        <v>#N/A</v>
      </c>
      <c r="L25" s="29">
        <f>_xll.StatCorrelationCoeff( ST_YRLYFLOOD,ST_ACCSTATUS1)</f>
        <v>1.9852005394973477E-3</v>
      </c>
      <c r="M25" s="29" t="e">
        <f>_xll.StatCorrelationCoeff( ST_YRLYFLOOD,ST_EDULEVEL1)</f>
        <v>#N/A</v>
      </c>
      <c r="N25" s="29">
        <f>_xll.StatCorrelationCoeff( ST_YRLYFLOOD,ST_PARTICIPANTJOB1)</f>
        <v>-0.20320339981742061</v>
      </c>
      <c r="O25" s="29" t="e">
        <f>_xll.StatCorrelationCoeff( ST_YRLYFLOOD,ST_SELFBUILTHOUSE1)</f>
        <v>#N/A</v>
      </c>
      <c r="P25" s="29">
        <f>_xll.StatCorrelationCoeff( ST_YRLYFLOOD,ST_VEGES1)</f>
        <v>1.6160531939966586E-2</v>
      </c>
      <c r="Q25" s="29" t="e">
        <f>_xll.StatCorrelationCoeff( ST_YRLYFLOOD,ST_FLOODEXP1)</f>
        <v>#NUM!</v>
      </c>
      <c r="R25" s="29">
        <v>1</v>
      </c>
      <c r="S25" s="29" t="e">
        <f>$R$26</f>
        <v>#N/A</v>
      </c>
      <c r="T25" s="29" t="e">
        <f>$R$27</f>
        <v>#N/A</v>
      </c>
      <c r="U25" s="29" t="e">
        <f>$R$28</f>
        <v>#N/A</v>
      </c>
      <c r="V25" s="29">
        <f>$R$29</f>
        <v>-4.9653559193312644E-2</v>
      </c>
    </row>
    <row r="26" spans="1:22" ht="15" customHeight="1" x14ac:dyDescent="0.3">
      <c r="A26" s="26" t="s">
        <v>18</v>
      </c>
      <c r="B26" s="29" t="e">
        <f>_xll.StatCorrelationCoeff( ST_FIREEXP1,ST_HOUSEPIC1)</f>
        <v>#N/A</v>
      </c>
      <c r="C26" s="29" t="e">
        <f>_xll.StatCorrelationCoeff( ST_FIREEXP1,ST_INTERVIEWLANG1)</f>
        <v>#N/A</v>
      </c>
      <c r="D26" s="29" t="e">
        <f>_xll.StatCorrelationCoeff( ST_FIREEXP1,ST_INFORECIEVING1)</f>
        <v>#N/A</v>
      </c>
      <c r="E26" s="29" t="e">
        <f>_xll.StatCorrelationCoeff( ST_FIREEXP1,ST_COMMUNICATIONWAY1)</f>
        <v>#N/A</v>
      </c>
      <c r="F26" s="29" t="e">
        <f>_xll.StatCorrelationCoeff( ST_FIREEXP1,ST_LEADERPARTICIPATION1)</f>
        <v>#N/A</v>
      </c>
      <c r="G26" s="29" t="e">
        <f>_xll.StatCorrelationCoeff( ST_FIREEXP1,ST_COMMUORG1)</f>
        <v>#N/A</v>
      </c>
      <c r="H26" s="29" t="e">
        <f>_xll.StatCorrelationCoeff( ST_FIREEXP1,ST_AVGMONSAL)</f>
        <v>#N/A</v>
      </c>
      <c r="I26" s="29" t="e">
        <f>_xll.StatCorrelationCoeff( ST_FIREEXP1,ST_HOUSEHEAD1)</f>
        <v>#N/A</v>
      </c>
      <c r="J26" s="29" t="e">
        <f>_xll.StatCorrelationCoeff( ST_FIREEXP1,ST_NOHOUSEHOLD)</f>
        <v>#N/A</v>
      </c>
      <c r="K26" s="29" t="e">
        <f>_xll.StatCorrelationCoeff( ST_FIREEXP1,ST_CHANGECOSITUA1)</f>
        <v>#N/A</v>
      </c>
      <c r="L26" s="29" t="e">
        <f>_xll.StatCorrelationCoeff( ST_FIREEXP1,ST_ACCSTATUS1)</f>
        <v>#N/A</v>
      </c>
      <c r="M26" s="29" t="e">
        <f>_xll.StatCorrelationCoeff( ST_FIREEXP1,ST_EDULEVEL1)</f>
        <v>#N/A</v>
      </c>
      <c r="N26" s="29" t="e">
        <f>_xll.StatCorrelationCoeff( ST_FIREEXP1,ST_PARTICIPANTJOB1)</f>
        <v>#N/A</v>
      </c>
      <c r="O26" s="29" t="e">
        <f>_xll.StatCorrelationCoeff( ST_FIREEXP1,ST_SELFBUILTHOUSE1)</f>
        <v>#N/A</v>
      </c>
      <c r="P26" s="29" t="e">
        <f>_xll.StatCorrelationCoeff( ST_FIREEXP1,ST_VEGES1)</f>
        <v>#N/A</v>
      </c>
      <c r="Q26" s="29" t="e">
        <f>_xll.StatCorrelationCoeff( ST_FIREEXP1,ST_FLOODEXP1)</f>
        <v>#N/A</v>
      </c>
      <c r="R26" s="29" t="e">
        <f>_xll.StatCorrelationCoeff( ST_FIREEXP1,ST_YRLYFLOOD)</f>
        <v>#N/A</v>
      </c>
      <c r="S26" s="29">
        <v>1</v>
      </c>
      <c r="T26" s="29" t="e">
        <f>$S$27</f>
        <v>#N/A</v>
      </c>
      <c r="U26" s="29" t="e">
        <f>$S$28</f>
        <v>#N/A</v>
      </c>
      <c r="V26" s="29" t="e">
        <f>$S$29</f>
        <v>#N/A</v>
      </c>
    </row>
    <row r="27" spans="1:22" ht="15" customHeight="1" x14ac:dyDescent="0.3">
      <c r="A27" s="26" t="s">
        <v>19</v>
      </c>
      <c r="B27" s="29" t="e">
        <f>_xll.StatCorrelationCoeff( ST_WATERSATISFIED1,ST_HOUSEPIC1)</f>
        <v>#N/A</v>
      </c>
      <c r="C27" s="29" t="e">
        <f>_xll.StatCorrelationCoeff( ST_WATERSATISFIED1,ST_INTERVIEWLANG1)</f>
        <v>#N/A</v>
      </c>
      <c r="D27" s="29" t="e">
        <f>_xll.StatCorrelationCoeff( ST_WATERSATISFIED1,ST_INFORECIEVING1)</f>
        <v>#N/A</v>
      </c>
      <c r="E27" s="29" t="e">
        <f>_xll.StatCorrelationCoeff( ST_WATERSATISFIED1,ST_COMMUNICATIONWAY1)</f>
        <v>#N/A</v>
      </c>
      <c r="F27" s="29" t="e">
        <f>_xll.StatCorrelationCoeff( ST_WATERSATISFIED1,ST_LEADERPARTICIPATION1)</f>
        <v>#N/A</v>
      </c>
      <c r="G27" s="29" t="e">
        <f>_xll.StatCorrelationCoeff( ST_WATERSATISFIED1,ST_COMMUORG1)</f>
        <v>#N/A</v>
      </c>
      <c r="H27" s="29" t="e">
        <f>_xll.StatCorrelationCoeff( ST_WATERSATISFIED1,ST_AVGMONSAL)</f>
        <v>#N/A</v>
      </c>
      <c r="I27" s="29" t="e">
        <f>_xll.StatCorrelationCoeff( ST_WATERSATISFIED1,ST_HOUSEHEAD1)</f>
        <v>#N/A</v>
      </c>
      <c r="J27" s="29" t="e">
        <f>_xll.StatCorrelationCoeff( ST_WATERSATISFIED1,ST_NOHOUSEHOLD)</f>
        <v>#N/A</v>
      </c>
      <c r="K27" s="29" t="e">
        <f>_xll.StatCorrelationCoeff( ST_WATERSATISFIED1,ST_CHANGECOSITUA1)</f>
        <v>#N/A</v>
      </c>
      <c r="L27" s="29" t="e">
        <f>_xll.StatCorrelationCoeff( ST_WATERSATISFIED1,ST_ACCSTATUS1)</f>
        <v>#N/A</v>
      </c>
      <c r="M27" s="29" t="e">
        <f>_xll.StatCorrelationCoeff( ST_WATERSATISFIED1,ST_EDULEVEL1)</f>
        <v>#N/A</v>
      </c>
      <c r="N27" s="29" t="e">
        <f>_xll.StatCorrelationCoeff( ST_WATERSATISFIED1,ST_PARTICIPANTJOB1)</f>
        <v>#N/A</v>
      </c>
      <c r="O27" s="29" t="e">
        <f>_xll.StatCorrelationCoeff( ST_WATERSATISFIED1,ST_SELFBUILTHOUSE1)</f>
        <v>#N/A</v>
      </c>
      <c r="P27" s="29" t="e">
        <f>_xll.StatCorrelationCoeff( ST_WATERSATISFIED1,ST_VEGES1)</f>
        <v>#N/A</v>
      </c>
      <c r="Q27" s="29" t="e">
        <f>_xll.StatCorrelationCoeff( ST_WATERSATISFIED1,ST_FLOODEXP1)</f>
        <v>#N/A</v>
      </c>
      <c r="R27" s="29" t="e">
        <f>_xll.StatCorrelationCoeff( ST_WATERSATISFIED1,ST_YRLYFLOOD)</f>
        <v>#N/A</v>
      </c>
      <c r="S27" s="29" t="e">
        <f>_xll.StatCorrelationCoeff( ST_WATERSATISFIED1,ST_FIREEXP1)</f>
        <v>#N/A</v>
      </c>
      <c r="T27" s="29">
        <v>1</v>
      </c>
      <c r="U27" s="29" t="e">
        <f>$T$28</f>
        <v>#N/A</v>
      </c>
      <c r="V27" s="29" t="e">
        <f>$T$29</f>
        <v>#N/A</v>
      </c>
    </row>
    <row r="28" spans="1:22" ht="15" customHeight="1" x14ac:dyDescent="0.3">
      <c r="A28" s="26" t="s">
        <v>20</v>
      </c>
      <c r="B28" s="29" t="e">
        <f>_xll.StatCorrelationCoeff( ST_TOILETTYPE1,ST_HOUSEPIC1)</f>
        <v>#N/A</v>
      </c>
      <c r="C28" s="29" t="e">
        <f>_xll.StatCorrelationCoeff( ST_TOILETTYPE1,ST_INTERVIEWLANG1)</f>
        <v>#N/A</v>
      </c>
      <c r="D28" s="29" t="e">
        <f>_xll.StatCorrelationCoeff( ST_TOILETTYPE1,ST_INFORECIEVING1)</f>
        <v>#N/A</v>
      </c>
      <c r="E28" s="29" t="e">
        <f>_xll.StatCorrelationCoeff( ST_TOILETTYPE1,ST_COMMUNICATIONWAY1)</f>
        <v>#N/A</v>
      </c>
      <c r="F28" s="29" t="e">
        <f>_xll.StatCorrelationCoeff( ST_TOILETTYPE1,ST_LEADERPARTICIPATION1)</f>
        <v>#N/A</v>
      </c>
      <c r="G28" s="29" t="e">
        <f>_xll.StatCorrelationCoeff( ST_TOILETTYPE1,ST_COMMUORG1)</f>
        <v>#N/A</v>
      </c>
      <c r="H28" s="29" t="e">
        <f>_xll.StatCorrelationCoeff( ST_TOILETTYPE1,ST_AVGMONSAL)</f>
        <v>#N/A</v>
      </c>
      <c r="I28" s="29" t="e">
        <f>_xll.StatCorrelationCoeff( ST_TOILETTYPE1,ST_HOUSEHEAD1)</f>
        <v>#N/A</v>
      </c>
      <c r="J28" s="29" t="e">
        <f>_xll.StatCorrelationCoeff( ST_TOILETTYPE1,ST_NOHOUSEHOLD)</f>
        <v>#N/A</v>
      </c>
      <c r="K28" s="29" t="e">
        <f>_xll.StatCorrelationCoeff( ST_TOILETTYPE1,ST_CHANGECOSITUA1)</f>
        <v>#N/A</v>
      </c>
      <c r="L28" s="29" t="e">
        <f>_xll.StatCorrelationCoeff( ST_TOILETTYPE1,ST_ACCSTATUS1)</f>
        <v>#N/A</v>
      </c>
      <c r="M28" s="29" t="e">
        <f>_xll.StatCorrelationCoeff( ST_TOILETTYPE1,ST_EDULEVEL1)</f>
        <v>#N/A</v>
      </c>
      <c r="N28" s="29" t="e">
        <f>_xll.StatCorrelationCoeff( ST_TOILETTYPE1,ST_PARTICIPANTJOB1)</f>
        <v>#N/A</v>
      </c>
      <c r="O28" s="29" t="e">
        <f>_xll.StatCorrelationCoeff( ST_TOILETTYPE1,ST_SELFBUILTHOUSE1)</f>
        <v>#N/A</v>
      </c>
      <c r="P28" s="29" t="e">
        <f>_xll.StatCorrelationCoeff( ST_TOILETTYPE1,ST_VEGES1)</f>
        <v>#N/A</v>
      </c>
      <c r="Q28" s="29" t="e">
        <f>_xll.StatCorrelationCoeff( ST_TOILETTYPE1,ST_FLOODEXP1)</f>
        <v>#N/A</v>
      </c>
      <c r="R28" s="29" t="e">
        <f>_xll.StatCorrelationCoeff( ST_TOILETTYPE1,ST_YRLYFLOOD)</f>
        <v>#N/A</v>
      </c>
      <c r="S28" s="29" t="e">
        <f>_xll.StatCorrelationCoeff( ST_TOILETTYPE1,ST_FIREEXP1)</f>
        <v>#N/A</v>
      </c>
      <c r="T28" s="29" t="e">
        <f>_xll.StatCorrelationCoeff( ST_TOILETTYPE1,ST_WATERSATISFIED1)</f>
        <v>#N/A</v>
      </c>
      <c r="U28" s="29">
        <v>1</v>
      </c>
      <c r="V28" s="29" t="e">
        <f>$U$29</f>
        <v>#N/A</v>
      </c>
    </row>
    <row r="29" spans="1:22" ht="15" customHeight="1" x14ac:dyDescent="0.3">
      <c r="A29" s="26" t="s">
        <v>21</v>
      </c>
      <c r="B29" s="29" t="e">
        <f>_xll.StatCorrelationCoeff( ST_WATERSOURCE1,ST_HOUSEPIC1)</f>
        <v>#N/A</v>
      </c>
      <c r="C29" s="29">
        <f>_xll.StatCorrelationCoeff( ST_WATERSOURCE1,ST_INTERVIEWLANG1)</f>
        <v>-0.10002778935721308</v>
      </c>
      <c r="D29" s="29" t="e">
        <f>_xll.StatCorrelationCoeff( ST_WATERSOURCE1,ST_INFORECIEVING1)</f>
        <v>#N/A</v>
      </c>
      <c r="E29" s="29">
        <f>_xll.StatCorrelationCoeff( ST_WATERSOURCE1,ST_COMMUNICATIONWAY1)</f>
        <v>-7.9825836287595597E-2</v>
      </c>
      <c r="F29" s="29">
        <f>_xll.StatCorrelationCoeff( ST_WATERSOURCE1,ST_LEADERPARTICIPATION1)</f>
        <v>-3.3924535609100123E-2</v>
      </c>
      <c r="G29" s="29" t="e">
        <f>_xll.StatCorrelationCoeff( ST_WATERSOURCE1,ST_COMMUORG1)</f>
        <v>#N/A</v>
      </c>
      <c r="H29" s="29" t="e">
        <f>_xll.StatCorrelationCoeff( ST_WATERSOURCE1,ST_AVGMONSAL)</f>
        <v>#NUM!</v>
      </c>
      <c r="I29" s="29">
        <f>_xll.StatCorrelationCoeff( ST_WATERSOURCE1,ST_HOUSEHEAD1)</f>
        <v>0.11919075882854313</v>
      </c>
      <c r="J29" s="29">
        <f>_xll.StatCorrelationCoeff( ST_WATERSOURCE1,ST_NOHOUSEHOLD)</f>
        <v>0.12842896613420091</v>
      </c>
      <c r="K29" s="29" t="e">
        <f>_xll.StatCorrelationCoeff( ST_WATERSOURCE1,ST_CHANGECOSITUA1)</f>
        <v>#N/A</v>
      </c>
      <c r="L29" s="29">
        <f>_xll.StatCorrelationCoeff( ST_WATERSOURCE1,ST_ACCSTATUS1)</f>
        <v>-4.0235609321025524E-2</v>
      </c>
      <c r="M29" s="29" t="e">
        <f>_xll.StatCorrelationCoeff( ST_WATERSOURCE1,ST_EDULEVEL1)</f>
        <v>#N/A</v>
      </c>
      <c r="N29" s="29">
        <f>_xll.StatCorrelationCoeff( ST_WATERSOURCE1,ST_PARTICIPANTJOB1)</f>
        <v>-8.5693945434933097E-2</v>
      </c>
      <c r="O29" s="29" t="e">
        <f>_xll.StatCorrelationCoeff( ST_WATERSOURCE1,ST_SELFBUILTHOUSE1)</f>
        <v>#N/A</v>
      </c>
      <c r="P29" s="29">
        <f>_xll.StatCorrelationCoeff( ST_WATERSOURCE1,ST_VEGES1)</f>
        <v>-3.5239532550231351E-2</v>
      </c>
      <c r="Q29" s="29">
        <f>_xll.StatCorrelationCoeff( ST_WATERSOURCE1,ST_FLOODEXP1)</f>
        <v>9.7475138307165032E-2</v>
      </c>
      <c r="R29" s="29">
        <f>_xll.StatCorrelationCoeff( ST_WATERSOURCE1,ST_YRLYFLOOD)</f>
        <v>-4.9653559193312644E-2</v>
      </c>
      <c r="S29" s="29" t="e">
        <f>_xll.StatCorrelationCoeff( ST_WATERSOURCE1,ST_FIREEXP1)</f>
        <v>#N/A</v>
      </c>
      <c r="T29" s="29" t="e">
        <f>_xll.StatCorrelationCoeff( ST_WATERSOURCE1,ST_WATERSATISFIED1)</f>
        <v>#N/A</v>
      </c>
      <c r="U29" s="29" t="e">
        <f>_xll.StatCorrelationCoeff( ST_WATERSOURCE1,ST_TOILETTYPE1)</f>
        <v>#N/A</v>
      </c>
      <c r="V29" s="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42</vt:i4>
      </vt:variant>
    </vt:vector>
  </HeadingPairs>
  <TitlesOfParts>
    <vt:vector size="48" baseType="lpstr">
      <vt:lpstr>Sheet1</vt:lpstr>
      <vt:lpstr>Sheet5</vt:lpstr>
      <vt:lpstr>_PalUtilTempWorksheet</vt:lpstr>
      <vt:lpstr>_STDS_DG1871063A</vt:lpstr>
      <vt:lpstr>_STDS_DG1A0FB4E5</vt:lpstr>
      <vt:lpstr>Correlation and Covariance</vt:lpstr>
      <vt:lpstr>ST_ACCSTATUS1</vt:lpstr>
      <vt:lpstr>ST_ACCSTATUS1_12</vt:lpstr>
      <vt:lpstr>ST_AVGMONSAL</vt:lpstr>
      <vt:lpstr>ST_AVGMONSAL_8</vt:lpstr>
      <vt:lpstr>ST_CHANGECOSITUA1</vt:lpstr>
      <vt:lpstr>ST_CHANGECOSITUA1_11</vt:lpstr>
      <vt:lpstr>ST_COMMUNICATIONWAY1</vt:lpstr>
      <vt:lpstr>ST_COMMUNICATIONWAY1_5</vt:lpstr>
      <vt:lpstr>ST_COMMUORG1</vt:lpstr>
      <vt:lpstr>ST_COMMUORG1_7</vt:lpstr>
      <vt:lpstr>ST_DATETIME</vt:lpstr>
      <vt:lpstr>ST_DATETIME_1</vt:lpstr>
      <vt:lpstr>ST_EDULEVEL1</vt:lpstr>
      <vt:lpstr>ST_EDULEVEL1_13</vt:lpstr>
      <vt:lpstr>ST_FIREEXP1</vt:lpstr>
      <vt:lpstr>ST_FIREEXP1_18</vt:lpstr>
      <vt:lpstr>ST_FLOODEXP1</vt:lpstr>
      <vt:lpstr>ST_FLOODEXP1_17</vt:lpstr>
      <vt:lpstr>ST_HOUSEHEAD1</vt:lpstr>
      <vt:lpstr>ST_HOUSEHEAD1_9</vt:lpstr>
      <vt:lpstr>ST_HOUSEPIC1</vt:lpstr>
      <vt:lpstr>ST_HOUSEPIC1_2</vt:lpstr>
      <vt:lpstr>ST_INFORECIEVING1</vt:lpstr>
      <vt:lpstr>ST_INFORECIEVING1_4</vt:lpstr>
      <vt:lpstr>ST_INTERVIEWLANG1</vt:lpstr>
      <vt:lpstr>ST_INTERVIEWLANG1_3</vt:lpstr>
      <vt:lpstr>ST_LEADERPARTICIPATION1</vt:lpstr>
      <vt:lpstr>ST_LEADERPARTICIPATION1_6</vt:lpstr>
      <vt:lpstr>ST_NOHOUSEHOLD</vt:lpstr>
      <vt:lpstr>ST_NOHOUSEHOLD_10</vt:lpstr>
      <vt:lpstr>ST_PARTICIPANTJOB1</vt:lpstr>
      <vt:lpstr>ST_PARTICIPANTJOB1_14</vt:lpstr>
      <vt:lpstr>ST_SELFBUILTHOUSE1</vt:lpstr>
      <vt:lpstr>ST_SELFBUILTHOUSE1_15</vt:lpstr>
      <vt:lpstr>ST_TOILETTYPE1</vt:lpstr>
      <vt:lpstr>ST_VEGES1</vt:lpstr>
      <vt:lpstr>ST_VEGES1_16</vt:lpstr>
      <vt:lpstr>ST_WATERSATISFIED1</vt:lpstr>
      <vt:lpstr>ST_WATERSOURCE1</vt:lpstr>
      <vt:lpstr>ST_WATERSOURCE1_19</vt:lpstr>
      <vt:lpstr>ST_YRLYFLOOD</vt:lpstr>
      <vt:lpstr>'Correlation and Covariance'!StatToolsHeader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</dc:creator>
  <cp:lastModifiedBy>Dorin</cp:lastModifiedBy>
  <dcterms:created xsi:type="dcterms:W3CDTF">2023-02-21T16:50:08Z</dcterms:created>
  <dcterms:modified xsi:type="dcterms:W3CDTF">2023-02-21T17:28:34Z</dcterms:modified>
</cp:coreProperties>
</file>