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ojtek\Documents\GitHub\TArenaUnity3D\Assets\Resources\Data\"/>
    </mc:Choice>
  </mc:AlternateContent>
  <xr:revisionPtr revIDLastSave="0" documentId="13_ncr:1_{B85EFB00-AFE4-45ED-BB84-BA6C95481552}" xr6:coauthVersionLast="41" xr6:coauthVersionMax="41" xr10:uidLastSave="{00000000-0000-0000-0000-000000000000}"/>
  <bookViews>
    <workbookView xWindow="32355" yWindow="645" windowWidth="26790" windowHeight="14595" xr2:uid="{00000000-000D-0000-FFFF-FFFF00000000}"/>
  </bookViews>
  <sheets>
    <sheet name="Toster_Arena" sheetId="1" r:id="rId1"/>
    <sheet name="Heroes 3" sheetId="2" r:id="rId2"/>
    <sheet name="Toster_Export_xml" sheetId="3" r:id="rId3"/>
    <sheet name="Spelle_Export_xm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0" i="1" l="1"/>
  <c r="AO11" i="1"/>
  <c r="AO12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9" i="1"/>
  <c r="AN10" i="1"/>
  <c r="AN11" i="1"/>
  <c r="AN12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9" i="1"/>
  <c r="AL17" i="1"/>
  <c r="AL23" i="1"/>
  <c r="AL9" i="1"/>
  <c r="AL10" i="1"/>
  <c r="AL11" i="1"/>
  <c r="AL12" i="1"/>
  <c r="AL13" i="1"/>
  <c r="AN13" i="1" s="1"/>
  <c r="AO13" i="1" s="1"/>
  <c r="AL14" i="1"/>
  <c r="AL15" i="1"/>
  <c r="AL16" i="1"/>
  <c r="AL18" i="1"/>
  <c r="AL19" i="1"/>
  <c r="AL20" i="1"/>
  <c r="AL21" i="1"/>
  <c r="AL22" i="1"/>
  <c r="AL24" i="1"/>
  <c r="AL25" i="1"/>
  <c r="AL26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M26" i="1"/>
  <c r="O26" i="1"/>
  <c r="AB26" i="1"/>
  <c r="AC26" i="1"/>
  <c r="AE26" i="1" l="1"/>
  <c r="U26" i="1"/>
  <c r="AF26" i="1"/>
  <c r="L26" i="1"/>
  <c r="AD26" i="1"/>
  <c r="M25" i="1"/>
  <c r="O25" i="1"/>
  <c r="AB25" i="1"/>
  <c r="AC25" i="1"/>
  <c r="M24" i="1"/>
  <c r="O24" i="1"/>
  <c r="AB24" i="1"/>
  <c r="AC24" i="1"/>
  <c r="M23" i="1"/>
  <c r="O23" i="1"/>
  <c r="AB23" i="1"/>
  <c r="AC23" i="1"/>
  <c r="O12" i="1"/>
  <c r="M12" i="1"/>
  <c r="U12" i="1" l="1"/>
  <c r="U23" i="1"/>
  <c r="L25" i="1"/>
  <c r="AD25" i="1"/>
  <c r="AF25" i="1"/>
  <c r="U25" i="1"/>
  <c r="AE25" i="1"/>
  <c r="L24" i="1"/>
  <c r="AD24" i="1"/>
  <c r="AF24" i="1"/>
  <c r="U24" i="1"/>
  <c r="AE24" i="1"/>
  <c r="L23" i="1"/>
  <c r="AF23" i="1"/>
  <c r="AE23" i="1"/>
  <c r="AD23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G7" i="1"/>
  <c r="H7" i="1"/>
  <c r="I7" i="1"/>
  <c r="J7" i="1"/>
  <c r="F7" i="1"/>
  <c r="N26" i="1" l="1"/>
  <c r="R26" i="1" s="1"/>
  <c r="N25" i="1"/>
  <c r="R25" i="1" s="1"/>
  <c r="N24" i="1"/>
  <c r="R24" i="1" s="1"/>
  <c r="AA24" i="1" s="1"/>
  <c r="N23" i="1"/>
  <c r="R23" i="1" s="1"/>
  <c r="O9" i="1"/>
  <c r="O10" i="1"/>
  <c r="U10" i="1" s="1"/>
  <c r="O11" i="1"/>
  <c r="L11" i="1" s="1"/>
  <c r="L12" i="1"/>
  <c r="O13" i="1"/>
  <c r="U13" i="1" s="1"/>
  <c r="O14" i="1"/>
  <c r="L14" i="1" s="1"/>
  <c r="O15" i="1"/>
  <c r="L15" i="1" s="1"/>
  <c r="O16" i="1"/>
  <c r="L16" i="1" s="1"/>
  <c r="O17" i="1"/>
  <c r="L17" i="1" s="1"/>
  <c r="O18" i="1"/>
  <c r="L18" i="1" s="1"/>
  <c r="O19" i="1"/>
  <c r="U19" i="1" s="1"/>
  <c r="O20" i="1"/>
  <c r="U20" i="1" s="1"/>
  <c r="O21" i="1"/>
  <c r="L21" i="1" s="1"/>
  <c r="O22" i="1"/>
  <c r="L2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26" i="1" l="1"/>
  <c r="P26" i="1"/>
  <c r="Q26" i="1" s="1"/>
  <c r="Z26" i="1" s="1"/>
  <c r="AG26" i="1" s="1"/>
  <c r="P25" i="1"/>
  <c r="Q25" i="1" s="1"/>
  <c r="Z25" i="1" s="1"/>
  <c r="AA25" i="1"/>
  <c r="U9" i="1"/>
  <c r="P24" i="1"/>
  <c r="Q24" i="1" s="1"/>
  <c r="U21" i="1"/>
  <c r="U17" i="1"/>
  <c r="U15" i="1"/>
  <c r="U22" i="1"/>
  <c r="U11" i="1"/>
  <c r="U14" i="1"/>
  <c r="U18" i="1"/>
  <c r="U16" i="1"/>
  <c r="L9" i="1"/>
  <c r="L13" i="1"/>
  <c r="P23" i="1"/>
  <c r="Q23" i="1" s="1"/>
  <c r="Z23" i="1" s="1"/>
  <c r="AA23" i="1"/>
  <c r="L20" i="1"/>
  <c r="L19" i="1"/>
  <c r="AD10" i="1"/>
  <c r="L10" i="1"/>
  <c r="AD21" i="1"/>
  <c r="AF9" i="1"/>
  <c r="AF20" i="1"/>
  <c r="P9" i="1"/>
  <c r="Q9" i="1" s="1"/>
  <c r="Z9" i="1" s="1"/>
  <c r="P21" i="1"/>
  <c r="Q21" i="1" s="1"/>
  <c r="Z21" i="1" s="1"/>
  <c r="P17" i="1"/>
  <c r="Q17" i="1" s="1"/>
  <c r="Z17" i="1" s="1"/>
  <c r="P20" i="1"/>
  <c r="Q20" i="1" s="1"/>
  <c r="Z20" i="1" s="1"/>
  <c r="P10" i="1"/>
  <c r="Q10" i="1" s="1"/>
  <c r="Z10" i="1" s="1"/>
  <c r="P22" i="1"/>
  <c r="Q22" i="1" s="1"/>
  <c r="Z22" i="1" s="1"/>
  <c r="P16" i="1"/>
  <c r="Q16" i="1" s="1"/>
  <c r="Z16" i="1" s="1"/>
  <c r="P19" i="1"/>
  <c r="Q19" i="1" s="1"/>
  <c r="Z19" i="1" s="1"/>
  <c r="P11" i="1"/>
  <c r="Q11" i="1" s="1"/>
  <c r="Z11" i="1" s="1"/>
  <c r="P12" i="1"/>
  <c r="Q12" i="1" s="1"/>
  <c r="Z12" i="1" s="1"/>
  <c r="P13" i="1"/>
  <c r="Q13" i="1" s="1"/>
  <c r="Z13" i="1" s="1"/>
  <c r="P14" i="1"/>
  <c r="Q14" i="1" s="1"/>
  <c r="Z14" i="1" s="1"/>
  <c r="P15" i="1"/>
  <c r="Q15" i="1" s="1"/>
  <c r="Z15" i="1" s="1"/>
  <c r="P18" i="1"/>
  <c r="Q18" i="1" s="1"/>
  <c r="Z18" i="1" s="1"/>
  <c r="N9" i="1"/>
  <c r="R9" i="1" s="1"/>
  <c r="N21" i="1"/>
  <c r="R21" i="1" s="1"/>
  <c r="N10" i="1"/>
  <c r="R10" i="1" s="1"/>
  <c r="N22" i="1"/>
  <c r="R22" i="1" s="1"/>
  <c r="N11" i="1"/>
  <c r="R11" i="1" s="1"/>
  <c r="N12" i="1"/>
  <c r="R12" i="1" s="1"/>
  <c r="N13" i="1"/>
  <c r="R13" i="1" s="1"/>
  <c r="N20" i="1"/>
  <c r="R20" i="1" s="1"/>
  <c r="N14" i="1"/>
  <c r="R14" i="1" s="1"/>
  <c r="N19" i="1"/>
  <c r="R19" i="1" s="1"/>
  <c r="N15" i="1"/>
  <c r="R15" i="1" s="1"/>
  <c r="N16" i="1"/>
  <c r="R16" i="1" s="1"/>
  <c r="N17" i="1"/>
  <c r="R17" i="1" s="1"/>
  <c r="N18" i="1"/>
  <c r="R18" i="1" s="1"/>
  <c r="AF13" i="1"/>
  <c r="AF14" i="1"/>
  <c r="AF21" i="1"/>
  <c r="AF10" i="1"/>
  <c r="AF19" i="1"/>
  <c r="AF22" i="1"/>
  <c r="AF15" i="1"/>
  <c r="AF12" i="1"/>
  <c r="AF16" i="1"/>
  <c r="AF11" i="1"/>
  <c r="AF18" i="1"/>
  <c r="AF17" i="1"/>
  <c r="O7" i="1"/>
  <c r="M7" i="1"/>
  <c r="P7" i="1"/>
  <c r="N7" i="1"/>
  <c r="AD12" i="1"/>
  <c r="AD11" i="1"/>
  <c r="AD9" i="1"/>
  <c r="AD13" i="1"/>
  <c r="AD14" i="1"/>
  <c r="AD16" i="1"/>
  <c r="AD17" i="1"/>
  <c r="AD19" i="1"/>
  <c r="AD18" i="1"/>
  <c r="AD15" i="1"/>
  <c r="AD20" i="1"/>
  <c r="AE19" i="1"/>
  <c r="AE17" i="1"/>
  <c r="AE16" i="1"/>
  <c r="AE15" i="1"/>
  <c r="AE14" i="1"/>
  <c r="AE13" i="1"/>
  <c r="AE12" i="1"/>
  <c r="AE11" i="1"/>
  <c r="AE22" i="1"/>
  <c r="AE10" i="1"/>
  <c r="AE9" i="1"/>
  <c r="AD22" i="1"/>
  <c r="AE21" i="1"/>
  <c r="AE20" i="1"/>
  <c r="AE18" i="1"/>
  <c r="S26" i="1" l="1"/>
  <c r="AG25" i="1"/>
  <c r="S25" i="1"/>
  <c r="T25" i="1" s="1"/>
  <c r="V25" i="1" s="1"/>
  <c r="W25" i="1" s="1"/>
  <c r="X25" i="1" s="1"/>
  <c r="K25" i="1" s="1"/>
  <c r="Z24" i="1"/>
  <c r="AG24" i="1" s="1"/>
  <c r="S24" i="1"/>
  <c r="AG23" i="1"/>
  <c r="S23" i="1"/>
  <c r="T23" i="1" s="1"/>
  <c r="AA13" i="1"/>
  <c r="AG13" i="1" s="1"/>
  <c r="S13" i="1"/>
  <c r="T13" i="1" s="1"/>
  <c r="AA17" i="1"/>
  <c r="AG17" i="1" s="1"/>
  <c r="S17" i="1"/>
  <c r="T17" i="1" s="1"/>
  <c r="AA9" i="1"/>
  <c r="AG9" i="1" s="1"/>
  <c r="S9" i="1"/>
  <c r="T9" i="1" s="1"/>
  <c r="AA21" i="1"/>
  <c r="AG21" i="1" s="1"/>
  <c r="S21" i="1"/>
  <c r="T21" i="1" s="1"/>
  <c r="AA16" i="1"/>
  <c r="AG16" i="1" s="1"/>
  <c r="S16" i="1"/>
  <c r="T16" i="1" s="1"/>
  <c r="AA22" i="1"/>
  <c r="AG22" i="1" s="1"/>
  <c r="S22" i="1"/>
  <c r="T22" i="1" s="1"/>
  <c r="AA15" i="1"/>
  <c r="AG15" i="1" s="1"/>
  <c r="S15" i="1"/>
  <c r="T15" i="1" s="1"/>
  <c r="AA12" i="1"/>
  <c r="AG12" i="1" s="1"/>
  <c r="S12" i="1"/>
  <c r="T12" i="1" s="1"/>
  <c r="AA19" i="1"/>
  <c r="AG19" i="1" s="1"/>
  <c r="S19" i="1"/>
  <c r="T19" i="1" s="1"/>
  <c r="AA10" i="1"/>
  <c r="AG10" i="1" s="1"/>
  <c r="S10" i="1"/>
  <c r="T10" i="1" s="1"/>
  <c r="AA14" i="1"/>
  <c r="AG14" i="1" s="1"/>
  <c r="S14" i="1"/>
  <c r="T14" i="1" s="1"/>
  <c r="AA11" i="1"/>
  <c r="AG11" i="1" s="1"/>
  <c r="S11" i="1"/>
  <c r="T11" i="1" s="1"/>
  <c r="AA18" i="1"/>
  <c r="AG18" i="1" s="1"/>
  <c r="S18" i="1"/>
  <c r="T18" i="1" s="1"/>
  <c r="AA20" i="1"/>
  <c r="AG20" i="1" s="1"/>
  <c r="S20" i="1"/>
  <c r="T20" i="1" s="1"/>
  <c r="AC7" i="1"/>
  <c r="AB7" i="1"/>
  <c r="AA7" i="1"/>
  <c r="Y7" i="1"/>
  <c r="Z7" i="1"/>
  <c r="R7" i="1"/>
  <c r="Q7" i="1"/>
  <c r="Y26" i="1" l="1"/>
  <c r="T26" i="1"/>
  <c r="V26" i="1" s="1"/>
  <c r="W26" i="1" s="1"/>
  <c r="X26" i="1" s="1"/>
  <c r="K26" i="1" s="1"/>
  <c r="Y25" i="1"/>
  <c r="Y24" i="1"/>
  <c r="T24" i="1"/>
  <c r="V24" i="1" s="1"/>
  <c r="W24" i="1" s="1"/>
  <c r="X24" i="1" s="1"/>
  <c r="K24" i="1" s="1"/>
  <c r="Y23" i="1"/>
  <c r="V23" i="1"/>
  <c r="W23" i="1" s="1"/>
  <c r="V11" i="1"/>
  <c r="W11" i="1" s="1"/>
  <c r="X11" i="1" s="1"/>
  <c r="K11" i="1" s="1"/>
  <c r="V22" i="1"/>
  <c r="W22" i="1" s="1"/>
  <c r="X22" i="1" s="1"/>
  <c r="K22" i="1" s="1"/>
  <c r="V14" i="1"/>
  <c r="W14" i="1" s="1"/>
  <c r="X14" i="1" s="1"/>
  <c r="K14" i="1" s="1"/>
  <c r="V16" i="1"/>
  <c r="W16" i="1" s="1"/>
  <c r="X16" i="1" s="1"/>
  <c r="K16" i="1" s="1"/>
  <c r="V21" i="1"/>
  <c r="W21" i="1" s="1"/>
  <c r="X21" i="1" s="1"/>
  <c r="K21" i="1" s="1"/>
  <c r="V9" i="1"/>
  <c r="W9" i="1" s="1"/>
  <c r="X9" i="1" s="1"/>
  <c r="K9" i="1" s="1"/>
  <c r="V19" i="1"/>
  <c r="W19" i="1" s="1"/>
  <c r="X19" i="1" s="1"/>
  <c r="K19" i="1" s="1"/>
  <c r="V20" i="1"/>
  <c r="W20" i="1" s="1"/>
  <c r="X20" i="1" s="1"/>
  <c r="K20" i="1" s="1"/>
  <c r="V12" i="1"/>
  <c r="W12" i="1" s="1"/>
  <c r="X12" i="1" s="1"/>
  <c r="K12" i="1" s="1"/>
  <c r="V17" i="1"/>
  <c r="W17" i="1" s="1"/>
  <c r="X17" i="1" s="1"/>
  <c r="K17" i="1" s="1"/>
  <c r="V10" i="1"/>
  <c r="W10" i="1" s="1"/>
  <c r="X10" i="1" s="1"/>
  <c r="K10" i="1" s="1"/>
  <c r="V18" i="1"/>
  <c r="W18" i="1" s="1"/>
  <c r="X18" i="1" s="1"/>
  <c r="K18" i="1" s="1"/>
  <c r="V15" i="1"/>
  <c r="W15" i="1" s="1"/>
  <c r="X15" i="1" s="1"/>
  <c r="K15" i="1" s="1"/>
  <c r="V13" i="1"/>
  <c r="W13" i="1" s="1"/>
  <c r="X13" i="1" s="1"/>
  <c r="K13" i="1" s="1"/>
  <c r="Y11" i="1"/>
  <c r="Y22" i="1"/>
  <c r="Y21" i="1"/>
  <c r="Y14" i="1"/>
  <c r="Y9" i="1"/>
  <c r="Y12" i="1"/>
  <c r="Y17" i="1"/>
  <c r="Y10" i="1"/>
  <c r="Y20" i="1"/>
  <c r="Y18" i="1"/>
  <c r="Y15" i="1"/>
  <c r="Y13" i="1"/>
  <c r="Y16" i="1"/>
  <c r="Y19" i="1"/>
  <c r="X23" i="1"/>
  <c r="K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Musielski</author>
  </authors>
  <commentList>
    <comment ref="M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N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O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B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C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powanie" type="4" refreshedVersion="0" background="1">
    <webPr xml="1" sourceData="1" url="C:\Users\piotr\Desktop\mapowanie.xml" htmlTables="1" htmlFormat="all"/>
  </connection>
  <connection id="2" xr16:uid="{00000000-0015-0000-FFFF-FFFF01000000}" name="Units_Map" type="4" refreshedVersion="0" background="1">
    <webPr xml="1" sourceData="1" url="C:\Users\piotr\Desktop\Units_Map.xml" htmlTables="1" htmlFormat="all"/>
  </connection>
  <connection id="3" xr16:uid="{00000000-0015-0000-FFFF-FFFF02000000}" name="Units_Map1" type="4" refreshedVersion="0" background="1">
    <webPr xml="1" sourceData="1" url="C:\Users\piotr\Desktop\Units_Map.xml" htmlTables="1" htmlFormat="all"/>
  </connection>
  <connection id="4" xr16:uid="{00000000-0015-0000-FFFF-FFFF03000000}" name="Units_Mapping" type="4" refreshedVersion="0" background="1">
    <webPr xml="1" sourceData="1" url="C:\Users\piotr\Desktop\Units_Mapping.xml" htmlTables="1" htmlFormat="all"/>
  </connection>
  <connection id="5" xr16:uid="{00000000-0015-0000-FFFF-FFFF04000000}" name="Units_Mapping_Template" type="4" refreshedVersion="0" background="1">
    <webPr xml="1" sourceData="1" url="C:\Users\piotr\Desktop\Units_Mapping_Template.xml" htmlTables="1" htmlFormat="all"/>
  </connection>
  <connection id="6" xr16:uid="{00000000-0015-0000-FFFF-FFFF05000000}" name="Units_Mapping_Template1" type="4" refreshedVersion="0" background="1">
    <webPr xml="1" sourceData="1" url="C:\Users\piotr\Desktop\Units_Mapping_Template.xml" htmlTables="1" htmlFormat="all"/>
  </connection>
  <connection id="7" xr16:uid="{00000000-0015-0000-FFFF-FFFF06000000}" name="Units_Mapping1" type="4" refreshedVersion="0" background="1">
    <webPr xml="1" sourceData="1" url="C:\Users\piotr\Desktop\Units_Mapping.xml" htmlTables="1" htmlFormat="all"/>
  </connection>
  <connection id="8" xr16:uid="{00000000-0015-0000-FFFF-FFFF07000000}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<sst xmlns="http://schemas.openxmlformats.org/spreadsheetml/2006/main" count="446" uniqueCount="272">
  <si>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</si>
  <si>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</si>
  <si>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</si>
  <si>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</si>
  <si>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</si>
  <si>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</si>
  <si>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</si>
  <si>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</si>
  <si>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</si>
  <si>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</si>
  <si>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</si>
  <si>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</si>
  <si>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</si>
  <si>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</si>
  <si>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</si>
  <si>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</si>
  <si>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</si>
  <si>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</si>
  <si>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</si>
  <si>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</si>
  <si>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</si>
  <si>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</si>
  <si>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</si>
  <si>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</si>
  <si>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</si>
  <si>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</si>
  <si>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</si>
  <si>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</si>
  <si>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</si>
  <si>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</si>
  <si>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</si>
  <si>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</si>
  <si>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</si>
  <si>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</si>
  <si>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</si>
  <si>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</si>
  <si>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</si>
  <si>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</si>
  <si>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</si>
  <si>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</si>
  <si>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</si>
  <si>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</si>
  <si>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</si>
  <si>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</si>
  <si>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</si>
  <si>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</si>
  <si>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</si>
  <si>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</si>
  <si>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</si>
  <si>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</si>
  <si>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</si>
  <si>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</si>
  <si>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</si>
  <si>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</si>
  <si>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</si>
  <si>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</si>
  <si>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</si>
  <si>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</si>
  <si>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</si>
  <si>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</si>
  <si>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</si>
  <si>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</si>
  <si>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</si>
  <si>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</si>
  <si>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</si>
  <si>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</si>
  <si>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</si>
  <si>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</si>
  <si>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</si>
  <si>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</si>
  <si>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</si>
  <si>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</si>
  <si>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</si>
  <si>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</si>
  <si>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</si>
  <si>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</si>
  <si>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</si>
  <si>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</si>
  <si>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</si>
  <si>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</si>
  <si>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</si>
  <si>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</si>
  <si>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</si>
  <si>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</si>
  <si>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</si>
  <si>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</si>
  <si>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</si>
  <si>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</si>
  <si>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</si>
  <si>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</si>
  <si>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</si>
  <si>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</si>
  <si>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</si>
  <si>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</si>
  <si>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</si>
  <si>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</si>
  <si>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</si>
  <si>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</si>
  <si>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</si>
  <si>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</si>
  <si>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</si>
  <si>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</si>
  <si>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</si>
  <si>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</si>
  <si>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</si>
  <si>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</si>
  <si>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</si>
  <si>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</si>
  <si>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</si>
  <si>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</si>
  <si>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</si>
  <si>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</si>
  <si>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</si>
  <si>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</si>
  <si>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</si>
  <si>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</si>
  <si>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</si>
  <si>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</si>
  <si>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</si>
  <si>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</si>
  <si>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</si>
  <si>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</si>
  <si>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</si>
  <si>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</si>
  <si>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</si>
  <si>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</si>
  <si>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</si>
  <si>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</si>
  <si>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</si>
  <si>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</si>
  <si>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</si>
  <si>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</si>
  <si>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</si>
  <si>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</si>
  <si>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</si>
  <si>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</si>
  <si>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</si>
  <si>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</si>
  <si>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</si>
  <si>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</si>
  <si>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</si>
  <si>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</si>
  <si>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</si>
  <si>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</si>
  <si>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</si>
  <si>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</si>
  <si>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</si>
  <si>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</si>
  <si>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</si>
  <si>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</si>
  <si>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</si>
  <si>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</si>
  <si>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</si>
  <si>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</si>
  <si>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</si>
  <si>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</si>
  <si>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</si>
  <si>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</si>
  <si>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</si>
  <si>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</si>
  <si>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</si>
  <si>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</si>
  <si>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</si>
  <si>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</si>
  <si>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</si>
  <si>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</si>
  <si>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</si>
  <si>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</si>
  <si>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</si>
  <si>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</si>
  <si>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</si>
  <si>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</si>
  <si>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</si>
  <si>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</si>
  <si>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</si>
  <si>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</si>
  <si>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Heroes 3</t>
  </si>
  <si>
    <t>Tytan</t>
  </si>
  <si>
    <t>Cost</t>
  </si>
  <si>
    <t>HP</t>
  </si>
  <si>
    <t>Skill1</t>
  </si>
  <si>
    <t>Skill2</t>
  </si>
  <si>
    <t>Skill3</t>
  </si>
  <si>
    <t>Skill4</t>
  </si>
  <si>
    <t>A</t>
  </si>
  <si>
    <t>D</t>
  </si>
  <si>
    <t>Dm</t>
  </si>
  <si>
    <t>TosterDPS</t>
  </si>
  <si>
    <t>TosterTANK</t>
  </si>
  <si>
    <t>TosterHEAL</t>
  </si>
  <si>
    <t>Szaman</t>
  </si>
  <si>
    <t>axe1</t>
  </si>
  <si>
    <t>Lizard</t>
  </si>
  <si>
    <t>DM2</t>
  </si>
  <si>
    <t>Sprites/redT2</t>
  </si>
  <si>
    <t>Sprites/wT1</t>
  </si>
  <si>
    <t>Sprites/gT2</t>
  </si>
  <si>
    <t>Sprites/Szaman1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</si>
  <si>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</si>
  <si>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</si>
  <si>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</si>
  <si>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</si>
  <si>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</si>
  <si>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</si>
  <si>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</si>
  <si>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P.Lich</t>
  </si>
  <si>
    <t>Troglo</t>
  </si>
  <si>
    <t>ID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</si>
  <si>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</si>
  <si>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</si>
  <si>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</si>
  <si>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</si>
  <si>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</si>
  <si>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</si>
  <si>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</si>
  <si>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</si>
  <si>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</si>
  <si>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</si>
  <si>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Heavy Hitter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</si>
  <si>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</si>
  <si>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</si>
  <si>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</si>
  <si>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</si>
  <si>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</si>
  <si>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</si>
  <si>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</si>
  <si>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</si>
  <si>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</si>
  <si>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</si>
  <si>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</si>
  <si>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</si>
  <si>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</si>
  <si>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</si>
  <si>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Kolumna2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</si>
  <si>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</si>
  <si>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</si>
  <si>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</si>
  <si>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</si>
  <si>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</si>
  <si>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</si>
  <si>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</si>
  <si>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</si>
  <si>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</si>
  <si>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</si>
  <si>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</si>
  <si>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</si>
  <si>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</si>
  <si>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</si>
  <si>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</si>
  <si>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</si>
  <si>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</si>
  <si>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</si>
  <si>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</si>
  <si>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</si>
  <si>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</si>
  <si>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</si>
  <si>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</si>
  <si>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</si>
  <si>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</si>
  <si>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</si>
  <si>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</si>
  <si>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Golem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</si>
  <si>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</si>
  <si>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</si>
  <si>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</si>
  <si>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</si>
  <si>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</si>
  <si>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 xml:space="preserve"> w porównaniu do TosterDPS</t>
  </si>
  <si>
    <t>ŚREDNIA</t>
  </si>
  <si>
    <t>FixedAmountAfterSearchingFixedAmountAfterSearching2</t>
  </si>
  <si>
    <t>CENA</t>
  </si>
  <si>
    <t>Cena na podstawie średniej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</si>
</sst>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</fonts>
  <fills count="1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49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49" fontId="13" fillId="0" borderId="0" xfId="0" applyNumberFormat="1" applyFont="1"/>
    <xf numFmtId="0" fontId="0" fillId="101" borderId="0" xfId="0" applyFill="1"/>
    <xf numFmtId="49" fontId="14" fillId="0" borderId="0" xfId="0" applyNumberFormat="1" applyFont="1"/>
    <xf numFmtId="49" fontId="0" fillId="0" borderId="4" xfId="0" applyNumberFormat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7" xfId="0" applyBorder="1"/>
    <xf numFmtId="1" fontId="0" fillId="0" borderId="7" xfId="0" applyNumberFormat="1" applyBorder="1"/>
    <xf numFmtId="1" fontId="0" fillId="103" borderId="7" xfId="0" applyNumberFormat="1" applyFill="1" applyBorder="1"/>
    <xf numFmtId="0" fontId="0" fillId="0" borderId="7" xfId="0" applyFill="1" applyBorder="1"/>
    <xf numFmtId="1" fontId="0" fillId="0" borderId="7" xfId="0" applyNumberFormat="1" applyFill="1" applyBorder="1"/>
    <xf numFmtId="2" fontId="0" fillId="0" borderId="5" xfId="0" applyNumberFormat="1" applyFill="1" applyBorder="1"/>
    <xf numFmtId="0" fontId="0" fillId="0" borderId="0" xfId="0" applyFill="1"/>
    <xf numFmtId="1" fontId="0" fillId="104" borderId="5" xfId="0" applyNumberFormat="1" applyFill="1" applyBorder="1"/>
    <xf numFmtId="0" fontId="2" fillId="102" borderId="6" xfId="0" applyFont="1" applyFill="1" applyBorder="1" applyAlignment="1">
      <alignment horizontal="left" vertical="top" wrapText="1"/>
    </xf>
    <xf numFmtId="0" fontId="0" fillId="0" borderId="5" xfId="0" applyFill="1" applyBorder="1"/>
    <xf numFmtId="1" fontId="0" fillId="0" borderId="5" xfId="0" applyNumberFormat="1" applyFill="1" applyBorder="1"/>
    <xf numFmtId="0" fontId="0" fillId="105" borderId="0" xfId="0" applyFill="1" applyBorder="1"/>
    <xf numFmtId="0" fontId="1" fillId="105" borderId="0" xfId="0" applyFont="1" applyFill="1" applyBorder="1" applyAlignment="1"/>
    <xf numFmtId="1" fontId="0" fillId="105" borderId="0" xfId="0" applyNumberFormat="1" applyFill="1" applyBorder="1"/>
    <xf numFmtId="0" fontId="0" fillId="105" borderId="0" xfId="0" applyFill="1"/>
    <xf numFmtId="1" fontId="0" fillId="105" borderId="0" xfId="0" applyNumberFormat="1" applyFill="1" applyBorder="1" applyAlignment="1">
      <alignment wrapText="1"/>
    </xf>
    <xf numFmtId="1" fontId="0" fillId="105" borderId="0" xfId="0" applyNumberFormat="1" applyFill="1" applyBorder="1" applyAlignment="1">
      <alignment horizontal="center" vertical="center" wrapText="1"/>
    </xf>
    <xf numFmtId="164" fontId="0" fillId="105" borderId="0" xfId="0" applyNumberFormat="1" applyFill="1" applyBorder="1" applyAlignment="1">
      <alignment horizontal="center" vertical="center" wrapText="1"/>
    </xf>
    <xf numFmtId="0" fontId="0" fillId="107" borderId="0" xfId="0" applyFill="1"/>
    <xf numFmtId="0" fontId="0" fillId="107" borderId="8" xfId="0" applyFill="1" applyBorder="1" applyAlignment="1">
      <alignment horizontal="center" wrapText="1"/>
    </xf>
    <xf numFmtId="0" fontId="0" fillId="107" borderId="5" xfId="0" applyFill="1" applyBorder="1" applyAlignment="1">
      <alignment horizontal="center" wrapText="1"/>
    </xf>
    <xf numFmtId="0" fontId="0" fillId="105" borderId="0" xfId="0" applyFill="1" applyBorder="1" applyAlignment="1">
      <alignment horizontal="center" vertical="center" wrapText="1"/>
    </xf>
    <xf numFmtId="1" fontId="0" fillId="105" borderId="0" xfId="0" applyNumberFormat="1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4" borderId="5" xfId="0" applyFill="1" applyBorder="1" applyAlignment="1">
      <alignment horizontal="center" wrapText="1"/>
    </xf>
    <xf numFmtId="2" fontId="0" fillId="0" borderId="0" xfId="0" applyNumberFormat="1"/>
    <xf numFmtId="2" fontId="0" fillId="0" borderId="0" xfId="0" applyNumberFormat="1" applyFill="1"/>
    <xf numFmtId="2" fontId="0" fillId="0" borderId="7" xfId="0" applyNumberFormat="1" applyFill="1" applyBorder="1"/>
    <xf numFmtId="0" fontId="0" fillId="111" borderId="0" xfId="0" applyFill="1"/>
    <xf numFmtId="0" fontId="0" fillId="112" borderId="0" xfId="0" applyFill="1"/>
    <xf numFmtId="2" fontId="0" fillId="112" borderId="0" xfId="0" applyNumberFormat="1" applyFill="1"/>
    <xf numFmtId="1" fontId="0" fillId="112" borderId="0" xfId="0" applyNumberFormat="1" applyFill="1" applyBorder="1"/>
    <xf numFmtId="0" fontId="0" fillId="112" borderId="0" xfId="0" applyFill="1" applyBorder="1"/>
    <xf numFmtId="0" fontId="0" fillId="112" borderId="5" xfId="0" applyFill="1" applyBorder="1" applyAlignment="1">
      <alignment horizontal="center" wrapText="1"/>
    </xf>
    <xf numFmtId="2" fontId="0" fillId="112" borderId="5" xfId="0" applyNumberFormat="1" applyFill="1" applyBorder="1" applyAlignment="1">
      <alignment horizontal="center" wrapText="1"/>
    </xf>
    <xf numFmtId="1" fontId="0" fillId="112" borderId="7" xfId="0" applyNumberFormat="1" applyFill="1" applyBorder="1"/>
    <xf numFmtId="1" fontId="0" fillId="112" borderId="5" xfId="0" applyNumberFormat="1" applyFill="1" applyBorder="1"/>
    <xf numFmtId="2" fontId="0" fillId="112" borderId="5" xfId="0" applyNumberFormat="1" applyFill="1" applyBorder="1"/>
    <xf numFmtId="165" fontId="0" fillId="112" borderId="5" xfId="0" applyNumberFormat="1" applyFill="1" applyBorder="1"/>
    <xf numFmtId="2" fontId="0" fillId="112" borderId="0" xfId="0" applyNumberFormat="1" applyFill="1" applyBorder="1"/>
    <xf numFmtId="0" fontId="18" fillId="112" borderId="6" xfId="0" applyFont="1" applyFill="1" applyBorder="1" applyAlignment="1">
      <alignment horizontal="left" vertical="top" wrapText="1"/>
    </xf>
    <xf numFmtId="0" fontId="0" fillId="105" borderId="8" xfId="0" applyFill="1" applyBorder="1" applyAlignment="1">
      <alignment horizontal="left" vertical="center"/>
    </xf>
    <xf numFmtId="1" fontId="0" fillId="105" borderId="8" xfId="0" applyNumberFormat="1" applyFill="1" applyBorder="1" applyAlignment="1">
      <alignment horizontal="left" vertical="center" wrapText="1"/>
    </xf>
    <xf numFmtId="0" fontId="0" fillId="111" borderId="10" xfId="0" applyFill="1" applyBorder="1" applyAlignment="1">
      <alignment horizontal="center" wrapText="1"/>
    </xf>
    <xf numFmtId="0" fontId="2" fillId="102" borderId="11" xfId="0" applyFont="1" applyFill="1" applyBorder="1" applyAlignment="1">
      <alignment horizontal="left" vertical="top" wrapText="1"/>
    </xf>
    <xf numFmtId="1" fontId="0" fillId="103" borderId="12" xfId="0" applyNumberFormat="1" applyFill="1" applyBorder="1"/>
    <xf numFmtId="1" fontId="0" fillId="104" borderId="10" xfId="0" applyNumberFormat="1" applyFill="1" applyBorder="1"/>
    <xf numFmtId="2" fontId="0" fillId="111" borderId="10" xfId="0" applyNumberFormat="1" applyFill="1" applyBorder="1"/>
    <xf numFmtId="2" fontId="0" fillId="105" borderId="8" xfId="0" applyNumberFormat="1" applyFill="1" applyBorder="1" applyAlignment="1">
      <alignment horizontal="left" vertical="center"/>
    </xf>
    <xf numFmtId="0" fontId="2" fillId="102" borderId="14" xfId="0" applyFont="1" applyFill="1" applyBorder="1" applyAlignment="1">
      <alignment horizontal="left" vertical="top" wrapText="1"/>
    </xf>
    <xf numFmtId="2" fontId="0" fillId="110" borderId="8" xfId="0" applyNumberFormat="1" applyFill="1" applyBorder="1"/>
    <xf numFmtId="0" fontId="0" fillId="110" borderId="8" xfId="0" applyFill="1" applyBorder="1"/>
    <xf numFmtId="0" fontId="0" fillId="110" borderId="8" xfId="0" applyFill="1" applyBorder="1" applyAlignment="1">
      <alignment horizontal="center" wrapText="1"/>
    </xf>
    <xf numFmtId="0" fontId="2" fillId="102" borderId="16" xfId="0" applyFont="1" applyFill="1" applyBorder="1" applyAlignment="1">
      <alignment horizontal="left" vertical="top" wrapText="1"/>
    </xf>
    <xf numFmtId="1" fontId="0" fillId="103" borderId="9" xfId="0" applyNumberFormat="1" applyFill="1" applyBorder="1"/>
    <xf numFmtId="1" fontId="0" fillId="104" borderId="8" xfId="0" applyNumberFormat="1" applyFill="1" applyBorder="1"/>
    <xf numFmtId="0" fontId="0" fillId="108" borderId="8" xfId="0" applyFill="1" applyBorder="1"/>
    <xf numFmtId="0" fontId="0" fillId="108" borderId="8" xfId="0" applyFill="1" applyBorder="1" applyAlignment="1">
      <alignment horizontal="center" wrapText="1"/>
    </xf>
    <xf numFmtId="2" fontId="0" fillId="108" borderId="8" xfId="0" applyNumberFormat="1" applyFill="1" applyBorder="1"/>
    <xf numFmtId="2" fontId="0" fillId="107" borderId="8" xfId="0" applyNumberFormat="1" applyFill="1" applyBorder="1"/>
    <xf numFmtId="0" fontId="0" fillId="107" borderId="8" xfId="0" applyFill="1" applyBorder="1"/>
    <xf numFmtId="165" fontId="0" fillId="105" borderId="8" xfId="0" applyNumberFormat="1" applyFill="1" applyBorder="1" applyAlignment="1">
      <alignment horizontal="left" vertical="center"/>
    </xf>
    <xf numFmtId="2" fontId="0" fillId="109" borderId="8" xfId="0" applyNumberFormat="1" applyFill="1" applyBorder="1"/>
    <xf numFmtId="165" fontId="0" fillId="109" borderId="8" xfId="0" applyNumberFormat="1" applyFill="1" applyBorder="1"/>
    <xf numFmtId="0" fontId="0" fillId="109" borderId="8" xfId="0" applyFill="1" applyBorder="1" applyAlignment="1">
      <alignment horizontal="center" wrapText="1"/>
    </xf>
    <xf numFmtId="0" fontId="0" fillId="106" borderId="13" xfId="0" applyFill="1" applyBorder="1" applyAlignment="1">
      <alignment horizontal="center" wrapText="1"/>
    </xf>
    <xf numFmtId="2" fontId="0" fillId="106" borderId="8" xfId="0" applyNumberFormat="1" applyFill="1" applyBorder="1"/>
    <xf numFmtId="0" fontId="0" fillId="106" borderId="8" xfId="0" applyFill="1" applyBorder="1"/>
    <xf numFmtId="0" fontId="0" fillId="105" borderId="8" xfId="0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2" fontId="0" fillId="0" borderId="8" xfId="0" applyNumberFormat="1" applyBorder="1"/>
    <xf numFmtId="0" fontId="0" fillId="0" borderId="8" xfId="0" applyBorder="1"/>
    <xf numFmtId="2" fontId="0" fillId="0" borderId="13" xfId="0" applyNumberFormat="1" applyFill="1" applyBorder="1"/>
    <xf numFmtId="2" fontId="19" fillId="0" borderId="15" xfId="1" applyNumberFormat="1" applyFill="1" applyBorder="1"/>
    <xf numFmtId="2" fontId="0" fillId="0" borderId="10" xfId="0" applyNumberFormat="1" applyFill="1" applyBorder="1"/>
    <xf numFmtId="2" fontId="0" fillId="111" borderId="5" xfId="0" applyNumberFormat="1" applyFill="1" applyBorder="1"/>
    <xf numFmtId="2" fontId="0" fillId="0" borderId="17" xfId="0" applyNumberFormat="1" applyFill="1" applyBorder="1"/>
    <xf numFmtId="0" fontId="0" fillId="0" borderId="18" xfId="0" applyFill="1" applyBorder="1"/>
    <xf numFmtId="2" fontId="0" fillId="0" borderId="0" xfId="0" applyNumberFormat="1" applyFill="1" applyBorder="1"/>
    <xf numFmtId="0" fontId="0" fillId="113" borderId="0" xfId="0" applyFill="1"/>
    <xf numFmtId="0" fontId="2" fillId="113" borderId="6" xfId="0" applyFont="1" applyFill="1" applyBorder="1" applyAlignment="1">
      <alignment horizontal="left" vertical="top" wrapText="1"/>
    </xf>
    <xf numFmtId="2" fontId="0" fillId="113" borderId="7" xfId="0" applyNumberFormat="1" applyFill="1" applyBorder="1"/>
    <xf numFmtId="2" fontId="0" fillId="113" borderId="5" xfId="0" applyNumberFormat="1" applyFill="1" applyBorder="1"/>
    <xf numFmtId="2" fontId="0" fillId="113" borderId="0" xfId="0" applyNumberFormat="1" applyFill="1"/>
    <xf numFmtId="2" fontId="0" fillId="113" borderId="0" xfId="0" applyNumberFormat="1" applyFill="1" applyBorder="1"/>
    <xf numFmtId="2" fontId="0" fillId="0" borderId="19" xfId="0" applyNumberFormat="1" applyFill="1" applyBorder="1"/>
    <xf numFmtId="0" fontId="0" fillId="114" borderId="5" xfId="0" applyFill="1" applyBorder="1"/>
    <xf numFmtId="0" fontId="0" fillId="114" borderId="18" xfId="0" applyFill="1" applyBorder="1"/>
    <xf numFmtId="1" fontId="0" fillId="114" borderId="5" xfId="0" applyNumberFormat="1" applyFill="1" applyBorder="1"/>
    <xf numFmtId="2" fontId="0" fillId="114" borderId="0" xfId="0" applyNumberFormat="1" applyFill="1" applyBorder="1"/>
    <xf numFmtId="2" fontId="0" fillId="114" borderId="10" xfId="0" applyNumberFormat="1" applyFill="1" applyBorder="1"/>
    <xf numFmtId="2" fontId="0" fillId="114" borderId="5" xfId="0" applyNumberFormat="1" applyFill="1" applyBorder="1"/>
    <xf numFmtId="2" fontId="0" fillId="114" borderId="8" xfId="0" applyNumberFormat="1" applyFill="1" applyBorder="1"/>
    <xf numFmtId="2" fontId="0" fillId="114" borderId="19" xfId="0" applyNumberFormat="1" applyFill="1" applyBorder="1"/>
    <xf numFmtId="165" fontId="0" fillId="114" borderId="5" xfId="0" applyNumberFormat="1" applyFill="1" applyBorder="1"/>
    <xf numFmtId="0" fontId="0" fillId="114" borderId="0" xfId="0" applyFill="1"/>
    <xf numFmtId="1" fontId="0" fillId="105" borderId="0" xfId="0" applyNumberFormat="1" applyFill="1" applyBorder="1" applyAlignment="1">
      <alignment horizontal="center" vertical="center" wrapText="1"/>
    </xf>
    <xf numFmtId="0" fontId="0" fillId="105" borderId="17" xfId="0" applyFill="1" applyBorder="1"/>
    <xf numFmtId="0" fontId="0" fillId="107" borderId="17" xfId="0" applyFill="1" applyBorder="1"/>
    <xf numFmtId="0" fontId="0" fillId="105" borderId="19" xfId="0" applyFill="1" applyBorder="1"/>
    <xf numFmtId="0" fontId="0" fillId="107" borderId="19" xfId="0" applyFill="1" applyBorder="1"/>
    <xf numFmtId="0" fontId="0" fillId="115" borderId="0" xfId="0" applyFill="1"/>
    <xf numFmtId="0" fontId="20" fillId="102" borderId="6" xfId="0" applyFont="1" applyFill="1" applyBorder="1" applyAlignment="1">
      <alignment horizontal="left" vertical="top" wrapText="1"/>
    </xf>
    <xf numFmtId="1" fontId="0" fillId="115" borderId="7" xfId="0" applyNumberFormat="1" applyFill="1" applyBorder="1"/>
    <xf numFmtId="1" fontId="0" fillId="115" borderId="5" xfId="0" applyNumberFormat="1" applyFill="1" applyBorder="1"/>
    <xf numFmtId="1" fontId="0" fillId="0" borderId="0" xfId="0" applyNumberFormat="1" applyFill="1"/>
    <xf numFmtId="1" fontId="0" fillId="115" borderId="0" xfId="0" applyNumberFormat="1" applyFill="1" applyBorder="1"/>
    <xf numFmtId="1" fontId="0" fillId="115" borderId="0" xfId="0" applyNumberFormat="1" applyFill="1"/>
    <xf numFmtId="1" fontId="0" fillId="0" borderId="0" xfId="0" applyNumberFormat="1" applyFill="1" applyBorder="1"/>
  </cellXfs>
  <cellStyles count="2">
    <cellStyle name="Hiperłącze" xfId="1" builtinId="8"/>
    <cellStyle name="Normalny" xfId="0" builtinId="0"/>
  </cellStyles>
  <dxfs count="62"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numFmt numFmtId="1" formatCode="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theme="1" tint="0.14999847407452621"/>
        </patternFill>
      </fill>
    </dxf>
    <dxf>
      <numFmt numFmtId="2" formatCode="0.0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0.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string" name="Cost" form="unqualified"/>
                </xsd:sequence>
              </xsd:complexType>
            </xsd:element>
          </xsd:sequence>
        </xsd:complexType>
      </xsd:element>
    </xsd:schema>
  </Schema>
  <Map ID="8" Name="Units_mapa" RootElement="Units" SchemaID="Schema4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8:AL26" totalsRowShown="0" headerRowDxfId="61" headerRowBorderDxfId="60" tableBorderDxfId="59">
  <autoFilter ref="A8:AL26" xr:uid="{00000000-0009-0000-0100-000002000000}"/>
  <tableColumns count="38">
    <tableColumn id="3" xr3:uid="{00000000-0010-0000-0000-000003000000}" name="Name" dataDxfId="58"/>
    <tableColumn id="1" xr3:uid="{00000000-0010-0000-0000-000001000000}" name="S" dataDxfId="57"/>
    <tableColumn id="2" xr3:uid="{00000000-0010-0000-0000-000002000000}" name="I" dataDxfId="56"/>
    <tableColumn id="4" xr3:uid="{00000000-0010-0000-0000-000004000000}" name="Fraction" dataDxfId="55"/>
    <tableColumn id="5" xr3:uid="{00000000-0010-0000-0000-000005000000}" name="Level" dataDxfId="54"/>
    <tableColumn id="10" xr3:uid="{00000000-0010-0000-0000-00000A000000}" name="Health" dataDxfId="53"/>
    <tableColumn id="6" xr3:uid="{00000000-0010-0000-0000-000006000000}" name="Attack" dataDxfId="52"/>
    <tableColumn id="7" xr3:uid="{00000000-0010-0000-0000-000007000000}" name="Defence" dataDxfId="51"/>
    <tableColumn id="8" xr3:uid="{00000000-0010-0000-0000-000008000000}" name="Damage min" dataDxfId="50"/>
    <tableColumn id="9" xr3:uid="{00000000-0010-0000-0000-000009000000}" name="Damage max" dataDxfId="49"/>
    <tableColumn id="29" xr3:uid="{00000000-0010-0000-0000-00001D000000}" name="ZBALANSOWANA ILOSC" dataDxfId="48">
      <calculatedColumnFormula>Tabela2[[#This Row],[Kolumna1]]*Tabela2[[#This Row],[Odchyłka]]</calculatedColumnFormula>
    </tableColumn>
    <tableColumn id="27" xr3:uid="{00000000-0010-0000-0000-00001B000000}" name="Toughnessness" dataDxfId="47">
      <calculatedColumnFormula>Tabela2[[#This Row],[VWD]]/Tabela2[[#This Row],[VWO]]</calculatedColumnFormula>
    </tableColumn>
    <tableColumn id="17" xr3:uid="{00000000-0010-0000-0000-000011000000}" name="VWO" dataDxfId="46">
      <calculatedColumnFormula>AVERAGE((Tabela2[[#This Row],[Damage max]],Tabela2[[#This Row],[Damage min]]))*(1+(Tabela2[[#This Row],[Attack]]-$H$10)*IF(Tabela2[[#This Row],[Attack]]-$H$10 = 0, 1, IF(Tabela2[[#This Row],[Attack]]-$H$10 &gt; 0, $F$4,-$I$4)))/$F$10</calculatedColumnFormula>
    </tableColumn>
    <tableColumn id="28" xr3:uid="{00000000-0010-0000-0000-00001C000000}" name="VWO_R" dataDxfId="45">
      <calculatedColumnFormula>MAX(Tabela2[VWO])/Tabela2[[#This Row],[VWO]]</calculatedColumnFormula>
    </tableColumn>
    <tableColumn id="18" xr3:uid="{00000000-0010-0000-0000-000012000000}" name="VWD" dataDxfId="44">
      <calculatedColumnFormula>Tabela2[[#This Row],[Health]]/(AVERAGE($I$10,$J$10)*(1+($G$10-Tabela2[[#This Row],[Defence]])*IF($G$10-Tabela2[[#This Row],[Defence]] = 0, 1, IF($G$10-Tabela2[[#This Row],[Defence]] &gt; 0, $F$4,$I$4))))</calculatedColumnFormula>
    </tableColumn>
    <tableColumn id="14" xr3:uid="{00000000-0010-0000-0000-00000E000000}" name="VWD_R" dataDxfId="43">
      <calculatedColumnFormula>MAX(Tabela2[VWD])/Tabela2[[#This Row],[VWD]]</calculatedColumnFormula>
    </tableColumn>
    <tableColumn id="15" xr3:uid="{00000000-0010-0000-0000-00000F000000}" name="V_Off" dataDxfId="42">
      <calculatedColumnFormula>Tabela2[[#This Row],[VWO]]*Tabela2[[#This Row],[VWD_R]]</calculatedColumnFormula>
    </tableColumn>
    <tableColumn id="16" xr3:uid="{00000000-0010-0000-0000-000010000000}" name="V_Def" dataDxfId="41">
      <calculatedColumnFormula>Tabela2[[#This Row],[VWO_R]]*Tabela2[[#This Row],[VWD]]</calculatedColumnFormula>
    </tableColumn>
    <tableColumn id="33" xr3:uid="{00000000-0010-0000-0000-000021000000}" name="!ŚREDNIA" dataDxfId="40">
      <calculatedColumnFormula>(Tabela2[[#This Row],[V_Def]]+Tabela2[[#This Row],[V_Off]])/2</calculatedColumnFormula>
    </tableColumn>
    <tableColumn id="35" xr3:uid="{00000000-0010-0000-0000-000023000000}" name="Odchyłka" dataDxfId="39">
      <calculatedColumnFormula>472.09/Tabela2[[#This Row],[!ŚREDNIA]]</calculatedColumnFormula>
    </tableColumn>
    <tableColumn id="38" xr3:uid="{00000000-0010-0000-0000-000026000000}" name="Suma VW" dataDxfId="38">
      <calculatedColumnFormula>Tabela2[[#This Row],[VWO]]+Tabela2[[#This Row],[VWD]]</calculatedColumnFormula>
    </tableColumn>
    <tableColumn id="39" xr3:uid="{00000000-0010-0000-0000-000027000000}" name="Suma*Odchyłka" dataDxfId="37">
      <calculatedColumnFormula>Tabela2[[#This Row],[Suma VW]]*Tabela2[[#This Row],[Odchyłka]]</calculatedColumnFormula>
    </tableColumn>
    <tableColumn id="37" xr3:uid="{00000000-0010-0000-0000-000025000000}" name="Kolumna2" dataDxfId="36">
      <calculatedColumnFormula>Tabela2[[#This Row],[Suma*Odchyłka]]/2*1.17</calculatedColumnFormula>
    </tableColumn>
    <tableColumn id="41" xr3:uid="{00000000-0010-0000-0000-000029000000}" name="Kolumna1" dataDxfId="35">
      <calculatedColumnFormula>15000/Tabela2[[#This Row],[Kolumna2]]/27.17</calculatedColumnFormula>
    </tableColumn>
    <tableColumn id="32" xr3:uid="{00000000-0010-0000-0000-000020000000}" name="!Odchyłka" dataDxfId="34">
      <calculatedColumnFormula>Tabela2[[#This Row],[!ŚREDNIA]]/MAX(Tabela2[!ŚREDNIA])</calculatedColumnFormula>
    </tableColumn>
    <tableColumn id="22" xr3:uid="{00000000-0010-0000-0000-000016000000}" name="Cena_Atak" dataDxfId="33">
      <calculatedColumnFormula>Tabela2[[#This Row],[VWO]]/Tabela2[[#This Row],[V_Off]]*1000</calculatedColumnFormula>
    </tableColumn>
    <tableColumn id="21" xr3:uid="{00000000-0010-0000-0000-000015000000}" name="Cena_Obrona" dataDxfId="32">
      <calculatedColumnFormula>Tabela2[[#This Row],[VWD]]/Tabela2[[#This Row],[V_Def]]*1000</calculatedColumnFormula>
    </tableColumn>
    <tableColumn id="19" xr3:uid="{00000000-0010-0000-0000-000013000000}" name="VOB" dataDxfId="31">
      <calculatedColumnFormula>1/(AVERAGE((Tabela2[[#This Row],[Damage max]],Tabela2[[#This Row],[Damage min]]))*(1+(Tabela2[[#This Row],[Attack]]-$H$9)*IF(Tabela2[[#This Row],[Attack]]-$H$9 = 0, 1, IF(Tabela2[[#This Row],[Attack]]-$H$9 &gt; 0,$F$4,$I$4)))/$F$9)</calculatedColumnFormula>
    </tableColumn>
    <tableColumn id="20" xr3:uid="{00000000-0010-0000-0000-000014000000}" name="VDB" dataDxfId="30">
      <calculatedColumnFormula>(AVERAGE($I$9,$J$9))*(1+(($G$9-Tabela2[[#This Row],[Defence]])*IF($G$9-Tabela2[[#This Row],[Defence]] = 0, 1, IF($G$9-Tabela2[[#This Row],[Defence]] &gt; 0, $F$4,$I$4))))/Tabela2[[#This Row],[Health]]</calculatedColumnFormula>
    </tableColumn>
    <tableColumn id="25" xr3:uid="{00000000-0010-0000-0000-000019000000}" name="Cost1 (ZŁY)" dataDxfId="29">
      <calculatedColumnFormula>INT(SQRT(((Tabela2[[#This Row],[VWO]])*Tabela2[[#This Row],[VWD]])))</calculatedColumnFormula>
    </tableColumn>
    <tableColumn id="26" xr3:uid="{00000000-0010-0000-0000-00001A000000}" name="Stosunek W" dataDxfId="28">
      <calculatedColumnFormula>Tabela2[[#This Row],[VWD]]/Tabela2[[#This Row],[VWO]]</calculatedColumnFormula>
    </tableColumn>
    <tableColumn id="12" xr3:uid="{00000000-0010-0000-0000-00000C000000}" name="Stosunek B" dataDxfId="27">
      <calculatedColumnFormula>Tabela2[[#This Row],[VOB]]/Tabela2[[#This Row],[VDB]]</calculatedColumnFormula>
    </tableColumn>
    <tableColumn id="23" xr3:uid="{00000000-0010-0000-0000-000017000000}" name="CENA_ZLA" dataDxfId="26">
      <calculatedColumnFormula>SUM(Tabela2[[#This Row],[Cena_Atak]:[Cena_Obrona]])</calculatedColumnFormula>
    </tableColumn>
    <tableColumn id="24" xr3:uid="{00000000-0010-0000-0000-000018000000}" name="ILOSC_ZLA" dataDxfId="10">
      <calculatedColumnFormula>300*Tabela2[[#This Row],[FixedAmountAfterSearchingFixedAmountAfterSearching]]</calculatedColumnFormula>
    </tableColumn>
    <tableColumn id="30" xr3:uid="{00000000-0010-0000-0000-00001E000000}" name="FixedAmountAfterSearchingFixedAmountAfterSearching" dataDxfId="3"/>
    <tableColumn id="11" xr3:uid="{E81D788C-D7EC-40FE-9AD7-435B0C143227}" name="FixedAmountAfterSearchingFixedAmountAfterSearching2" dataDxfId="2"/>
    <tableColumn id="13" xr3:uid="{7DEC9FA1-82AC-4B54-B821-96FFC4B933A8}" name="FixedAmountAfterSearching" dataDxfId="1"/>
    <tableColumn id="31" xr3:uid="{C3B58278-C645-4088-8882-E7DB32A0DDE7}" name="ŚREDNIA" dataDxfId="0">
      <calculatedColumnFormula>(Tabela2[[#This Row],[FixedAmountAfterSearchingFixedAmountAfterSearching]]+Tabela2[[#This Row],[FixedAmountAfterSearchingFixedAmountAfterSearching2]]+Tabela2[[#This Row],[FixedAmountAfterSearching]])/3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ela14" displayName="Tabela14" ref="B1:O7" tableType="xml" totalsRowShown="0" headerRowDxfId="25" connectionId="6">
  <autoFilter ref="B1:O7" xr:uid="{00000000-0009-0000-0100-00000E000000}"/>
  <tableColumns count="14">
    <tableColumn id="1" xr3:uid="{00000000-0010-0000-0100-000001000000}" uniqueName="Name" name="Name" dataDxfId="24">
      <xmlColumnPr mapId="8" xpath="/Units/Unit/Name" xmlDataType="string"/>
    </tableColumn>
    <tableColumn id="2" xr3:uid="{00000000-0010-0000-0100-000002000000}" uniqueName="HP" name="HP" dataDxfId="23">
      <xmlColumnPr mapId="8" xpath="/Units/Unit/HP" xmlDataType="integer"/>
    </tableColumn>
    <tableColumn id="3" xr3:uid="{00000000-0010-0000-0100-000003000000}" uniqueName="Attack" name="A" dataDxfId="22">
      <xmlColumnPr mapId="8" xpath="/Units/Unit/Attack" xmlDataType="integer"/>
    </tableColumn>
    <tableColumn id="4" xr3:uid="{00000000-0010-0000-0100-000004000000}" uniqueName="Defense" name="D" dataDxfId="21">
      <xmlColumnPr mapId="8" xpath="/Units/Unit/Defense" xmlDataType="integer"/>
    </tableColumn>
    <tableColumn id="5" xr3:uid="{00000000-0010-0000-0100-000005000000}" uniqueName="Initiative" name="I" dataDxfId="20">
      <xmlColumnPr mapId="8" xpath="/Units/Unit/Initiative" xmlDataType="integer"/>
    </tableColumn>
    <tableColumn id="6" xr3:uid="{00000000-0010-0000-0100-000006000000}" uniqueName="Speed" name="S" dataDxfId="19">
      <xmlColumnPr mapId="8" xpath="/Units/Unit/Speed" xmlDataType="integer"/>
    </tableColumn>
    <tableColumn id="11" xr3:uid="{00000000-0010-0000-0100-00000B000000}" uniqueName="DamageMinimum" name="Dm" dataDxfId="18">
      <xmlColumnPr mapId="8" xpath="/Units/Unit/DamageMinimum" xmlDataType="integer"/>
    </tableColumn>
    <tableColumn id="12" xr3:uid="{00000000-0010-0000-0100-00000C000000}" uniqueName="DamageMaximum" name="DM2" dataDxfId="17">
      <xmlColumnPr mapId="8" xpath="/Units/Unit/DamageMaximum" xmlDataType="integer"/>
    </tableColumn>
    <tableColumn id="14" xr3:uid="{00000000-0010-0000-0100-00000E000000}" uniqueName="Cost" name="Cost" dataDxfId="16">
      <xmlColumnPr mapId="8" xpath="/Units/Unit/Cost" xmlDataType="string"/>
    </tableColumn>
    <tableColumn id="7" xr3:uid="{00000000-0010-0000-0100-000007000000}" uniqueName="Skill1" name="Skill1" dataDxfId="15">
      <xmlColumnPr mapId="8" xpath="/Units/Unit/Skills/Skill1" xmlDataType="string"/>
    </tableColumn>
    <tableColumn id="8" xr3:uid="{00000000-0010-0000-0100-000008000000}" uniqueName="Skill2" name="Skill2" dataDxfId="14">
      <xmlColumnPr mapId="8" xpath="/Units/Unit/Skills/Skill2" xmlDataType="string"/>
    </tableColumn>
    <tableColumn id="9" xr3:uid="{00000000-0010-0000-0100-000009000000}" uniqueName="Skill3" name="Skill3" dataDxfId="13">
      <xmlColumnPr mapId="8" xpath="/Units/Unit/Skills/Skill3" xmlDataType="string"/>
    </tableColumn>
    <tableColumn id="10" xr3:uid="{00000000-0010-0000-0100-00000A000000}" uniqueName="Skill4" name="Skill4" dataDxfId="12">
      <xmlColumnPr mapId="8" xpath="/Units/Unit/Skills/Skill4" xmlDataType="string"/>
    </tableColumn>
    <tableColumn id="13" xr3:uid="{00000000-0010-0000-0100-00000D000000}" uniqueName="Sprite" name="Sprite" dataDxfId="11">
      <xmlColumnPr mapId="8" xpath="/Units/Unit/Spri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"/>
  <sheetViews>
    <sheetView tabSelected="1" zoomScale="120" zoomScaleNormal="120" workbookViewId="0">
      <pane xSplit="1" ySplit="10" topLeftCell="AI13" activePane="bottomRight" state="frozen"/>
      <selection pane="topRight" activeCell="B1" sqref="B1"/>
      <selection pane="bottomLeft" activeCell="A11" sqref="A11"/>
      <selection pane="bottomRight" activeCell="AU26" sqref="AU26"/>
    </sheetView>
  </sheetViews>
  <sheetFormatPr defaultRowHeight="15" x14ac:dyDescent="0.25"/>
  <cols>
    <col min="1" max="1" width="12.7109375" style="136" customWidth="1"/>
    <col min="2" max="2" width="3.7109375" style="136" customWidth="1"/>
    <col min="3" max="3" width="2.28515625" style="136" customWidth="1"/>
    <col min="4" max="4" width="10.28515625" style="136" bestFit="1" customWidth="1"/>
    <col min="5" max="5" width="9.140625" style="136" customWidth="1"/>
    <col min="6" max="9" width="7.42578125" style="137" customWidth="1"/>
    <col min="10" max="10" width="9.140625" style="137" bestFit="1" customWidth="1"/>
    <col min="11" max="11" width="11.28515625" style="167" bestFit="1" customWidth="1"/>
    <col min="12" max="12" width="9.140625" style="190"/>
    <col min="13" max="13" width="9.140625" style="195" customWidth="1"/>
    <col min="14" max="14" width="9.140625" style="199" customWidth="1"/>
    <col min="15" max="15" width="13.5703125" style="202" customWidth="1"/>
    <col min="16" max="16" width="10.7109375" style="206" customWidth="1"/>
    <col min="17" max="17" width="9.140625" style="135"/>
    <col min="18" max="23" width="9.140625" style="211"/>
    <col min="24" max="25" width="3.7109375" style="168" hidden="1" customWidth="1"/>
    <col min="26" max="27" width="3.7109375" style="169" hidden="1" customWidth="1"/>
    <col min="28" max="32" width="3.7109375" style="168" hidden="1" customWidth="1"/>
    <col min="33" max="33" width="9.140625" customWidth="1"/>
    <col min="34" max="34" width="9.85546875" style="219" bestFit="1" customWidth="1"/>
    <col min="40" max="40" width="0" hidden="1" customWidth="1"/>
  </cols>
  <sheetData>
    <row r="1" spans="1:41" s="153" customFormat="1" ht="17.25" x14ac:dyDescent="0.3">
      <c r="A1" s="150"/>
      <c r="B1" s="150"/>
      <c r="C1" s="151" t="s">
        <v>0</v>
      </c>
      <c r="D1" s="151"/>
      <c r="E1" s="154"/>
      <c r="F1" s="154"/>
      <c r="G1" s="154"/>
      <c r="H1" s="154"/>
      <c r="I1" s="152"/>
      <c r="J1" s="152"/>
      <c r="M1" s="180" t="s">
        <v>239</v>
      </c>
      <c r="N1" s="180"/>
      <c r="O1" s="180"/>
      <c r="P1" s="180"/>
      <c r="Q1" s="200"/>
      <c r="R1" s="180"/>
      <c r="S1" s="207" t="s">
        <v>245</v>
      </c>
      <c r="T1" s="207"/>
      <c r="U1" s="207"/>
      <c r="V1" s="207"/>
      <c r="W1" s="207"/>
      <c r="X1" s="207"/>
      <c r="Y1" s="168"/>
      <c r="Z1" s="169"/>
      <c r="AA1" s="169"/>
      <c r="AB1" s="168"/>
      <c r="AC1" s="170" t="s">
        <v>208</v>
      </c>
      <c r="AD1" s="168"/>
      <c r="AE1" s="168"/>
      <c r="AF1" s="170"/>
      <c r="AH1" s="219"/>
      <c r="AI1" s="237" t="s">
        <v>264</v>
      </c>
      <c r="AJ1" s="239"/>
      <c r="AK1" s="239"/>
      <c r="AL1" s="239"/>
      <c r="AM1" s="239"/>
      <c r="AN1" s="150"/>
      <c r="AO1" s="237"/>
    </row>
    <row r="2" spans="1:41" s="153" customFormat="1" ht="15" customHeight="1" x14ac:dyDescent="0.25">
      <c r="A2" s="160"/>
      <c r="B2" s="160"/>
      <c r="C2" s="160"/>
      <c r="D2" s="160"/>
      <c r="E2" s="155"/>
      <c r="F2" s="155"/>
      <c r="G2" s="155"/>
      <c r="H2" s="155"/>
      <c r="I2" s="155"/>
      <c r="J2" s="155"/>
      <c r="L2" s="153" t="s">
        <v>248</v>
      </c>
      <c r="M2" s="180"/>
      <c r="N2" s="187" t="s">
        <v>232</v>
      </c>
      <c r="O2" s="180"/>
      <c r="P2" s="180"/>
      <c r="Q2" s="200"/>
      <c r="R2" s="180"/>
      <c r="S2" s="207"/>
      <c r="T2" s="207" t="s">
        <v>249</v>
      </c>
      <c r="U2" s="207"/>
      <c r="V2" s="207"/>
      <c r="W2" s="207"/>
      <c r="X2" s="207"/>
      <c r="Y2" s="168"/>
      <c r="Z2" s="169"/>
      <c r="AA2" s="169"/>
      <c r="AB2" s="168"/>
      <c r="AC2" s="170" t="s">
        <v>209</v>
      </c>
      <c r="AD2" s="168"/>
      <c r="AE2" s="168"/>
      <c r="AF2" s="170"/>
      <c r="AH2" s="219"/>
      <c r="AI2" s="237"/>
      <c r="AJ2" s="239"/>
      <c r="AK2" s="239"/>
      <c r="AL2" s="239"/>
      <c r="AM2" s="239"/>
      <c r="AN2" s="150"/>
      <c r="AO2" s="237"/>
    </row>
    <row r="3" spans="1:41" s="153" customFormat="1" ht="15" customHeight="1" x14ac:dyDescent="0.25">
      <c r="A3" s="160"/>
      <c r="B3" s="160"/>
      <c r="C3" s="160"/>
      <c r="D3" s="160"/>
      <c r="E3" s="236" t="s">
        <v>223</v>
      </c>
      <c r="F3" s="236"/>
      <c r="G3" s="236"/>
      <c r="H3" s="236" t="s">
        <v>224</v>
      </c>
      <c r="I3" s="236"/>
      <c r="J3" s="236"/>
      <c r="M3" s="181"/>
      <c r="N3" s="180"/>
      <c r="O3" s="180" t="s">
        <v>238</v>
      </c>
      <c r="P3" s="180"/>
      <c r="Q3" s="200"/>
      <c r="R3" s="180"/>
      <c r="S3" s="207"/>
      <c r="T3" s="207"/>
      <c r="U3" s="207" t="s">
        <v>250</v>
      </c>
      <c r="V3" s="207"/>
      <c r="W3" s="207"/>
      <c r="X3" s="207"/>
      <c r="Y3" s="168"/>
      <c r="Z3" s="169"/>
      <c r="AA3" s="169"/>
      <c r="AB3" s="168"/>
      <c r="AC3" s="168"/>
      <c r="AD3" s="168"/>
      <c r="AE3" s="168"/>
      <c r="AF3" s="168"/>
      <c r="AH3" s="219"/>
      <c r="AI3" s="237" t="s">
        <v>265</v>
      </c>
      <c r="AJ3" s="239"/>
      <c r="AK3" s="239"/>
      <c r="AL3" s="239"/>
      <c r="AM3" s="239"/>
      <c r="AN3" s="150"/>
      <c r="AO3" s="237"/>
    </row>
    <row r="4" spans="1:41" s="153" customFormat="1" x14ac:dyDescent="0.25">
      <c r="A4" s="160"/>
      <c r="B4" s="160"/>
      <c r="C4" s="160"/>
      <c r="D4" s="160"/>
      <c r="E4" s="160"/>
      <c r="F4" s="156">
        <v>0.04</v>
      </c>
      <c r="G4" s="161"/>
      <c r="H4" s="162"/>
      <c r="I4" s="162">
        <v>1.4E-2</v>
      </c>
      <c r="J4" s="162"/>
      <c r="M4" s="180"/>
      <c r="N4" s="180"/>
      <c r="O4" s="180"/>
      <c r="P4" s="187" t="s">
        <v>231</v>
      </c>
      <c r="Q4" s="200"/>
      <c r="R4" s="180"/>
      <c r="S4" s="207"/>
      <c r="T4" s="207"/>
      <c r="U4" s="207"/>
      <c r="V4" s="207" t="s">
        <v>255</v>
      </c>
      <c r="W4" s="150"/>
      <c r="Y4" s="168"/>
      <c r="Z4" s="169"/>
      <c r="AA4" s="169"/>
      <c r="AB4" s="168"/>
      <c r="AC4" s="168"/>
      <c r="AD4" s="168"/>
      <c r="AE4" s="168"/>
      <c r="AF4" s="168"/>
      <c r="AH4" s="219"/>
      <c r="AI4" s="237"/>
      <c r="AJ4" s="239" t="s">
        <v>263</v>
      </c>
      <c r="AK4" s="239"/>
      <c r="AL4" s="239"/>
      <c r="AM4" s="239"/>
      <c r="AN4" s="150"/>
      <c r="AO4" s="237"/>
    </row>
    <row r="5" spans="1:41" s="153" customFormat="1" ht="15" customHeight="1" x14ac:dyDescent="0.25">
      <c r="A5" s="162"/>
      <c r="B5" s="162"/>
      <c r="C5" s="162"/>
      <c r="D5" s="162"/>
      <c r="E5" s="162"/>
      <c r="F5" s="162"/>
      <c r="G5" s="162"/>
      <c r="H5" s="162"/>
      <c r="I5" s="162"/>
      <c r="J5" s="162"/>
      <c r="M5" s="180"/>
      <c r="N5" s="180"/>
      <c r="O5" s="180"/>
      <c r="P5" s="180"/>
      <c r="Q5" s="180" t="s">
        <v>234</v>
      </c>
      <c r="R5" s="180"/>
      <c r="S5" s="207"/>
      <c r="T5" s="207"/>
      <c r="U5" s="207"/>
      <c r="V5" s="207"/>
      <c r="W5" s="207" t="s">
        <v>257</v>
      </c>
      <c r="Y5" s="168"/>
      <c r="Z5" s="169"/>
      <c r="AA5" s="169"/>
      <c r="AB5" s="168"/>
      <c r="AC5" s="168"/>
      <c r="AD5" s="168"/>
      <c r="AE5" s="168"/>
      <c r="AF5" s="168"/>
      <c r="AH5" s="219"/>
      <c r="AI5" s="237"/>
      <c r="AJ5" s="239"/>
      <c r="AK5" s="239" t="s">
        <v>267</v>
      </c>
      <c r="AL5" s="239"/>
      <c r="AM5" s="239"/>
      <c r="AN5" s="150"/>
      <c r="AO5" s="237"/>
    </row>
    <row r="6" spans="1:41" s="153" customFormat="1" x14ac:dyDescent="0.25">
      <c r="A6" s="162"/>
      <c r="B6" s="162"/>
      <c r="C6" s="162"/>
      <c r="D6" s="162"/>
      <c r="E6" s="162"/>
      <c r="F6" s="162"/>
      <c r="G6" s="162"/>
      <c r="H6" s="162"/>
      <c r="I6" s="162"/>
      <c r="J6" s="162"/>
      <c r="M6" s="180"/>
      <c r="N6" s="180"/>
      <c r="O6" s="180"/>
      <c r="P6" s="180"/>
      <c r="Q6" s="200"/>
      <c r="R6" s="180" t="s">
        <v>237</v>
      </c>
      <c r="S6" s="207"/>
      <c r="T6" s="207"/>
      <c r="U6" s="207"/>
      <c r="V6" s="207"/>
      <c r="W6" s="207"/>
      <c r="X6" s="207"/>
      <c r="Y6" s="171"/>
      <c r="Z6" s="169"/>
      <c r="AA6" s="169"/>
      <c r="AB6" s="168"/>
      <c r="AC6" s="168"/>
      <c r="AD6" s="171"/>
      <c r="AE6" s="171"/>
      <c r="AF6" s="168"/>
      <c r="AH6" s="219"/>
      <c r="AI6" s="237"/>
      <c r="AJ6" s="239"/>
      <c r="AK6" s="239"/>
      <c r="AL6" s="239" t="s">
        <v>268</v>
      </c>
      <c r="AM6" s="239"/>
      <c r="AN6" s="150"/>
      <c r="AO6" s="237" t="s">
        <v>271</v>
      </c>
    </row>
    <row r="7" spans="1:41" s="157" customFormat="1" x14ac:dyDescent="0.25">
      <c r="A7" s="162"/>
      <c r="B7" s="162"/>
      <c r="C7" s="162"/>
      <c r="D7" s="162"/>
      <c r="E7" s="163" t="s">
        <v>225</v>
      </c>
      <c r="F7" s="159">
        <f>MAX(Tabela2[Attack])</f>
        <v>50</v>
      </c>
      <c r="G7" s="159">
        <f>MAX(Tabela2[Defence])</f>
        <v>50</v>
      </c>
      <c r="H7" s="159">
        <f>MAX(Tabela2[Damage min])</f>
        <v>50</v>
      </c>
      <c r="I7" s="159">
        <f>MAX(Tabela2[Damage max])</f>
        <v>60</v>
      </c>
      <c r="J7" s="159">
        <f>MAX(Tabela2[Health])</f>
        <v>300</v>
      </c>
      <c r="M7" s="182">
        <f>MAX(Tabela2[VWO])</f>
        <v>148</v>
      </c>
      <c r="N7" s="191">
        <f>MAX(Tabela2[VWD])</f>
        <v>547.77070063694282</v>
      </c>
      <c r="O7" s="196">
        <f>MAX(Tabela2[VOB])</f>
        <v>547.77070063694271</v>
      </c>
      <c r="P7" s="158">
        <f>MAX(Tabela2[VDB])</f>
        <v>148</v>
      </c>
      <c r="Q7" s="203">
        <f>MAX(Tabela2[Cost1 (ZŁY)])</f>
        <v>284</v>
      </c>
      <c r="R7" s="204">
        <f>MAX(Tabela2[Stosunek W])</f>
        <v>63.694267515923585</v>
      </c>
      <c r="S7" s="199"/>
      <c r="T7" s="199"/>
      <c r="U7" s="199"/>
      <c r="V7" s="199"/>
      <c r="W7" s="199"/>
      <c r="X7" s="172"/>
      <c r="Y7" s="172">
        <f>MAX(Tabela2[Stosunek B])</f>
        <v>219.1082802547771</v>
      </c>
      <c r="Z7" s="173">
        <f>MAX(Tabela2[VWO_R])</f>
        <v>148</v>
      </c>
      <c r="AA7" s="173">
        <f>MAX(Tabela2[VWD_R])</f>
        <v>547.77070063694282</v>
      </c>
      <c r="AB7" s="173">
        <f>MAX(Tabela2[V_Off])</f>
        <v>547.77070063694282</v>
      </c>
      <c r="AC7" s="173">
        <f>MAX(Tabela2[V_Def])</f>
        <v>9426.7515923566898</v>
      </c>
      <c r="AD7" s="172"/>
      <c r="AE7" s="172">
        <v>5000</v>
      </c>
      <c r="AF7" s="173"/>
      <c r="AH7" s="219"/>
      <c r="AI7" s="238">
        <v>136</v>
      </c>
      <c r="AJ7" s="240">
        <v>34550</v>
      </c>
      <c r="AK7" s="157">
        <v>387</v>
      </c>
    </row>
    <row r="8" spans="1:41" s="147" customFormat="1" ht="14.25" customHeight="1" thickBot="1" x14ac:dyDescent="0.3">
      <c r="A8" s="147" t="s">
        <v>1</v>
      </c>
      <c r="B8" s="147" t="s">
        <v>18</v>
      </c>
      <c r="C8" s="147" t="s">
        <v>19</v>
      </c>
      <c r="D8" s="147" t="s">
        <v>13</v>
      </c>
      <c r="E8" s="147" t="s">
        <v>3</v>
      </c>
      <c r="F8" s="147" t="s">
        <v>8</v>
      </c>
      <c r="G8" s="147" t="s">
        <v>4</v>
      </c>
      <c r="H8" s="147" t="s">
        <v>14</v>
      </c>
      <c r="I8" s="147" t="s">
        <v>15</v>
      </c>
      <c r="J8" s="147" t="s">
        <v>16</v>
      </c>
      <c r="K8" s="220" t="s">
        <v>258</v>
      </c>
      <c r="L8" s="147" t="s">
        <v>260</v>
      </c>
      <c r="M8" s="183" t="s">
        <v>251</v>
      </c>
      <c r="N8" s="192" t="s">
        <v>254</v>
      </c>
      <c r="O8" s="192" t="s">
        <v>252</v>
      </c>
      <c r="P8" s="192" t="s">
        <v>253</v>
      </c>
      <c r="Q8" s="192" t="s">
        <v>235</v>
      </c>
      <c r="R8" s="192" t="s">
        <v>236</v>
      </c>
      <c r="S8" s="192" t="s">
        <v>244</v>
      </c>
      <c r="T8" s="192" t="s">
        <v>246</v>
      </c>
      <c r="U8" s="192" t="s">
        <v>250</v>
      </c>
      <c r="V8" s="192" t="s">
        <v>256</v>
      </c>
      <c r="W8" s="188" t="s">
        <v>233</v>
      </c>
      <c r="X8" s="192" t="s">
        <v>227</v>
      </c>
      <c r="Y8" s="147" t="s">
        <v>247</v>
      </c>
      <c r="Z8" s="179" t="s">
        <v>240</v>
      </c>
      <c r="AA8" s="179" t="s">
        <v>241</v>
      </c>
      <c r="AB8" s="179" t="s">
        <v>222</v>
      </c>
      <c r="AC8" s="179" t="s">
        <v>228</v>
      </c>
      <c r="AD8" s="179" t="s">
        <v>226</v>
      </c>
      <c r="AE8" s="179" t="s">
        <v>229</v>
      </c>
      <c r="AF8" s="179" t="s">
        <v>230</v>
      </c>
      <c r="AG8" s="179" t="s">
        <v>242</v>
      </c>
      <c r="AH8" s="179" t="s">
        <v>243</v>
      </c>
      <c r="AI8" s="147" t="s">
        <v>266</v>
      </c>
      <c r="AJ8" s="147" t="s">
        <v>269</v>
      </c>
      <c r="AK8" s="147" t="s">
        <v>262</v>
      </c>
      <c r="AL8" s="147" t="s">
        <v>268</v>
      </c>
      <c r="AO8" s="242" t="s">
        <v>270</v>
      </c>
    </row>
    <row r="9" spans="1:41" s="141" customFormat="1" x14ac:dyDescent="0.25">
      <c r="A9" s="141" t="s">
        <v>259</v>
      </c>
      <c r="D9" s="141" t="s">
        <v>221</v>
      </c>
      <c r="F9" s="141">
        <v>172</v>
      </c>
      <c r="G9" s="141">
        <v>50</v>
      </c>
      <c r="H9" s="141">
        <v>50</v>
      </c>
      <c r="I9" s="141">
        <v>50</v>
      </c>
      <c r="J9" s="141">
        <v>50</v>
      </c>
      <c r="K9" s="221">
        <f>Tabela2[[#This Row],[Kolumna1]]*Tabela2[[#This Row],[Odchyłka]]</f>
        <v>1.3563745055921186</v>
      </c>
      <c r="L9" s="166">
        <f>Tabela2[[#This Row],[VWD]]/Tabela2[[#This Row],[VWO]]</f>
        <v>3.7011533826820462</v>
      </c>
      <c r="M9" s="184">
        <f>AVERAGE((Tabela2[[#This Row],[Damage max]],Tabela2[[#This Row],[Damage min]]))*(1+(Tabela2[[#This Row],[Attack]]-$H$10)*IF(Tabela2[[#This Row],[Attack]]-$H$10 = 0, 1, IF(Tabela2[[#This Row],[Attack]]-$H$10 &gt; 0, $F$4,-$I$4)))/$F$10</f>
        <v>148</v>
      </c>
      <c r="N9" s="193">
        <f>MAX(Tabela2[VWO])/Tabela2[[#This Row],[VWO]]</f>
        <v>1</v>
      </c>
      <c r="O9" s="193">
        <f>Tabela2[[#This Row],[Health]]/(AVERAGE($I$10,$J$10)*(1+($G$10-Tabela2[[#This Row],[Defence]])*IF($G$10-Tabela2[[#This Row],[Defence]] = 0, 1, IF($G$10-Tabela2[[#This Row],[Defence]] &gt; 0, $F$4,$I$4))))</f>
        <v>547.77070063694282</v>
      </c>
      <c r="P9" s="193">
        <f>MAX(Tabela2[VWD])/Tabela2[[#This Row],[VWD]]</f>
        <v>1</v>
      </c>
      <c r="Q9" s="193">
        <f>Tabela2[[#This Row],[VWO]]*Tabela2[[#This Row],[VWD_R]]</f>
        <v>148</v>
      </c>
      <c r="R9" s="193">
        <f>Tabela2[[#This Row],[VWO_R]]*Tabela2[[#This Row],[VWD]]</f>
        <v>547.77070063694282</v>
      </c>
      <c r="S9" s="208">
        <f>(Tabela2[[#This Row],[V_Def]]+Tabela2[[#This Row],[V_Off]])/2</f>
        <v>347.88535031847141</v>
      </c>
      <c r="T9" s="208">
        <f>472.09/Tabela2[[#This Row],[!ŚREDNIA]]</f>
        <v>1.3570275367095093</v>
      </c>
      <c r="U9" s="208">
        <f>Tabela2[[#This Row],[VWO]]+Tabela2[[#This Row],[VWD]]</f>
        <v>695.77070063694282</v>
      </c>
      <c r="V9" s="208">
        <f>Tabela2[[#This Row],[Suma VW]]*Tabela2[[#This Row],[Odchyłka]]</f>
        <v>944.18</v>
      </c>
      <c r="W9" s="213">
        <f>Tabela2[[#This Row],[Suma*Odchyłka]]/2*1.17</f>
        <v>552.34529999999995</v>
      </c>
      <c r="X9" s="208">
        <f>15000/Tabela2[[#This Row],[Kolumna2]]/27.17</f>
        <v>0.99951877828583047</v>
      </c>
      <c r="Y9" s="166">
        <f>Tabela2[[#This Row],[!ŚREDNIA]]/MAX(Tabela2[!ŚREDNIA])</f>
        <v>7.3740834544053113E-2</v>
      </c>
      <c r="Z9" s="174">
        <f>Tabela2[[#This Row],[VWO]]/Tabela2[[#This Row],[V_Off]]*1000</f>
        <v>1000</v>
      </c>
      <c r="AA9" s="174">
        <f>Tabela2[[#This Row],[VWD]]/Tabela2[[#This Row],[V_Def]]*1000</f>
        <v>1000</v>
      </c>
      <c r="AB9" s="174">
        <f>1/(AVERAGE((Tabela2[[#This Row],[Damage max]],Tabela2[[#This Row],[Damage min]]))*(1+(Tabela2[[#This Row],[Attack]]-$H$9)*IF(Tabela2[[#This Row],[Attack]]-$H$9 = 0, 1, IF(Tabela2[[#This Row],[Attack]]-$H$9 &gt; 0,$F$4,$I$4)))/$F$9)</f>
        <v>3.44</v>
      </c>
      <c r="AC9" s="174">
        <f>(AVERAGE($I$9,$J$9))*(1+(($G$9-Tabela2[[#This Row],[Defence]])*IF($G$9-Tabela2[[#This Row],[Defence]] = 0, 1, IF($G$9-Tabela2[[#This Row],[Defence]] &gt; 0, $F$4,$I$4))))/Tabela2[[#This Row],[Health]]</f>
        <v>0.29069767441860467</v>
      </c>
      <c r="AD9" s="174">
        <f>INT(SQRT(((Tabela2[[#This Row],[VWO]])*Tabela2[[#This Row],[VWD]])))</f>
        <v>284</v>
      </c>
      <c r="AE9" s="174">
        <f>Tabela2[[#This Row],[VWD]]/Tabela2[[#This Row],[VWO]]</f>
        <v>3.7011533826820462</v>
      </c>
      <c r="AF9" s="174">
        <f>Tabela2[[#This Row],[VOB]]/Tabela2[[#This Row],[VDB]]</f>
        <v>11.833599999999999</v>
      </c>
      <c r="AG9" s="174">
        <f>SUM(Tabela2[[#This Row],[Cena_Atak]:[Cena_Obrona]])</f>
        <v>2000</v>
      </c>
      <c r="AH9" s="174">
        <f>300*Tabela2[[#This Row],[FixedAmountAfterSearchingFixedAmountAfterSearching]]</f>
        <v>40800</v>
      </c>
      <c r="AI9" s="243">
        <v>136</v>
      </c>
      <c r="AJ9" s="243">
        <v>136</v>
      </c>
      <c r="AK9" s="243">
        <v>136</v>
      </c>
      <c r="AL9" s="243">
        <f>(Tabela2[[#This Row],[FixedAmountAfterSearchingFixedAmountAfterSearching]]+Tabela2[[#This Row],[FixedAmountAfterSearchingFixedAmountAfterSearching2]]+Tabela2[[#This Row],[FixedAmountAfterSearching]])/3</f>
        <v>136</v>
      </c>
      <c r="AN9" s="141">
        <f>Tabela2[[#This Row],[ŚREDNIA]]/136</f>
        <v>1</v>
      </c>
      <c r="AO9" s="141">
        <f>1000/AN9</f>
        <v>1000</v>
      </c>
    </row>
    <row r="10" spans="1:41" s="146" customFormat="1" x14ac:dyDescent="0.25">
      <c r="A10" s="146" t="s">
        <v>189</v>
      </c>
      <c r="D10" s="146" t="s">
        <v>221</v>
      </c>
      <c r="F10" s="146">
        <v>1</v>
      </c>
      <c r="G10" s="146">
        <v>1</v>
      </c>
      <c r="H10" s="146">
        <v>1</v>
      </c>
      <c r="I10" s="146">
        <v>1</v>
      </c>
      <c r="J10" s="146">
        <v>1</v>
      </c>
      <c r="K10" s="222">
        <f>Tabela2[[#This Row],[Kolumna1]]*Tabela2[[#This Row],[Odchyłka]]</f>
        <v>471.86282004095767</v>
      </c>
      <c r="L10" s="144">
        <f>Tabela2[[#This Row],[VWD]]/Tabela2[[#This Row],[VWO]]</f>
        <v>1</v>
      </c>
      <c r="M10" s="185">
        <f>AVERAGE((Tabela2[[#This Row],[Damage max]],Tabela2[[#This Row],[Damage min]]))*(1+(Tabela2[[#This Row],[Attack]]-$H$10)*IF(Tabela2[[#This Row],[Attack]]-$H$10 = 0, 1, IF(Tabela2[[#This Row],[Attack]]-$H$10 &gt; 0, $F$4,-$I$4)))/$F$10</f>
        <v>1</v>
      </c>
      <c r="N10" s="194">
        <f>MAX(Tabela2[VWO])/Tabela2[[#This Row],[VWO]]</f>
        <v>148</v>
      </c>
      <c r="O10" s="194">
        <f>Tabela2[[#This Row],[Health]]/(AVERAGE($I$10,$J$10)*(1+($G$10-Tabela2[[#This Row],[Defence]])*IF($G$10-Tabela2[[#This Row],[Defence]] = 0, 1, IF($G$10-Tabela2[[#This Row],[Defence]] &gt; 0, $F$4,$I$4))))</f>
        <v>1</v>
      </c>
      <c r="P10" s="194">
        <f>MAX(Tabela2[VWD])/Tabela2[[#This Row],[VWD]]</f>
        <v>547.77070063694282</v>
      </c>
      <c r="Q10" s="194">
        <f>Tabela2[[#This Row],[VWO]]*Tabela2[[#This Row],[VWD_R]]</f>
        <v>547.77070063694282</v>
      </c>
      <c r="R10" s="194">
        <f>Tabela2[[#This Row],[VWO_R]]*Tabela2[[#This Row],[VWD]]</f>
        <v>148</v>
      </c>
      <c r="S10" s="209">
        <f>(Tabela2[[#This Row],[V_Def]]+Tabela2[[#This Row],[V_Off]])/2</f>
        <v>347.88535031847141</v>
      </c>
      <c r="T10" s="209">
        <f>472.09/Tabela2[[#This Row],[!ŚREDNIA]]</f>
        <v>1.3570275367095093</v>
      </c>
      <c r="U10" s="209">
        <f>Tabela2[[#This Row],[VWO]]+Tabela2[[#This Row],[VWD]]</f>
        <v>2</v>
      </c>
      <c r="V10" s="209">
        <f>Tabela2[[#This Row],[Suma VW]]*Tabela2[[#This Row],[Odchyłka]]</f>
        <v>2.7140550734190185</v>
      </c>
      <c r="W10" s="212">
        <f>Tabela2[[#This Row],[Suma*Odchyłka]]/2*1.17</f>
        <v>1.5877222179501258</v>
      </c>
      <c r="X10" s="209">
        <f>15000/Tabela2[[#This Row],[Kolumna2]]/27.17</f>
        <v>347.71794033385669</v>
      </c>
      <c r="Y10" s="144">
        <f>Tabela2[[#This Row],[!ŚREDNIA]]/MAX(Tabela2[!ŚREDNIA])</f>
        <v>7.3740834544053113E-2</v>
      </c>
      <c r="Z10" s="175">
        <f>Tabela2[[#This Row],[VWO]]/Tabela2[[#This Row],[V_Off]]*1000</f>
        <v>1.8255813953488367</v>
      </c>
      <c r="AA10" s="175">
        <f>Tabela2[[#This Row],[VWD]]/Tabela2[[#This Row],[V_Def]]*1000</f>
        <v>6.756756756756757</v>
      </c>
      <c r="AB10" s="175">
        <f>1/(AVERAGE((Tabela2[[#This Row],[Damage max]],Tabela2[[#This Row],[Damage min]]))*(1+(Tabela2[[#This Row],[Attack]]-$H$9)*IF(Tabela2[[#This Row],[Attack]]-$H$9 = 0, 1, IF(Tabela2[[#This Row],[Attack]]-$H$9 &gt; 0,$F$4,$I$4)))/$F$9)</f>
        <v>547.77070063694271</v>
      </c>
      <c r="AC10" s="175">
        <f>(AVERAGE($I$9,$J$9))*(1+(($G$9-Tabela2[[#This Row],[Defence]])*IF($G$9-Tabela2[[#This Row],[Defence]] = 0, 1, IF($G$9-Tabela2[[#This Row],[Defence]] &gt; 0, $F$4,$I$4))))/Tabela2[[#This Row],[Health]]</f>
        <v>148</v>
      </c>
      <c r="AD10" s="175">
        <f>INT(SQRT(((Tabela2[[#This Row],[VWO]])*Tabela2[[#This Row],[VWD]])))</f>
        <v>1</v>
      </c>
      <c r="AE10" s="175">
        <f>Tabela2[[#This Row],[VWD]]/Tabela2[[#This Row],[VWO]]</f>
        <v>1</v>
      </c>
      <c r="AF10" s="175">
        <f>Tabela2[[#This Row],[VOB]]/Tabela2[[#This Row],[VDB]]</f>
        <v>3.7011533826820453</v>
      </c>
      <c r="AG10" s="175">
        <f>SUM(Tabela2[[#This Row],[Cena_Atak]:[Cena_Obrona]])</f>
        <v>8.5823381521055939</v>
      </c>
      <c r="AH10" s="175">
        <f>300*Tabela2[[#This Row],[FixedAmountAfterSearchingFixedAmountAfterSearching]]</f>
        <v>10365000</v>
      </c>
      <c r="AI10" s="244">
        <v>34550</v>
      </c>
      <c r="AJ10" s="244">
        <v>34550</v>
      </c>
      <c r="AK10" s="243">
        <v>33308</v>
      </c>
      <c r="AL10" s="243">
        <f>(Tabela2[[#This Row],[FixedAmountAfterSearchingFixedAmountAfterSearching]]+Tabela2[[#This Row],[FixedAmountAfterSearchingFixedAmountAfterSearching2]]+Tabela2[[#This Row],[FixedAmountAfterSearching]])/3</f>
        <v>34136</v>
      </c>
      <c r="AN10" s="141">
        <f>Tabela2[[#This Row],[ŚREDNIA]]/136</f>
        <v>251</v>
      </c>
      <c r="AO10" s="141">
        <f t="shared" ref="AO10:AO26" si="0">1000/AN10</f>
        <v>3.9840637450199203</v>
      </c>
    </row>
    <row r="11" spans="1:41" hidden="1" x14ac:dyDescent="0.25">
      <c r="A11" s="139" t="s">
        <v>177</v>
      </c>
      <c r="B11" s="139"/>
      <c r="C11" s="139"/>
      <c r="D11" s="139" t="s">
        <v>176</v>
      </c>
      <c r="E11" s="139">
        <v>7</v>
      </c>
      <c r="F11" s="140">
        <v>300</v>
      </c>
      <c r="G11" s="140">
        <v>24</v>
      </c>
      <c r="H11" s="140">
        <v>24</v>
      </c>
      <c r="I11" s="140">
        <v>40</v>
      </c>
      <c r="J11" s="140">
        <v>60</v>
      </c>
      <c r="K11" s="223">
        <f>Tabela2[[#This Row],[Kolumna1]]*Tabela2[[#This Row],[Odchyłka]]</f>
        <v>1.7525801559501777</v>
      </c>
      <c r="L11" s="164">
        <f>Tabela2[[#This Row],[VWD]]/Tabela2[[#This Row],[VWO]]</f>
        <v>4.6091445427728619</v>
      </c>
      <c r="M11" s="186">
        <f>AVERAGE((Tabela2[[#This Row],[Damage max]],Tabela2[[#This Row],[Damage min]]))*(1+(Tabela2[[#This Row],[Attack]]-$H$10)*IF(Tabela2[[#This Row],[Attack]]-$H$10 = 0, 1, IF(Tabela2[[#This Row],[Attack]]-$H$10 &gt; 0, $F$4,-$I$4)))/$F$10</f>
        <v>96</v>
      </c>
      <c r="N11" s="189">
        <f>MAX(Tabela2[VWO])/Tabela2[[#This Row],[VWO]]</f>
        <v>1.5416666666666667</v>
      </c>
      <c r="O11" s="197">
        <f>Tabela2[[#This Row],[Health]]/(AVERAGE($I$10,$J$10)*(1+($G$10-Tabela2[[#This Row],[Defence]])*IF($G$10-Tabela2[[#This Row],[Defence]] = 0, 1, IF($G$10-Tabela2[[#This Row],[Defence]] &gt; 0, $F$4,$I$4))))</f>
        <v>442.47787610619474</v>
      </c>
      <c r="P11" s="198">
        <f>MAX(Tabela2[VWD])/Tabela2[[#This Row],[VWD]]</f>
        <v>1.2379617834394907</v>
      </c>
      <c r="Q11" s="201">
        <f>Tabela2[[#This Row],[VWO]]*Tabela2[[#This Row],[VWD_R]]</f>
        <v>118.84433121019111</v>
      </c>
      <c r="R11" s="205">
        <f>Tabela2[[#This Row],[VWO_R]]*Tabela2[[#This Row],[VWD]]</f>
        <v>682.15339233038355</v>
      </c>
      <c r="S11" s="210">
        <f>(Tabela2[[#This Row],[V_Def]]+Tabela2[[#This Row],[V_Off]])/2</f>
        <v>400.49886177028736</v>
      </c>
      <c r="T11" s="210">
        <f>472.09/Tabela2[[#This Row],[!ŚREDNIA]]</f>
        <v>1.1787549105964124</v>
      </c>
      <c r="U11" s="210">
        <f>Tabela2[[#This Row],[VWO]]+Tabela2[[#This Row],[VWD]]</f>
        <v>538.4778761061948</v>
      </c>
      <c r="V11" s="210">
        <f>Tabela2[[#This Row],[Suma VW]]*Tabela2[[#This Row],[Odchyłka]]</f>
        <v>634.73344070770361</v>
      </c>
      <c r="W11" s="210">
        <f>Tabela2[[#This Row],[Suma*Odchyłka]]/2*1.17</f>
        <v>371.3190628140066</v>
      </c>
      <c r="X11" s="210">
        <f>15000/Tabela2[[#This Row],[Kolumna2]]/27.17</f>
        <v>1.4868062395289858</v>
      </c>
      <c r="Y11" s="164">
        <f>Tabela2[[#This Row],[!ŚREDNIA]]/MAX(Tabela2[!ŚREDNIA])</f>
        <v>8.4893256568143172E-2</v>
      </c>
      <c r="Z11" s="176">
        <f>Tabela2[[#This Row],[VWO]]/Tabela2[[#This Row],[V_Off]]*1000</f>
        <v>807.77937847293651</v>
      </c>
      <c r="AA11" s="176">
        <f>Tabela2[[#This Row],[VWD]]/Tabela2[[#This Row],[V_Def]]*1000</f>
        <v>648.64864864864865</v>
      </c>
      <c r="AB11" s="176">
        <f>1/(AVERAGE((Tabela2[[#This Row],[Damage max]],Tabela2[[#This Row],[Damage min]]))*(1+(Tabela2[[#This Row],[Attack]]-$H$9)*IF(Tabela2[[#This Row],[Attack]]-$H$9 = 0, 1, IF(Tabela2[[#This Row],[Attack]]-$H$9 &gt; 0,$F$4,$I$4)))/$F$9)</f>
        <v>5.4088050314465406</v>
      </c>
      <c r="AC11" s="176">
        <f>(AVERAGE($I$9,$J$9))*(1+(($G$9-Tabela2[[#This Row],[Defence]])*IF($G$9-Tabela2[[#This Row],[Defence]] = 0, 1, IF($G$9-Tabela2[[#This Row],[Defence]] &gt; 0, $F$4,$I$4))))/Tabela2[[#This Row],[Health]]</f>
        <v>0.34</v>
      </c>
      <c r="AD11" s="177">
        <f>INT(SQRT(((Tabela2[[#This Row],[VWO]])*Tabela2[[#This Row],[VWD]])))</f>
        <v>206</v>
      </c>
      <c r="AE11" s="176">
        <f>Tabela2[[#This Row],[VWD]]/Tabela2[[#This Row],[VWO]]</f>
        <v>4.6091445427728619</v>
      </c>
      <c r="AF11" s="178">
        <f>Tabela2[[#This Row],[VOB]]/Tabela2[[#This Row],[VDB]]</f>
        <v>15.908250092489824</v>
      </c>
      <c r="AG11" s="176">
        <f>SUM(Tabela2[[#This Row],[Cena_Atak]:[Cena_Obrona]])</f>
        <v>1456.4280271215853</v>
      </c>
      <c r="AH11" s="176">
        <f>300*Tabela2[[#This Row],[FixedAmountAfterSearchingFixedAmountAfterSearching]]</f>
        <v>0</v>
      </c>
      <c r="AI11" s="245"/>
      <c r="AJ11" s="245"/>
      <c r="AK11" s="143"/>
      <c r="AL11" s="245">
        <f>(Tabela2[[#This Row],[FixedAmountAfterSearchingFixedAmountAfterSearching]]+Tabela2[[#This Row],[FixedAmountAfterSearchingFixedAmountAfterSearching2]]+Tabela2[[#This Row],[FixedAmountAfterSearching]])/3</f>
        <v>0</v>
      </c>
      <c r="AN11" s="141">
        <f>Tabela2[[#This Row],[ŚREDNIA]]/136</f>
        <v>0</v>
      </c>
      <c r="AO11" s="141" t="e">
        <f t="shared" si="0"/>
        <v>#DIV/0!</v>
      </c>
    </row>
    <row r="12" spans="1:41" hidden="1" x14ac:dyDescent="0.25">
      <c r="A12" s="139" t="s">
        <v>38</v>
      </c>
      <c r="B12" s="139"/>
      <c r="C12" s="139"/>
      <c r="D12" s="136" t="s">
        <v>176</v>
      </c>
      <c r="E12" s="139">
        <v>1</v>
      </c>
      <c r="F12" s="137">
        <v>4</v>
      </c>
      <c r="G12" s="137">
        <v>3</v>
      </c>
      <c r="H12" s="137">
        <v>3</v>
      </c>
      <c r="I12" s="137">
        <v>2</v>
      </c>
      <c r="J12" s="137">
        <v>2</v>
      </c>
      <c r="K12" s="223">
        <f>Tabela2[[#This Row],[Kolumna1]]*Tabela2[[#This Row],[Odchyłka]]</f>
        <v>150.38909982418647</v>
      </c>
      <c r="L12" s="165">
        <f>Tabela2[[#This Row],[VWD]]/Tabela2[[#This Row],[VWO]]</f>
        <v>1.9051973784484071</v>
      </c>
      <c r="M12" s="186">
        <f>AVERAGE((Tabela2[[#This Row],[Damage max]],Tabela2[[#This Row],[Damage min]]))*(1+(Tabela2[[#This Row],[Attack]]-$H$10)*IF(Tabela2[[#This Row],[Attack]]-$H$10 = 0, 1, IF(Tabela2[[#This Row],[Attack]]-$H$10 &gt; 0, $F$4,-$I$4)))/$F$10</f>
        <v>2.16</v>
      </c>
      <c r="N12" s="189">
        <f>MAX(Tabela2[VWO])/Tabela2[[#This Row],[VWO]]</f>
        <v>68.518518518518519</v>
      </c>
      <c r="O12" s="197">
        <f>Tabela2[[#This Row],[Health]]/(AVERAGE($I$10,$J$10)*(1+($G$10-Tabela2[[#This Row],[Defence]])*IF($G$10-Tabela2[[#This Row],[Defence]] = 0, 1, IF($G$10-Tabela2[[#This Row],[Defence]] &gt; 0, $F$4,$I$4))))</f>
        <v>4.1152263374485596</v>
      </c>
      <c r="P12" s="198">
        <f>MAX(Tabela2[VWD])/Tabela2[[#This Row],[VWD]]</f>
        <v>133.1082802547771</v>
      </c>
      <c r="Q12" s="201">
        <f>Tabela2[[#This Row],[VWO]]*Tabela2[[#This Row],[VWD_R]]</f>
        <v>287.51388535031856</v>
      </c>
      <c r="R12" s="205">
        <f>Tabela2[[#This Row],[VWO_R]]*Tabela2[[#This Row],[VWD]]</f>
        <v>281.96921201036429</v>
      </c>
      <c r="S12" s="209">
        <f>(Tabela2[[#This Row],[V_Def]]+Tabela2[[#This Row],[V_Off]])/2</f>
        <v>284.74154868034145</v>
      </c>
      <c r="T12" s="209">
        <f>472.09/Tabela2[[#This Row],[!ŚREDNIA]]</f>
        <v>1.657959655652435</v>
      </c>
      <c r="U12" s="209">
        <f>Tabela2[[#This Row],[VWO]]+Tabela2[[#This Row],[VWD]]</f>
        <v>6.2752263374485597</v>
      </c>
      <c r="V12" s="209">
        <f>Tabela2[[#This Row],[Suma VW]]*Tabela2[[#This Row],[Odchyłka]]</f>
        <v>10.404072097577306</v>
      </c>
      <c r="W12" s="209">
        <f>Tabela2[[#This Row],[Suma*Odchyłka]]/2*1.17</f>
        <v>6.0863821770827231</v>
      </c>
      <c r="X12" s="209">
        <f>15000/Tabela2[[#This Row],[Kolumna2]]/27.17</f>
        <v>90.707333746915467</v>
      </c>
      <c r="Y12" s="165">
        <f>Tabela2[[#This Row],[!ŚREDNIA]]/MAX(Tabela2[!ŚREDNIA])</f>
        <v>6.0356319718070171E-2</v>
      </c>
      <c r="Z12" s="176">
        <f>Tabela2[[#This Row],[VWO]]/Tabela2[[#This Row],[V_Off]]*1000</f>
        <v>7.512680639295624</v>
      </c>
      <c r="AA12" s="176">
        <f>Tabela2[[#This Row],[VWD]]/Tabela2[[#This Row],[V_Def]]*1000</f>
        <v>14.594594594594593</v>
      </c>
      <c r="AB12" s="176">
        <f>1/(AVERAGE((Tabela2[[#This Row],[Damage max]],Tabela2[[#This Row],[Damage min]]))*(1+(Tabela2[[#This Row],[Attack]]-$H$9)*IF(Tabela2[[#This Row],[Attack]]-$H$9 = 0, 1, IF(Tabela2[[#This Row],[Attack]]-$H$9 &gt; 0,$F$4,$I$4)))/$F$9)</f>
        <v>251.46198830409358</v>
      </c>
      <c r="AC12" s="176">
        <f>(AVERAGE($I$9,$J$9))*(1+(($G$9-Tabela2[[#This Row],[Defence]])*IF($G$9-Tabela2[[#This Row],[Defence]] = 0, 1, IF($G$9-Tabela2[[#This Row],[Defence]] &gt; 0, $F$4,$I$4))))/Tabela2[[#This Row],[Health]]</f>
        <v>36</v>
      </c>
      <c r="AD12" s="177">
        <f>INT(SQRT(((Tabela2[[#This Row],[VWO]])*Tabela2[[#This Row],[VWD]])))</f>
        <v>2</v>
      </c>
      <c r="AE12" s="176">
        <f>Tabela2[[#This Row],[VWD]]/Tabela2[[#This Row],[VWO]]</f>
        <v>1.9051973784484071</v>
      </c>
      <c r="AF12" s="178">
        <f>Tabela2[[#This Row],[VOB]]/Tabela2[[#This Row],[VDB]]</f>
        <v>6.9850552306692659</v>
      </c>
      <c r="AG12" s="176">
        <f>SUM(Tabela2[[#This Row],[Cena_Atak]:[Cena_Obrona]])</f>
        <v>22.107275233890217</v>
      </c>
      <c r="AH12" s="176">
        <f>300*Tabela2[[#This Row],[FixedAmountAfterSearchingFixedAmountAfterSearching]]</f>
        <v>0</v>
      </c>
      <c r="AI12" s="245"/>
      <c r="AJ12" s="245"/>
      <c r="AK12" s="143"/>
      <c r="AL12" s="245">
        <f>(Tabela2[[#This Row],[FixedAmountAfterSearchingFixedAmountAfterSearching]]+Tabela2[[#This Row],[FixedAmountAfterSearchingFixedAmountAfterSearching2]]+Tabela2[[#This Row],[FixedAmountAfterSearching]])/3</f>
        <v>0</v>
      </c>
      <c r="AN12" s="141">
        <f>Tabela2[[#This Row],[ŚREDNIA]]/136</f>
        <v>0</v>
      </c>
      <c r="AO12" s="141" t="e">
        <f t="shared" si="0"/>
        <v>#DIV/0!</v>
      </c>
    </row>
    <row r="13" spans="1:41" s="145" customFormat="1" x14ac:dyDescent="0.25">
      <c r="A13" s="142" t="s">
        <v>217</v>
      </c>
      <c r="B13" s="142"/>
      <c r="C13" s="142"/>
      <c r="D13" s="142" t="s">
        <v>17</v>
      </c>
      <c r="E13" s="142" t="s">
        <v>19</v>
      </c>
      <c r="F13" s="143">
        <v>7</v>
      </c>
      <c r="G13" s="143">
        <v>5</v>
      </c>
      <c r="H13" s="143">
        <v>3</v>
      </c>
      <c r="I13" s="143">
        <v>2</v>
      </c>
      <c r="J13" s="143">
        <v>2</v>
      </c>
      <c r="K13" s="223">
        <f>Tabela2[[#This Row],[Kolumna1]]*Tabela2[[#This Row],[Odchyłka]]</f>
        <v>99.113706927211737</v>
      </c>
      <c r="L13" s="165">
        <f>Tabela2[[#This Row],[VWD]]/Tabela2[[#This Row],[VWO]]</f>
        <v>3.1041577976443882</v>
      </c>
      <c r="M13" s="186">
        <f>AVERAGE((Tabela2[[#This Row],[Damage max]],Tabela2[[#This Row],[Damage min]]))*(1+(Tabela2[[#This Row],[Attack]]-$H$10)*IF(Tabela2[[#This Row],[Attack]]-$H$10 = 0, 1, IF(Tabela2[[#This Row],[Attack]]-$H$10 &gt; 0, $F$4,-$I$4)))/$F$10</f>
        <v>2.3199999999999998</v>
      </c>
      <c r="N13" s="189">
        <f>MAX(Tabela2[VWO])/Tabela2[[#This Row],[VWO]]</f>
        <v>63.793103448275865</v>
      </c>
      <c r="O13" s="197">
        <f>Tabela2[[#This Row],[Health]]/(AVERAGE($I$10,$J$10)*(1+($G$10-Tabela2[[#This Row],[Defence]])*IF($G$10-Tabela2[[#This Row],[Defence]] = 0, 1, IF($G$10-Tabela2[[#This Row],[Defence]] &gt; 0, $F$4,$I$4))))</f>
        <v>7.2016460905349797</v>
      </c>
      <c r="P13" s="198">
        <f>MAX(Tabela2[VWD])/Tabela2[[#This Row],[VWD]]</f>
        <v>76.061874431301206</v>
      </c>
      <c r="Q13" s="201">
        <f>Tabela2[[#This Row],[VWO]]*Tabela2[[#This Row],[VWD_R]]</f>
        <v>176.46354868061877</v>
      </c>
      <c r="R13" s="205">
        <f>Tabela2[[#This Row],[VWO_R]]*Tabela2[[#This Row],[VWD]]</f>
        <v>459.41535405136943</v>
      </c>
      <c r="S13" s="209">
        <f>(Tabela2[[#This Row],[V_Def]]+Tabela2[[#This Row],[V_Off]])/2</f>
        <v>317.9394513659941</v>
      </c>
      <c r="T13" s="209">
        <f>472.09/Tabela2[[#This Row],[!ŚREDNIA]]</f>
        <v>1.4848424691296218</v>
      </c>
      <c r="U13" s="209">
        <f>Tabela2[[#This Row],[VWO]]+Tabela2[[#This Row],[VWD]]</f>
        <v>9.5216460905349791</v>
      </c>
      <c r="V13" s="209">
        <f>Tabela2[[#This Row],[Suma VW]]*Tabela2[[#This Row],[Odchyłka]]</f>
        <v>14.138144491248369</v>
      </c>
      <c r="W13" s="209">
        <f>Tabela2[[#This Row],[Suma*Odchyłka]]/2*1.17</f>
        <v>8.2708145273802955</v>
      </c>
      <c r="X13" s="209">
        <f>15000/Tabela2[[#This Row],[Kolumna2]]/27.17</f>
        <v>66.750317954812914</v>
      </c>
      <c r="Y13" s="165">
        <f>Tabela2[[#This Row],[!ŚREDNIA]]/MAX(Tabela2[!ŚREDNIA])</f>
        <v>6.7393238768875943E-2</v>
      </c>
      <c r="Z13" s="176">
        <f>Tabela2[[#This Row],[VWO]]/Tabela2[[#This Row],[V_Off]]*1000</f>
        <v>13.147191118767344</v>
      </c>
      <c r="AA13" s="176">
        <f>Tabela2[[#This Row],[VWD]]/Tabela2[[#This Row],[V_Def]]*1000</f>
        <v>15.675675675675675</v>
      </c>
      <c r="AB13" s="176">
        <f>1/(AVERAGE((Tabela2[[#This Row],[Damage max]],Tabela2[[#This Row],[Damage min]]))*(1+(Tabela2[[#This Row],[Attack]]-$H$9)*IF(Tabela2[[#This Row],[Attack]]-$H$9 = 0, 1, IF(Tabela2[[#This Row],[Attack]]-$H$9 &gt; 0,$F$4,$I$4)))/$F$9)</f>
        <v>232.43243243243245</v>
      </c>
      <c r="AC13" s="176">
        <f>(AVERAGE($I$9,$J$9))*(1+(($G$9-Tabela2[[#This Row],[Defence]])*IF($G$9-Tabela2[[#This Row],[Defence]] = 0, 1, IF($G$9-Tabela2[[#This Row],[Defence]] &gt; 0, $F$4,$I$4))))/Tabela2[[#This Row],[Health]]</f>
        <v>20.571428571428573</v>
      </c>
      <c r="AD13" s="177">
        <f>INT(SQRT(((Tabela2[[#This Row],[VWO]])*Tabela2[[#This Row],[VWD]])))</f>
        <v>4</v>
      </c>
      <c r="AE13" s="176">
        <f>Tabela2[[#This Row],[VWD]]/Tabela2[[#This Row],[VWO]]</f>
        <v>3.1041577976443882</v>
      </c>
      <c r="AF13" s="178">
        <f>Tabela2[[#This Row],[VOB]]/Tabela2[[#This Row],[VDB]]</f>
        <v>11.298798798798799</v>
      </c>
      <c r="AG13" s="176">
        <f>SUM(Tabela2[[#This Row],[Cena_Atak]:[Cena_Obrona]])</f>
        <v>28.822866794443019</v>
      </c>
      <c r="AH13" s="176">
        <f>300*Tabela2[[#This Row],[FixedAmountAfterSearchingFixedAmountAfterSearching]]</f>
        <v>2709000</v>
      </c>
      <c r="AI13" s="245">
        <v>9030</v>
      </c>
      <c r="AJ13" s="245">
        <v>7472</v>
      </c>
      <c r="AK13" s="143">
        <v>9080</v>
      </c>
      <c r="AL13" s="245">
        <f>(Tabela2[[#This Row],[FixedAmountAfterSearchingFixedAmountAfterSearching]]+Tabela2[[#This Row],[FixedAmountAfterSearchingFixedAmountAfterSearching2]]+Tabela2[[#This Row],[FixedAmountAfterSearching]])/3</f>
        <v>8527.3333333333339</v>
      </c>
      <c r="AN13" s="141">
        <f>Tabela2[[#This Row],[ŚREDNIA]]/136</f>
        <v>62.700980392156865</v>
      </c>
      <c r="AO13" s="141">
        <f t="shared" si="0"/>
        <v>15.948713939488702</v>
      </c>
    </row>
    <row r="14" spans="1:41" s="145" customFormat="1" x14ac:dyDescent="0.25">
      <c r="A14" s="142" t="s">
        <v>219</v>
      </c>
      <c r="B14" s="142"/>
      <c r="C14" s="142"/>
      <c r="D14" s="148" t="s">
        <v>17</v>
      </c>
      <c r="E14" s="142" t="s">
        <v>210</v>
      </c>
      <c r="F14" s="149">
        <v>15</v>
      </c>
      <c r="G14" s="149">
        <v>5</v>
      </c>
      <c r="H14" s="149">
        <v>3</v>
      </c>
      <c r="I14" s="149">
        <v>4</v>
      </c>
      <c r="J14" s="149">
        <v>4</v>
      </c>
      <c r="K14" s="223">
        <f>Tabela2[[#This Row],[Kolumna1]]*Tabela2[[#This Row],[Odchyłka]]</f>
        <v>47.016789380649485</v>
      </c>
      <c r="L14" s="218">
        <f>Tabela2[[#This Row],[VWD]]/Tabela2[[#This Row],[VWO]]</f>
        <v>3.3258833546189872</v>
      </c>
      <c r="M14" s="186">
        <f>AVERAGE((Tabela2[[#This Row],[Damage max]],Tabela2[[#This Row],[Damage min]]))*(1+(Tabela2[[#This Row],[Attack]]-$H$10)*IF(Tabela2[[#This Row],[Attack]]-$H$10 = 0, 1, IF(Tabela2[[#This Row],[Attack]]-$H$10 &gt; 0, $F$4,-$I$4)))/$F$10</f>
        <v>4.6399999999999997</v>
      </c>
      <c r="N14" s="189">
        <f>MAX(Tabela2[VWO])/Tabela2[[#This Row],[VWO]]</f>
        <v>31.896551724137932</v>
      </c>
      <c r="O14" s="197">
        <f>Tabela2[[#This Row],[Health]]/(AVERAGE($I$10,$J$10)*(1+($G$10-Tabela2[[#This Row],[Defence]])*IF($G$10-Tabela2[[#This Row],[Defence]] = 0, 1, IF($G$10-Tabela2[[#This Row],[Defence]] &gt; 0, $F$4,$I$4))))</f>
        <v>15.4320987654321</v>
      </c>
      <c r="P14" s="198">
        <f>MAX(Tabela2[VWD])/Tabela2[[#This Row],[VWD]]</f>
        <v>35.49554140127389</v>
      </c>
      <c r="Q14" s="201">
        <f>Tabela2[[#This Row],[VWO]]*Tabela2[[#This Row],[VWD_R]]</f>
        <v>164.69931210191083</v>
      </c>
      <c r="R14" s="205">
        <f>Tabela2[[#This Row],[VWO_R]]*Tabela2[[#This Row],[VWD]]</f>
        <v>492.23073648361009</v>
      </c>
      <c r="S14" s="209">
        <f>(Tabela2[[#This Row],[V_Def]]+Tabela2[[#This Row],[V_Off]])/2</f>
        <v>328.46502429276046</v>
      </c>
      <c r="T14" s="209">
        <f>472.09/Tabela2[[#This Row],[!ŚREDNIA]]</f>
        <v>1.4372610935258263</v>
      </c>
      <c r="U14" s="209">
        <f>Tabela2[[#This Row],[VWO]]+Tabela2[[#This Row],[VWD]]</f>
        <v>20.072098765432099</v>
      </c>
      <c r="V14" s="209">
        <f>Tabela2[[#This Row],[Suma VW]]*Tabela2[[#This Row],[Odchyłka]]</f>
        <v>28.848846620963325</v>
      </c>
      <c r="W14" s="209">
        <f>Tabela2[[#This Row],[Suma*Odchyłka]]/2*1.17</f>
        <v>16.876575273263544</v>
      </c>
      <c r="X14" s="209">
        <f>15000/Tabela2[[#This Row],[Kolumna2]]/27.17</f>
        <v>32.712768468051927</v>
      </c>
      <c r="Y14" s="165">
        <f>Tabela2[[#This Row],[!ŚREDNIA]]/MAX(Tabela2[!ŚREDNIA])</f>
        <v>6.9624331659000518E-2</v>
      </c>
      <c r="Z14" s="176">
        <f>Tabela2[[#This Row],[VWO]]/Tabela2[[#This Row],[V_Off]]*1000</f>
        <v>28.172552397358597</v>
      </c>
      <c r="AA14" s="176">
        <f>Tabela2[[#This Row],[VWD]]/Tabela2[[#This Row],[V_Def]]*1000</f>
        <v>31.351351351351351</v>
      </c>
      <c r="AB14" s="176">
        <f>1/(AVERAGE((Tabela2[[#This Row],[Damage max]],Tabela2[[#This Row],[Damage min]]))*(1+(Tabela2[[#This Row],[Attack]]-$H$9)*IF(Tabela2[[#This Row],[Attack]]-$H$9 = 0, 1, IF(Tabela2[[#This Row],[Attack]]-$H$9 &gt; 0,$F$4,$I$4)))/$F$9)</f>
        <v>116.21621621621622</v>
      </c>
      <c r="AC14" s="176">
        <f>(AVERAGE($I$9,$J$9))*(1+(($G$9-Tabela2[[#This Row],[Defence]])*IF($G$9-Tabela2[[#This Row],[Defence]] = 0, 1, IF($G$9-Tabela2[[#This Row],[Defence]] &gt; 0, $F$4,$I$4))))/Tabela2[[#This Row],[Health]]</f>
        <v>9.6</v>
      </c>
      <c r="AD14" s="177">
        <f>INT(SQRT(((Tabela2[[#This Row],[VWO]])*Tabela2[[#This Row],[VWD]])))</f>
        <v>8</v>
      </c>
      <c r="AE14" s="176">
        <f>Tabela2[[#This Row],[VWD]]/Tabela2[[#This Row],[VWO]]</f>
        <v>3.3258833546189872</v>
      </c>
      <c r="AF14" s="178">
        <f>Tabela2[[#This Row],[VOB]]/Tabela2[[#This Row],[VDB]]</f>
        <v>12.105855855855857</v>
      </c>
      <c r="AG14" s="176">
        <f>SUM(Tabela2[[#This Row],[Cena_Atak]:[Cena_Obrona]])</f>
        <v>59.523903748709948</v>
      </c>
      <c r="AH14" s="176">
        <f>300*Tabela2[[#This Row],[FixedAmountAfterSearchingFixedAmountAfterSearching]]</f>
        <v>1326300</v>
      </c>
      <c r="AI14" s="245">
        <v>4421</v>
      </c>
      <c r="AJ14" s="245">
        <v>3619</v>
      </c>
      <c r="AK14" s="143">
        <v>4397</v>
      </c>
      <c r="AL14" s="245">
        <f>(Tabela2[[#This Row],[FixedAmountAfterSearchingFixedAmountAfterSearching]]+Tabela2[[#This Row],[FixedAmountAfterSearchingFixedAmountAfterSearching2]]+Tabela2[[#This Row],[FixedAmountAfterSearching]])/3</f>
        <v>4145.666666666667</v>
      </c>
      <c r="AN14" s="141">
        <f>Tabela2[[#This Row],[ŚREDNIA]]/136</f>
        <v>30.482843137254903</v>
      </c>
      <c r="AO14" s="141">
        <f t="shared" si="0"/>
        <v>32.805338908096807</v>
      </c>
    </row>
    <row r="15" spans="1:41" s="145" customFormat="1" x14ac:dyDescent="0.25">
      <c r="A15" s="142" t="s">
        <v>220</v>
      </c>
      <c r="B15" s="142"/>
      <c r="C15" s="142"/>
      <c r="D15" s="142" t="s">
        <v>17</v>
      </c>
      <c r="E15" s="142" t="s">
        <v>211</v>
      </c>
      <c r="F15" s="143">
        <v>50</v>
      </c>
      <c r="G15" s="143">
        <v>15</v>
      </c>
      <c r="H15" s="143">
        <v>11</v>
      </c>
      <c r="I15" s="143">
        <v>10</v>
      </c>
      <c r="J15" s="143">
        <v>10</v>
      </c>
      <c r="K15" s="223">
        <f>Tabela2[[#This Row],[Kolumna1]]*Tabela2[[#This Row],[Odchyłka]]</f>
        <v>12.798095913814292</v>
      </c>
      <c r="L15" s="218">
        <f>Tabela2[[#This Row],[VWD]]/Tabela2[[#This Row],[VWO]]</f>
        <v>3.7268932617769828</v>
      </c>
      <c r="M15" s="186">
        <f>AVERAGE((Tabela2[[#This Row],[Damage max]],Tabela2[[#This Row],[Damage min]]))*(1+(Tabela2[[#This Row],[Attack]]-$H$10)*IF(Tabela2[[#This Row],[Attack]]-$H$10 = 0, 1, IF(Tabela2[[#This Row],[Attack]]-$H$10 &gt; 0, $F$4,-$I$4)))/$F$10</f>
        <v>15.600000000000001</v>
      </c>
      <c r="N15" s="189">
        <f>MAX(Tabela2[VWO])/Tabela2[[#This Row],[VWO]]</f>
        <v>9.4871794871794854</v>
      </c>
      <c r="O15" s="197">
        <f>Tabela2[[#This Row],[Health]]/(AVERAGE($I$10,$J$10)*(1+($G$10-Tabela2[[#This Row],[Defence]])*IF($G$10-Tabela2[[#This Row],[Defence]] = 0, 1, IF($G$10-Tabela2[[#This Row],[Defence]] &gt; 0, $F$4,$I$4))))</f>
        <v>58.139534883720934</v>
      </c>
      <c r="P15" s="198">
        <f>MAX(Tabela2[VWD])/Tabela2[[#This Row],[VWD]]</f>
        <v>9.4216560509554164</v>
      </c>
      <c r="Q15" s="201">
        <f>Tabela2[[#This Row],[VWO]]*Tabela2[[#This Row],[VWD_R]]</f>
        <v>146.97783439490451</v>
      </c>
      <c r="R15" s="205">
        <f>Tabela2[[#This Row],[VWO_R]]*Tabela2[[#This Row],[VWD]]</f>
        <v>551.58020274299338</v>
      </c>
      <c r="S15" s="209">
        <f>(Tabela2[[#This Row],[V_Def]]+Tabela2[[#This Row],[V_Off]])/2</f>
        <v>349.27901856894891</v>
      </c>
      <c r="T15" s="209">
        <f>472.09/Tabela2[[#This Row],[!ŚREDNIA]]</f>
        <v>1.3516128221335109</v>
      </c>
      <c r="U15" s="209">
        <f>Tabela2[[#This Row],[VWO]]+Tabela2[[#This Row],[VWD]]</f>
        <v>73.739534883720935</v>
      </c>
      <c r="V15" s="209">
        <f>Tabela2[[#This Row],[Suma VW]]*Tabela2[[#This Row],[Odchyłka]]</f>
        <v>99.667300846998529</v>
      </c>
      <c r="W15" s="209">
        <f>Tabela2[[#This Row],[Suma*Odchyłka]]/2*1.17</f>
        <v>58.305370995494137</v>
      </c>
      <c r="X15" s="209">
        <f>15000/Tabela2[[#This Row],[Kolumna2]]/27.17</f>
        <v>9.4687588814173811</v>
      </c>
      <c r="Y15" s="165">
        <f>Tabela2[[#This Row],[!ŚREDNIA]]/MAX(Tabela2[!ŚREDNIA])</f>
        <v>7.4036248707867958E-2</v>
      </c>
      <c r="Z15" s="176">
        <f>Tabela2[[#This Row],[VWO]]/Tabela2[[#This Row],[V_Off]]*1000</f>
        <v>106.13845321795563</v>
      </c>
      <c r="AA15" s="176">
        <f>Tabela2[[#This Row],[VWD]]/Tabela2[[#This Row],[V_Def]]*1000</f>
        <v>105.40540540540543</v>
      </c>
      <c r="AB15" s="176">
        <f>1/(AVERAGE((Tabela2[[#This Row],[Damage max]],Tabela2[[#This Row],[Damage min]]))*(1+(Tabela2[[#This Row],[Attack]]-$H$9)*IF(Tabela2[[#This Row],[Attack]]-$H$9 = 0, 1, IF(Tabela2[[#This Row],[Attack]]-$H$9 &gt; 0,$F$4,$I$4)))/$F$9)</f>
        <v>33.725490196078432</v>
      </c>
      <c r="AC15" s="176">
        <f>(AVERAGE($I$9,$J$9))*(1+(($G$9-Tabela2[[#This Row],[Defence]])*IF($G$9-Tabela2[[#This Row],[Defence]] = 0, 1, IF($G$9-Tabela2[[#This Row],[Defence]] &gt; 0, $F$4,$I$4))))/Tabela2[[#This Row],[Health]]</f>
        <v>2.56</v>
      </c>
      <c r="AD15" s="177">
        <f>INT(SQRT(((Tabela2[[#This Row],[VWO]])*Tabela2[[#This Row],[VWD]])))</f>
        <v>30</v>
      </c>
      <c r="AE15" s="176">
        <f>Tabela2[[#This Row],[VWD]]/Tabela2[[#This Row],[VWO]]</f>
        <v>3.7268932617769828</v>
      </c>
      <c r="AF15" s="178">
        <f>Tabela2[[#This Row],[VOB]]/Tabela2[[#This Row],[VDB]]</f>
        <v>13.174019607843137</v>
      </c>
      <c r="AG15" s="176">
        <f>SUM(Tabela2[[#This Row],[Cena_Atak]:[Cena_Obrona]])</f>
        <v>211.54385862336107</v>
      </c>
      <c r="AH15" s="176">
        <f>300*Tabela2[[#This Row],[FixedAmountAfterSearchingFixedAmountAfterSearching]]</f>
        <v>371100</v>
      </c>
      <c r="AI15" s="245">
        <v>1237</v>
      </c>
      <c r="AJ15" s="245">
        <v>1035</v>
      </c>
      <c r="AK15" s="143">
        <v>1291</v>
      </c>
      <c r="AL15" s="245">
        <f>(Tabela2[[#This Row],[FixedAmountAfterSearchingFixedAmountAfterSearching]]+Tabela2[[#This Row],[FixedAmountAfterSearchingFixedAmountAfterSearching2]]+Tabela2[[#This Row],[FixedAmountAfterSearching]])/3</f>
        <v>1187.6666666666667</v>
      </c>
      <c r="AN15" s="141">
        <f>Tabela2[[#This Row],[ŚREDNIA]]/136</f>
        <v>8.7328431372549034</v>
      </c>
      <c r="AO15" s="141">
        <f t="shared" si="0"/>
        <v>114.51024417625595</v>
      </c>
    </row>
    <row r="16" spans="1:41" s="145" customFormat="1" x14ac:dyDescent="0.25">
      <c r="A16" s="142" t="s">
        <v>218</v>
      </c>
      <c r="B16" s="142"/>
      <c r="C16" s="142"/>
      <c r="D16" s="148" t="s">
        <v>17</v>
      </c>
      <c r="E16" s="142" t="s">
        <v>212</v>
      </c>
      <c r="F16" s="149">
        <v>145</v>
      </c>
      <c r="G16" s="149">
        <v>28</v>
      </c>
      <c r="H16" s="149">
        <v>15</v>
      </c>
      <c r="I16" s="149">
        <v>24</v>
      </c>
      <c r="J16" s="149">
        <v>24</v>
      </c>
      <c r="K16" s="223">
        <f>Tabela2[[#This Row],[Kolumna1]]*Tabela2[[#This Row],[Odchyłka]]</f>
        <v>4.0983748493313668</v>
      </c>
      <c r="L16" s="218">
        <f>Tabela2[[#This Row],[VWD]]/Tabela2[[#This Row],[VWO]]</f>
        <v>3.6127455670366113</v>
      </c>
      <c r="M16" s="186">
        <f>AVERAGE((Tabela2[[#This Row],[Damage max]],Tabela2[[#This Row],[Damage min]]))*(1+(Tabela2[[#This Row],[Attack]]-$H$10)*IF(Tabela2[[#This Row],[Attack]]-$H$10 = 0, 1, IF(Tabela2[[#This Row],[Attack]]-$H$10 &gt; 0, $F$4,-$I$4)))/$F$10</f>
        <v>49.92</v>
      </c>
      <c r="N16" s="189">
        <f>MAX(Tabela2[VWO])/Tabela2[[#This Row],[VWO]]</f>
        <v>2.9647435897435894</v>
      </c>
      <c r="O16" s="197">
        <f>Tabela2[[#This Row],[Health]]/(AVERAGE($I$10,$J$10)*(1+($G$10-Tabela2[[#This Row],[Defence]])*IF($G$10-Tabela2[[#This Row],[Defence]] = 0, 1, IF($G$10-Tabela2[[#This Row],[Defence]] &gt; 0, $F$4,$I$4))))</f>
        <v>180.34825870646765</v>
      </c>
      <c r="P16" s="198">
        <f>MAX(Tabela2[VWD])/Tabela2[[#This Row],[VWD]]</f>
        <v>3.0372940918076003</v>
      </c>
      <c r="Q16" s="201">
        <f>Tabela2[[#This Row],[VWO]]*Tabela2[[#This Row],[VWD_R]]</f>
        <v>151.62172106303541</v>
      </c>
      <c r="R16" s="205">
        <f>Tabela2[[#This Row],[VWO_R]]*Tabela2[[#This Row],[VWD]]</f>
        <v>534.68634392141848</v>
      </c>
      <c r="S16" s="209">
        <f>(Tabela2[[#This Row],[V_Def]]+Tabela2[[#This Row],[V_Off]])/2</f>
        <v>343.15403249222697</v>
      </c>
      <c r="T16" s="209">
        <f>472.09/Tabela2[[#This Row],[!ŚREDNIA]]</f>
        <v>1.3757378765778998</v>
      </c>
      <c r="U16" s="209">
        <f>Tabela2[[#This Row],[VWO]]+Tabela2[[#This Row],[VWD]]</f>
        <v>230.26825870646763</v>
      </c>
      <c r="V16" s="209">
        <f>Tabela2[[#This Row],[Suma VW]]*Tabela2[[#This Row],[Odchyłka]]</f>
        <v>316.7887652761263</v>
      </c>
      <c r="W16" s="209">
        <f>Tabela2[[#This Row],[Suma*Odchyłka]]/2*1.17</f>
        <v>185.32142768653387</v>
      </c>
      <c r="X16" s="209">
        <f>15000/Tabela2[[#This Row],[Kolumna2]]/27.17</f>
        <v>2.9790375907407096</v>
      </c>
      <c r="Y16" s="165">
        <f>Tabela2[[#This Row],[!ŚREDNIA]]/MAX(Tabela2[!ŚREDNIA])</f>
        <v>7.2737942859533986E-2</v>
      </c>
      <c r="Z16" s="176">
        <f>Tabela2[[#This Row],[VWO]]/Tabela2[[#This Row],[V_Off]]*1000</f>
        <v>329.24042577808621</v>
      </c>
      <c r="AA16" s="176">
        <f>Tabela2[[#This Row],[VWD]]/Tabela2[[#This Row],[V_Def]]*1000</f>
        <v>337.29729729729729</v>
      </c>
      <c r="AB16" s="176">
        <f>1/(AVERAGE((Tabela2[[#This Row],[Damage max]],Tabela2[[#This Row],[Damage min]]))*(1+(Tabela2[[#This Row],[Attack]]-$H$9)*IF(Tabela2[[#This Row],[Attack]]-$H$9 = 0, 1, IF(Tabela2[[#This Row],[Attack]]-$H$9 &gt; 0,$F$4,$I$4)))/$F$9)</f>
        <v>10.356454720616572</v>
      </c>
      <c r="AC16" s="176">
        <f>(AVERAGE($I$9,$J$9))*(1+(($G$9-Tabela2[[#This Row],[Defence]])*IF($G$9-Tabela2[[#This Row],[Defence]] = 0, 1, IF($G$9-Tabela2[[#This Row],[Defence]] &gt; 0, $F$4,$I$4))))/Tabela2[[#This Row],[Health]]</f>
        <v>0.82758620689655182</v>
      </c>
      <c r="AD16" s="177">
        <f>INT(SQRT(((Tabela2[[#This Row],[VWO]])*Tabela2[[#This Row],[VWD]])))</f>
        <v>94</v>
      </c>
      <c r="AE16" s="176">
        <f>Tabela2[[#This Row],[VWD]]/Tabela2[[#This Row],[VWO]]</f>
        <v>3.6127455670366113</v>
      </c>
      <c r="AF16" s="178">
        <f>Tabela2[[#This Row],[VOB]]/Tabela2[[#This Row],[VDB]]</f>
        <v>12.514049454078357</v>
      </c>
      <c r="AG16" s="176">
        <f>SUM(Tabela2[[#This Row],[Cena_Atak]:[Cena_Obrona]])</f>
        <v>666.5377230753835</v>
      </c>
      <c r="AH16" s="176">
        <f>300*Tabela2[[#This Row],[FixedAmountAfterSearchingFixedAmountAfterSearching]]</f>
        <v>115500</v>
      </c>
      <c r="AI16" s="245">
        <v>385</v>
      </c>
      <c r="AJ16" s="245">
        <v>326</v>
      </c>
      <c r="AK16" s="143">
        <v>405</v>
      </c>
      <c r="AL16" s="245">
        <f>(Tabela2[[#This Row],[FixedAmountAfterSearchingFixedAmountAfterSearching]]+Tabela2[[#This Row],[FixedAmountAfterSearchingFixedAmountAfterSearching2]]+Tabela2[[#This Row],[FixedAmountAfterSearching]])/3</f>
        <v>372</v>
      </c>
      <c r="AN16" s="141">
        <f>Tabela2[[#This Row],[ŚREDNIA]]/136</f>
        <v>2.7352941176470589</v>
      </c>
      <c r="AO16" s="141">
        <f t="shared" si="0"/>
        <v>365.59139784946234</v>
      </c>
    </row>
    <row r="17" spans="1:41" s="145" customFormat="1" x14ac:dyDescent="0.25">
      <c r="A17" s="142" t="s">
        <v>216</v>
      </c>
      <c r="B17" s="142"/>
      <c r="C17" s="142"/>
      <c r="D17" s="142" t="s">
        <v>100</v>
      </c>
      <c r="E17" s="142" t="s">
        <v>19</v>
      </c>
      <c r="F17" s="143">
        <v>8</v>
      </c>
      <c r="G17" s="143">
        <v>3</v>
      </c>
      <c r="H17" s="143">
        <v>4</v>
      </c>
      <c r="I17" s="143">
        <v>2</v>
      </c>
      <c r="J17" s="143">
        <v>2</v>
      </c>
      <c r="K17" s="223">
        <f>Tabela2[[#This Row],[Kolumna1]]*Tabela2[[#This Row],[Odchyłka]]</f>
        <v>89.786872864641239</v>
      </c>
      <c r="L17" s="165">
        <f>Tabela2[[#This Row],[VWD]]/Tabela2[[#This Row],[VWO]]</f>
        <v>3.8660790226552231</v>
      </c>
      <c r="M17" s="186">
        <f>AVERAGE((Tabela2[[#This Row],[Damage max]],Tabela2[[#This Row],[Damage min]]))*(1+(Tabela2[[#This Row],[Attack]]-$H$10)*IF(Tabela2[[#This Row],[Attack]]-$H$10 = 0, 1, IF(Tabela2[[#This Row],[Attack]]-$H$10 &gt; 0, $F$4,-$I$4)))/$F$10</f>
        <v>2.16</v>
      </c>
      <c r="N17" s="189">
        <f>MAX(Tabela2[VWO])/Tabela2[[#This Row],[VWO]]</f>
        <v>68.518518518518519</v>
      </c>
      <c r="O17" s="197">
        <f>Tabela2[[#This Row],[Health]]/(AVERAGE($I$10,$J$10)*(1+($G$10-Tabela2[[#This Row],[Defence]])*IF($G$10-Tabela2[[#This Row],[Defence]] = 0, 1, IF($G$10-Tabela2[[#This Row],[Defence]] &gt; 0, $F$4,$I$4))))</f>
        <v>8.3507306889352826</v>
      </c>
      <c r="P17" s="198">
        <f>MAX(Tabela2[VWD])/Tabela2[[#This Row],[VWD]]</f>
        <v>65.595541401273891</v>
      </c>
      <c r="Q17" s="201">
        <f>Tabela2[[#This Row],[VWO]]*Tabela2[[#This Row],[VWD_R]]</f>
        <v>141.68636942675161</v>
      </c>
      <c r="R17" s="205">
        <f>Tabela2[[#This Row],[VWO_R]]*Tabela2[[#This Row],[VWD]]</f>
        <v>572.17969535297311</v>
      </c>
      <c r="S17" s="209">
        <f>(Tabela2[[#This Row],[V_Def]]+Tabela2[[#This Row],[V_Off]])/2</f>
        <v>356.93303238986238</v>
      </c>
      <c r="T17" s="209">
        <f>472.09/Tabela2[[#This Row],[!ŚREDNIA]]</f>
        <v>1.3226290568824592</v>
      </c>
      <c r="U17" s="209">
        <f>Tabela2[[#This Row],[VWO]]+Tabela2[[#This Row],[VWD]]</f>
        <v>10.510730688935283</v>
      </c>
      <c r="V17" s="209">
        <f>Tabela2[[#This Row],[Suma VW]]*Tabela2[[#This Row],[Odchyłka]]</f>
        <v>13.901797818251994</v>
      </c>
      <c r="W17" s="209">
        <f>Tabela2[[#This Row],[Suma*Odchyłka]]/2*1.17</f>
        <v>8.1325517236774161</v>
      </c>
      <c r="X17" s="209">
        <f>15000/Tabela2[[#This Row],[Kolumna2]]/27.17</f>
        <v>67.885150713591585</v>
      </c>
      <c r="Y17" s="165">
        <f>Tabela2[[#This Row],[!ŚREDNIA]]/MAX(Tabela2[!ŚREDNIA])</f>
        <v>7.5658660707249886E-2</v>
      </c>
      <c r="Z17" s="176">
        <f>Tabela2[[#This Row],[VWO]]/Tabela2[[#This Row],[V_Off]]*1000</f>
        <v>15.244938583288828</v>
      </c>
      <c r="AA17" s="176">
        <f>Tabela2[[#This Row],[VWD]]/Tabela2[[#This Row],[V_Def]]*1000</f>
        <v>14.594594594594593</v>
      </c>
      <c r="AB17" s="176">
        <f>1/(AVERAGE((Tabela2[[#This Row],[Damage max]],Tabela2[[#This Row],[Damage min]]))*(1+(Tabela2[[#This Row],[Attack]]-$H$9)*IF(Tabela2[[#This Row],[Attack]]-$H$9 = 0, 1, IF(Tabela2[[#This Row],[Attack]]-$H$9 &gt; 0,$F$4,$I$4)))/$F$9)</f>
        <v>251.46198830409358</v>
      </c>
      <c r="AC17" s="176">
        <f>(AVERAGE($I$9,$J$9))*(1+(($G$9-Tabela2[[#This Row],[Defence]])*IF($G$9-Tabela2[[#This Row],[Defence]] = 0, 1, IF($G$9-Tabela2[[#This Row],[Defence]] &gt; 0, $F$4,$I$4))))/Tabela2[[#This Row],[Health]]</f>
        <v>17.75</v>
      </c>
      <c r="AD17" s="177">
        <f>INT(SQRT(((Tabela2[[#This Row],[VWO]])*Tabela2[[#This Row],[VWD]])))</f>
        <v>4</v>
      </c>
      <c r="AE17" s="176">
        <f>Tabela2[[#This Row],[VWD]]/Tabela2[[#This Row],[VWO]]</f>
        <v>3.8660790226552231</v>
      </c>
      <c r="AF17" s="178">
        <f>Tabela2[[#This Row],[VOB]]/Tabela2[[#This Row],[VDB]]</f>
        <v>14.166872580512315</v>
      </c>
      <c r="AG17" s="176">
        <f>SUM(Tabela2[[#This Row],[Cena_Atak]:[Cena_Obrona]])</f>
        <v>29.839533177883421</v>
      </c>
      <c r="AH17" s="176">
        <f>300*Tabela2[[#This Row],[FixedAmountAfterSearchingFixedAmountAfterSearching]]</f>
        <v>2681700</v>
      </c>
      <c r="AI17" s="245">
        <v>8939</v>
      </c>
      <c r="AJ17" s="245">
        <v>7332</v>
      </c>
      <c r="AK17" s="245">
        <v>8610</v>
      </c>
      <c r="AL17" s="245">
        <f>(Tabela2[[#This Row],[FixedAmountAfterSearchingFixedAmountAfterSearching]]+Tabela2[[#This Row],[FixedAmountAfterSearchingFixedAmountAfterSearching2]]+Tabela2[[#This Row],[FixedAmountAfterSearching]])/3</f>
        <v>8293.6666666666661</v>
      </c>
      <c r="AN17" s="141">
        <f>Tabela2[[#This Row],[ŚREDNIA]]/136</f>
        <v>60.982843137254896</v>
      </c>
      <c r="AO17" s="141">
        <f t="shared" si="0"/>
        <v>16.39805474056509</v>
      </c>
    </row>
    <row r="18" spans="1:41" s="145" customFormat="1" x14ac:dyDescent="0.25">
      <c r="A18" s="142" t="s">
        <v>215</v>
      </c>
      <c r="B18" s="142"/>
      <c r="C18" s="142"/>
      <c r="D18" s="148" t="s">
        <v>100</v>
      </c>
      <c r="E18" s="142" t="s">
        <v>210</v>
      </c>
      <c r="F18" s="143">
        <v>20</v>
      </c>
      <c r="G18" s="143">
        <v>2</v>
      </c>
      <c r="H18" s="143">
        <v>7</v>
      </c>
      <c r="I18" s="143">
        <v>3</v>
      </c>
      <c r="J18" s="143">
        <v>3</v>
      </c>
      <c r="K18" s="223">
        <f>Tabela2[[#This Row],[Kolumna1]]*Tabela2[[#This Row],[Odchyłka]]</f>
        <v>37.818519196630078</v>
      </c>
      <c r="L18" s="165">
        <f>Tabela2[[#This Row],[VWD]]/Tabela2[[#This Row],[VWO]]</f>
        <v>6.9980965177471726</v>
      </c>
      <c r="M18" s="186">
        <f>AVERAGE((Tabela2[[#This Row],[Damage max]],Tabela2[[#This Row],[Damage min]]))*(1+(Tabela2[[#This Row],[Attack]]-$H$10)*IF(Tabela2[[#This Row],[Attack]]-$H$10 = 0, 1, IF(Tabela2[[#This Row],[Attack]]-$H$10 &gt; 0, $F$4,-$I$4)))/$F$10</f>
        <v>3.12</v>
      </c>
      <c r="N18" s="189">
        <f>MAX(Tabela2[VWO])/Tabela2[[#This Row],[VWO]]</f>
        <v>47.435897435897431</v>
      </c>
      <c r="O18" s="197">
        <f>Tabela2[[#This Row],[Health]]/(AVERAGE($I$10,$J$10)*(1+($G$10-Tabela2[[#This Row],[Defence]])*IF($G$10-Tabela2[[#This Row],[Defence]] = 0, 1, IF($G$10-Tabela2[[#This Row],[Defence]] &gt; 0, $F$4,$I$4))))</f>
        <v>21.834061135371179</v>
      </c>
      <c r="P18" s="198">
        <f>MAX(Tabela2[VWD])/Tabela2[[#This Row],[VWD]]</f>
        <v>25.087898089171979</v>
      </c>
      <c r="Q18" s="201">
        <f>Tabela2[[#This Row],[VWO]]*Tabela2[[#This Row],[VWD_R]]</f>
        <v>78.274242038216585</v>
      </c>
      <c r="R18" s="205">
        <f>Tabela2[[#This Row],[VWO_R]]*Tabela2[[#This Row],[VWD]]</f>
        <v>1035.7182846265814</v>
      </c>
      <c r="S18" s="209">
        <f>(Tabela2[[#This Row],[V_Def]]+Tabela2[[#This Row],[V_Off]])/2</f>
        <v>556.99626333239894</v>
      </c>
      <c r="T18" s="209">
        <f>472.09/Tabela2[[#This Row],[!ŚREDNIA]]</f>
        <v>0.84756403422812654</v>
      </c>
      <c r="U18" s="209">
        <f>Tabela2[[#This Row],[VWO]]+Tabela2[[#This Row],[VWD]]</f>
        <v>24.95406113537118</v>
      </c>
      <c r="V18" s="209">
        <f>Tabela2[[#This Row],[Suma VW]]*Tabela2[[#This Row],[Odchyłka]]</f>
        <v>21.1501647262705</v>
      </c>
      <c r="W18" s="209">
        <f>Tabela2[[#This Row],[Suma*Odchyłka]]/2*1.17</f>
        <v>12.372846364868241</v>
      </c>
      <c r="X18" s="209">
        <f>15000/Tabela2[[#This Row],[Kolumna2]]/27.17</f>
        <v>44.620250116053192</v>
      </c>
      <c r="Y18" s="165">
        <f>Tabela2[[#This Row],[!ŚREDNIA]]/MAX(Tabela2[!ŚREDNIA])</f>
        <v>0.11806582041597809</v>
      </c>
      <c r="Z18" s="176">
        <f>Tabela2[[#This Row],[VWO]]/Tabela2[[#This Row],[V_Off]]*1000</f>
        <v>39.859855793642723</v>
      </c>
      <c r="AA18" s="176">
        <f>Tabela2[[#This Row],[VWD]]/Tabela2[[#This Row],[V_Def]]*1000</f>
        <v>21.081081081081084</v>
      </c>
      <c r="AB18" s="176">
        <f>1/(AVERAGE((Tabela2[[#This Row],[Damage max]],Tabela2[[#This Row],[Damage min]]))*(1+(Tabela2[[#This Row],[Attack]]-$H$9)*IF(Tabela2[[#This Row],[Attack]]-$H$9 = 0, 1, IF(Tabela2[[#This Row],[Attack]]-$H$9 &gt; 0,$F$4,$I$4)))/$F$9)</f>
        <v>174.79674796747972</v>
      </c>
      <c r="AC18" s="176">
        <f>(AVERAGE($I$9,$J$9))*(1+(($G$9-Tabela2[[#This Row],[Defence]])*IF($G$9-Tabela2[[#This Row],[Defence]] = 0, 1, IF($G$9-Tabela2[[#This Row],[Defence]] &gt; 0, $F$4,$I$4))))/Tabela2[[#This Row],[Health]]</f>
        <v>6.8</v>
      </c>
      <c r="AD18" s="177">
        <f>INT(SQRT(((Tabela2[[#This Row],[VWO]])*Tabela2[[#This Row],[VWD]])))</f>
        <v>8</v>
      </c>
      <c r="AE18" s="176">
        <f>Tabela2[[#This Row],[VWD]]/Tabela2[[#This Row],[VWO]]</f>
        <v>6.9980965177471726</v>
      </c>
      <c r="AF18" s="178">
        <f>Tabela2[[#This Row],[VOB]]/Tabela2[[#This Row],[VDB]]</f>
        <v>25.705404112864667</v>
      </c>
      <c r="AG18" s="176">
        <f>SUM(Tabela2[[#This Row],[Cena_Atak]:[Cena_Obrona]])</f>
        <v>60.940936874723803</v>
      </c>
      <c r="AH18" s="176">
        <f>300*Tabela2[[#This Row],[FixedAmountAfterSearchingFixedAmountAfterSearching]]</f>
        <v>1402800</v>
      </c>
      <c r="AI18" s="245">
        <v>4676</v>
      </c>
      <c r="AJ18" s="245">
        <v>3982</v>
      </c>
      <c r="AK18" s="143">
        <v>4420</v>
      </c>
      <c r="AL18" s="245">
        <f>(Tabela2[[#This Row],[FixedAmountAfterSearchingFixedAmountAfterSearching]]+Tabela2[[#This Row],[FixedAmountAfterSearchingFixedAmountAfterSearching2]]+Tabela2[[#This Row],[FixedAmountAfterSearching]])/3</f>
        <v>4359.333333333333</v>
      </c>
      <c r="AN18" s="141">
        <f>Tabela2[[#This Row],[ŚREDNIA]]/136</f>
        <v>32.053921568627452</v>
      </c>
      <c r="AO18" s="141">
        <f t="shared" si="0"/>
        <v>31.197430799816484</v>
      </c>
    </row>
    <row r="19" spans="1:41" s="145" customFormat="1" x14ac:dyDescent="0.25">
      <c r="A19" s="142" t="s">
        <v>214</v>
      </c>
      <c r="B19" s="142"/>
      <c r="C19" s="142"/>
      <c r="D19" s="142" t="s">
        <v>100</v>
      </c>
      <c r="E19" s="142" t="s">
        <v>212</v>
      </c>
      <c r="F19" s="143">
        <v>45</v>
      </c>
      <c r="G19" s="143">
        <v>6</v>
      </c>
      <c r="H19" s="143">
        <v>6</v>
      </c>
      <c r="I19" s="143">
        <v>7</v>
      </c>
      <c r="J19" s="143">
        <v>7</v>
      </c>
      <c r="K19" s="223">
        <f>Tabela2[[#This Row],[Kolumna1]]*Tabela2[[#This Row],[Odchyłka]]</f>
        <v>16.618663282514987</v>
      </c>
      <c r="L19" s="165">
        <f>Tabela2[[#This Row],[VWD]]/Tabela2[[#This Row],[VWO]]</f>
        <v>5.7603686635944698</v>
      </c>
      <c r="M19" s="186">
        <f>AVERAGE((Tabela2[[#This Row],[Damage max]],Tabela2[[#This Row],[Damage min]]))*(1+(Tabela2[[#This Row],[Attack]]-$H$10)*IF(Tabela2[[#This Row],[Attack]]-$H$10 = 0, 1, IF(Tabela2[[#This Row],[Attack]]-$H$10 &gt; 0, $F$4,-$I$4)))/$F$10</f>
        <v>8.4</v>
      </c>
      <c r="N19" s="189">
        <f>MAX(Tabela2[VWO])/Tabela2[[#This Row],[VWO]]</f>
        <v>17.619047619047617</v>
      </c>
      <c r="O19" s="197">
        <f>Tabela2[[#This Row],[Health]]/(AVERAGE($I$10,$J$10)*(1+($G$10-Tabela2[[#This Row],[Defence]])*IF($G$10-Tabela2[[#This Row],[Defence]] = 0, 1, IF($G$10-Tabela2[[#This Row],[Defence]] &gt; 0, $F$4,$I$4))))</f>
        <v>48.387096774193552</v>
      </c>
      <c r="P19" s="198">
        <f>MAX(Tabela2[VWD])/Tabela2[[#This Row],[VWD]]</f>
        <v>11.320594479830151</v>
      </c>
      <c r="Q19" s="201">
        <f>Tabela2[[#This Row],[VWO]]*Tabela2[[#This Row],[VWD_R]]</f>
        <v>95.092993630573275</v>
      </c>
      <c r="R19" s="205">
        <f>Tabela2[[#This Row],[VWO_R]]*Tabela2[[#This Row],[VWD]]</f>
        <v>852.53456221198155</v>
      </c>
      <c r="S19" s="209">
        <f>(Tabela2[[#This Row],[V_Def]]+Tabela2[[#This Row],[V_Off]])/2</f>
        <v>473.81377792127739</v>
      </c>
      <c r="T19" s="209">
        <f>472.09/Tabela2[[#This Row],[!ŚREDNIA]]</f>
        <v>0.99636190840874239</v>
      </c>
      <c r="U19" s="209">
        <f>Tabela2[[#This Row],[VWO]]+Tabela2[[#This Row],[VWD]]</f>
        <v>56.78709677419355</v>
      </c>
      <c r="V19" s="209">
        <f>Tabela2[[#This Row],[Suma VW]]*Tabela2[[#This Row],[Odchyłka]]</f>
        <v>56.580500114927425</v>
      </c>
      <c r="W19" s="209">
        <f>Tabela2[[#This Row],[Suma*Odchyłka]]/2*1.17</f>
        <v>33.099592567232541</v>
      </c>
      <c r="X19" s="209">
        <f>15000/Tabela2[[#This Row],[Kolumna2]]/27.17</f>
        <v>16.679344264631833</v>
      </c>
      <c r="Y19" s="165">
        <f>Tabela2[[#This Row],[!ŚREDNIA]]/MAX(Tabela2[!ŚREDNIA])</f>
        <v>0.10043373016541332</v>
      </c>
      <c r="Z19" s="176">
        <f>Tabela2[[#This Row],[VWO]]/Tabela2[[#This Row],[V_Off]]*1000</f>
        <v>88.334583645911451</v>
      </c>
      <c r="AA19" s="176">
        <f>Tabela2[[#This Row],[VWD]]/Tabela2[[#This Row],[V_Def]]*1000</f>
        <v>56.756756756756758</v>
      </c>
      <c r="AB19" s="176">
        <f>1/(AVERAGE((Tabela2[[#This Row],[Damage max]],Tabela2[[#This Row],[Damage min]]))*(1+(Tabela2[[#This Row],[Attack]]-$H$9)*IF(Tabela2[[#This Row],[Attack]]-$H$9 = 0, 1, IF(Tabela2[[#This Row],[Attack]]-$H$9 &gt; 0,$F$4,$I$4)))/$F$9)</f>
        <v>63.988095238095241</v>
      </c>
      <c r="AC19" s="176">
        <f>(AVERAGE($I$9,$J$9))*(1+(($G$9-Tabela2[[#This Row],[Defence]])*IF($G$9-Tabela2[[#This Row],[Defence]] = 0, 1, IF($G$9-Tabela2[[#This Row],[Defence]] &gt; 0, $F$4,$I$4))))/Tabela2[[#This Row],[Health]]</f>
        <v>3.0666666666666669</v>
      </c>
      <c r="AD19" s="177">
        <f>INT(SQRT(((Tabela2[[#This Row],[VWO]])*Tabela2[[#This Row],[VWD]])))</f>
        <v>20</v>
      </c>
      <c r="AE19" s="176">
        <f>Tabela2[[#This Row],[VWD]]/Tabela2[[#This Row],[VWO]]</f>
        <v>5.7603686635944698</v>
      </c>
      <c r="AF19" s="178">
        <f>Tabela2[[#This Row],[VOB]]/Tabela2[[#This Row],[VDB]]</f>
        <v>20.865683229813666</v>
      </c>
      <c r="AG19" s="176">
        <f>SUM(Tabela2[[#This Row],[Cena_Atak]:[Cena_Obrona]])</f>
        <v>145.09134040266821</v>
      </c>
      <c r="AH19" s="176">
        <f>300*Tabela2[[#This Row],[FixedAmountAfterSearchingFixedAmountAfterSearching]]</f>
        <v>561600</v>
      </c>
      <c r="AI19" s="245">
        <v>1872</v>
      </c>
      <c r="AJ19" s="245">
        <v>1601</v>
      </c>
      <c r="AK19" s="143">
        <v>1865</v>
      </c>
      <c r="AL19" s="245">
        <f>(Tabela2[[#This Row],[FixedAmountAfterSearchingFixedAmountAfterSearching]]+Tabela2[[#This Row],[FixedAmountAfterSearchingFixedAmountAfterSearching2]]+Tabela2[[#This Row],[FixedAmountAfterSearching]])/3</f>
        <v>1779.3333333333333</v>
      </c>
      <c r="AN19" s="141">
        <f>Tabela2[[#This Row],[ŚREDNIA]]/136</f>
        <v>13.083333333333332</v>
      </c>
      <c r="AO19" s="141">
        <f t="shared" si="0"/>
        <v>76.433121019108285</v>
      </c>
    </row>
    <row r="20" spans="1:41" s="145" customFormat="1" ht="14.25" customHeight="1" x14ac:dyDescent="0.25">
      <c r="A20" s="142" t="s">
        <v>213</v>
      </c>
      <c r="B20" s="142"/>
      <c r="C20" s="142"/>
      <c r="D20" s="148" t="s">
        <v>100</v>
      </c>
      <c r="E20" s="142" t="s">
        <v>212</v>
      </c>
      <c r="F20" s="149">
        <v>165</v>
      </c>
      <c r="G20" s="149">
        <v>12</v>
      </c>
      <c r="H20" s="149">
        <v>17</v>
      </c>
      <c r="I20" s="149">
        <v>16</v>
      </c>
      <c r="J20" s="149">
        <v>16</v>
      </c>
      <c r="K20" s="223">
        <f>Tabela2[[#This Row],[Kolumna1]]*Tabela2[[#This Row],[Odchyłka]]</f>
        <v>4.00445615147349</v>
      </c>
      <c r="L20" s="165">
        <f>Tabela2[[#This Row],[VWD]]/Tabela2[[#This Row],[VWO]]</f>
        <v>9.2286834192439855</v>
      </c>
      <c r="M20" s="186">
        <f>AVERAGE((Tabela2[[#This Row],[Damage max]],Tabela2[[#This Row],[Damage min]]))*(1+(Tabela2[[#This Row],[Attack]]-$H$10)*IF(Tabela2[[#This Row],[Attack]]-$H$10 = 0, 1, IF(Tabela2[[#This Row],[Attack]]-$H$10 &gt; 0, $F$4,-$I$4)))/$F$10</f>
        <v>23.04</v>
      </c>
      <c r="N20" s="189">
        <f>MAX(Tabela2[VWO])/Tabela2[[#This Row],[VWO]]</f>
        <v>6.4236111111111116</v>
      </c>
      <c r="O20" s="197">
        <f>Tabela2[[#This Row],[Health]]/(AVERAGE($I$10,$J$10)*(1+($G$10-Tabela2[[#This Row],[Defence]])*IF($G$10-Tabela2[[#This Row],[Defence]] = 0, 1, IF($G$10-Tabela2[[#This Row],[Defence]] &gt; 0, $F$4,$I$4))))</f>
        <v>212.62886597938143</v>
      </c>
      <c r="P20" s="198">
        <f>MAX(Tabela2[VWD])/Tabela2[[#This Row],[VWD]]</f>
        <v>2.576182204207683</v>
      </c>
      <c r="Q20" s="201">
        <f>Tabela2[[#This Row],[VWO]]*Tabela2[[#This Row],[VWD_R]]</f>
        <v>59.355237984945013</v>
      </c>
      <c r="R20" s="205">
        <f>Tabela2[[#This Row],[VWO_R]]*Tabela2[[#This Row],[VWD]]</f>
        <v>1365.8451460481099</v>
      </c>
      <c r="S20" s="209">
        <f>(Tabela2[[#This Row],[V_Def]]+Tabela2[[#This Row],[V_Off]])/2</f>
        <v>712.60019201652744</v>
      </c>
      <c r="T20" s="209">
        <f>472.09/Tabela2[[#This Row],[!ŚREDNIA]]</f>
        <v>0.66248929664763645</v>
      </c>
      <c r="U20" s="209">
        <f>Tabela2[[#This Row],[VWO]]+Tabela2[[#This Row],[VWD]]</f>
        <v>235.66886597938142</v>
      </c>
      <c r="V20" s="209">
        <f>Tabela2[[#This Row],[Suma VW]]*Tabela2[[#This Row],[Odchyłka]]</f>
        <v>156.1281012644265</v>
      </c>
      <c r="W20" s="209">
        <f>Tabela2[[#This Row],[Suma*Odchyłka]]/2*1.17</f>
        <v>91.334939239689504</v>
      </c>
      <c r="X20" s="209">
        <f>15000/Tabela2[[#This Row],[Kolumna2]]/27.17</f>
        <v>6.0445597713609134</v>
      </c>
      <c r="Y20" s="165">
        <f>Tabela2[[#This Row],[!ŚREDNIA]]/MAX(Tabela2[!ŚREDNIA])</f>
        <v>0.15104899590467505</v>
      </c>
      <c r="Z20" s="176">
        <f>Tabela2[[#This Row],[VWO]]/Tabela2[[#This Row],[V_Off]]*1000</f>
        <v>388.17130184607987</v>
      </c>
      <c r="AA20" s="176">
        <f>Tabela2[[#This Row],[VWD]]/Tabela2[[#This Row],[V_Def]]*1000</f>
        <v>155.67567567567568</v>
      </c>
      <c r="AB20" s="176">
        <f>1/(AVERAGE((Tabela2[[#This Row],[Damage max]],Tabela2[[#This Row],[Damage min]]))*(1+(Tabela2[[#This Row],[Attack]]-$H$9)*IF(Tabela2[[#This Row],[Attack]]-$H$9 = 0, 1, IF(Tabela2[[#This Row],[Attack]]-$H$9 &gt; 0,$F$4,$I$4)))/$F$9)</f>
        <v>22.970085470085472</v>
      </c>
      <c r="AC20" s="176">
        <f>(AVERAGE($I$9,$J$9))*(1+(($G$9-Tabela2[[#This Row],[Defence]])*IF($G$9-Tabela2[[#This Row],[Defence]] = 0, 1, IF($G$9-Tabela2[[#This Row],[Defence]] &gt; 0, $F$4,$I$4))))/Tabela2[[#This Row],[Health]]</f>
        <v>0.70303030303030312</v>
      </c>
      <c r="AD20" s="177">
        <f>INT(SQRT(((Tabela2[[#This Row],[VWO]])*Tabela2[[#This Row],[VWD]])))</f>
        <v>69</v>
      </c>
      <c r="AE20" s="176">
        <f>Tabela2[[#This Row],[VWD]]/Tabela2[[#This Row],[VWO]]</f>
        <v>9.2286834192439855</v>
      </c>
      <c r="AF20" s="178">
        <f>Tabela2[[#This Row],[VOB]]/Tabela2[[#This Row],[VDB]]</f>
        <v>32.672966401414676</v>
      </c>
      <c r="AG20" s="176">
        <f>SUM(Tabela2[[#This Row],[Cena_Atak]:[Cena_Obrona]])</f>
        <v>543.84697752175555</v>
      </c>
      <c r="AH20" s="176">
        <f>300*Tabela2[[#This Row],[FixedAmountAfterSearchingFixedAmountAfterSearching]]</f>
        <v>163200</v>
      </c>
      <c r="AI20" s="245">
        <v>544</v>
      </c>
      <c r="AJ20" s="245">
        <v>477</v>
      </c>
      <c r="AK20" s="143">
        <v>538</v>
      </c>
      <c r="AL20" s="245">
        <f>(Tabela2[[#This Row],[FixedAmountAfterSearchingFixedAmountAfterSearching]]+Tabela2[[#This Row],[FixedAmountAfterSearchingFixedAmountAfterSearching2]]+Tabela2[[#This Row],[FixedAmountAfterSearching]])/3</f>
        <v>519.66666666666663</v>
      </c>
      <c r="AN20" s="141">
        <f>Tabela2[[#This Row],[ŚREDNIA]]/136</f>
        <v>3.8210784313725488</v>
      </c>
      <c r="AO20" s="141">
        <f t="shared" si="0"/>
        <v>261.70622193713922</v>
      </c>
    </row>
    <row r="21" spans="1:41" s="145" customFormat="1" ht="14.25" customHeight="1" x14ac:dyDescent="0.25">
      <c r="A21" s="142" t="s">
        <v>190</v>
      </c>
      <c r="B21" s="142"/>
      <c r="C21" s="142"/>
      <c r="D21" s="142" t="s">
        <v>221</v>
      </c>
      <c r="E21" s="142"/>
      <c r="F21" s="143">
        <v>40</v>
      </c>
      <c r="G21" s="143">
        <v>14</v>
      </c>
      <c r="H21" s="143">
        <v>7</v>
      </c>
      <c r="I21" s="143">
        <v>13</v>
      </c>
      <c r="J21" s="143">
        <v>13</v>
      </c>
      <c r="K21" s="223">
        <f>Tabela2[[#This Row],[Kolumna1]]*Tabela2[[#This Row],[Odchyłka]]</f>
        <v>14.878662749208168</v>
      </c>
      <c r="L21" s="165">
        <f>Tabela2[[#This Row],[VWD]]/Tabela2[[#This Row],[VWO]]</f>
        <v>2.2099252161306859</v>
      </c>
      <c r="M21" s="186">
        <f>AVERAGE((Tabela2[[#This Row],[Damage max]],Tabela2[[#This Row],[Damage min]]))*(1+(Tabela2[[#This Row],[Attack]]-$H$10)*IF(Tabela2[[#This Row],[Attack]]-$H$10 = 0, 1, IF(Tabela2[[#This Row],[Attack]]-$H$10 &gt; 0, $F$4,-$I$4)))/$F$10</f>
        <v>19.760000000000002</v>
      </c>
      <c r="N21" s="189">
        <f>MAX(Tabela2[VWO])/Tabela2[[#This Row],[VWO]]</f>
        <v>7.4898785425101213</v>
      </c>
      <c r="O21" s="197">
        <f>Tabela2[[#This Row],[Health]]/(AVERAGE($I$10,$J$10)*(1+($G$10-Tabela2[[#This Row],[Defence]])*IF($G$10-Tabela2[[#This Row],[Defence]] = 0, 1, IF($G$10-Tabela2[[#This Row],[Defence]] &gt; 0, $F$4,$I$4))))</f>
        <v>43.668122270742359</v>
      </c>
      <c r="P21" s="198">
        <f>MAX(Tabela2[VWD])/Tabela2[[#This Row],[VWD]]</f>
        <v>12.54394904458599</v>
      </c>
      <c r="Q21" s="201">
        <f>Tabela2[[#This Row],[VWO]]*Tabela2[[#This Row],[VWD_R]]</f>
        <v>247.86843312101917</v>
      </c>
      <c r="R21" s="205">
        <f>Tabela2[[#This Row],[VWO_R]]*Tabela2[[#This Row],[VWD]]</f>
        <v>327.06893198734156</v>
      </c>
      <c r="S21" s="209">
        <f>(Tabela2[[#This Row],[V_Def]]+Tabela2[[#This Row],[V_Off]])/2</f>
        <v>287.46868255418036</v>
      </c>
      <c r="T21" s="209">
        <f>472.09/Tabela2[[#This Row],[!ŚREDNIA]]</f>
        <v>1.6422310625472161</v>
      </c>
      <c r="U21" s="209">
        <f>Tabela2[[#This Row],[VWO]]+Tabela2[[#This Row],[VWD]]</f>
        <v>63.428122270742364</v>
      </c>
      <c r="V21" s="209">
        <f>Tabela2[[#This Row],[Suma VW]]*Tabela2[[#This Row],[Odchyłka]]</f>
        <v>104.16363263205596</v>
      </c>
      <c r="W21" s="209">
        <f>Tabela2[[#This Row],[Suma*Odchyłka]]/2*1.17</f>
        <v>60.935725089752736</v>
      </c>
      <c r="X21" s="209">
        <f>15000/Tabela2[[#This Row],[Kolumna2]]/27.17</f>
        <v>9.060030033855476</v>
      </c>
      <c r="Y21" s="165">
        <f>Tabela2[[#This Row],[!ŚREDNIA]]/MAX(Tabela2[!ŚREDNIA])</f>
        <v>6.0934386968059688E-2</v>
      </c>
      <c r="Z21" s="176">
        <f>Tabela2[[#This Row],[VWO]]/Tabela2[[#This Row],[V_Off]]*1000</f>
        <v>79.71971158728546</v>
      </c>
      <c r="AA21" s="176">
        <f>Tabela2[[#This Row],[VWD]]/Tabela2[[#This Row],[V_Def]]*1000</f>
        <v>133.51351351351352</v>
      </c>
      <c r="AB21" s="176">
        <f>1/(AVERAGE((Tabela2[[#This Row],[Damage max]],Tabela2[[#This Row],[Damage min]]))*(1+(Tabela2[[#This Row],[Attack]]-$H$9)*IF(Tabela2[[#This Row],[Attack]]-$H$9 = 0, 1, IF(Tabela2[[#This Row],[Attack]]-$H$9 &gt; 0,$F$4,$I$4)))/$F$9)</f>
        <v>26.674937965260547</v>
      </c>
      <c r="AC21" s="176">
        <f>(AVERAGE($I$9,$J$9))*(1+(($G$9-Tabela2[[#This Row],[Defence]])*IF($G$9-Tabela2[[#This Row],[Defence]] = 0, 1, IF($G$9-Tabela2[[#This Row],[Defence]] &gt; 0, $F$4,$I$4))))/Tabela2[[#This Row],[Health]]</f>
        <v>3.4</v>
      </c>
      <c r="AD21" s="177">
        <f>INT(SQRT(((Tabela2[[#This Row],[VWO]])*Tabela2[[#This Row],[VWD]])))</f>
        <v>29</v>
      </c>
      <c r="AE21" s="176">
        <f>Tabela2[[#This Row],[VWD]]/Tabela2[[#This Row],[VWO]]</f>
        <v>2.2099252161306859</v>
      </c>
      <c r="AF21" s="178">
        <f>Tabela2[[#This Row],[VOB]]/Tabela2[[#This Row],[VDB]]</f>
        <v>7.845569989782514</v>
      </c>
      <c r="AG21" s="176">
        <f>SUM(Tabela2[[#This Row],[Cena_Atak]:[Cena_Obrona]])</f>
        <v>213.23322510079896</v>
      </c>
      <c r="AH21" s="176">
        <f>300*Tabela2[[#This Row],[FixedAmountAfterSearchingFixedAmountAfterSearching]]</f>
        <v>365100</v>
      </c>
      <c r="AI21" s="245">
        <v>1217</v>
      </c>
      <c r="AJ21" s="245">
        <v>1233</v>
      </c>
      <c r="AK21" s="143">
        <v>1315</v>
      </c>
      <c r="AL21" s="245">
        <f>(Tabela2[[#This Row],[FixedAmountAfterSearchingFixedAmountAfterSearching]]+Tabela2[[#This Row],[FixedAmountAfterSearchingFixedAmountAfterSearching2]]+Tabela2[[#This Row],[FixedAmountAfterSearching]])/3</f>
        <v>1255</v>
      </c>
      <c r="AN21" s="141">
        <f>Tabela2[[#This Row],[ŚREDNIA]]/136</f>
        <v>9.2279411764705888</v>
      </c>
      <c r="AO21" s="141">
        <f t="shared" si="0"/>
        <v>108.36653386454182</v>
      </c>
    </row>
    <row r="22" spans="1:41" s="145" customFormat="1" ht="15.75" customHeight="1" x14ac:dyDescent="0.25">
      <c r="A22" s="142" t="s">
        <v>191</v>
      </c>
      <c r="B22" s="142"/>
      <c r="C22" s="142"/>
      <c r="D22" s="148" t="s">
        <v>221</v>
      </c>
      <c r="E22" s="142"/>
      <c r="F22" s="149">
        <v>53</v>
      </c>
      <c r="G22" s="149">
        <v>13</v>
      </c>
      <c r="H22" s="149">
        <v>10</v>
      </c>
      <c r="I22" s="149">
        <v>11</v>
      </c>
      <c r="J22" s="149">
        <v>11</v>
      </c>
      <c r="K22" s="223">
        <f>Tabela2[[#This Row],[Kolumna1]]*Tabela2[[#This Row],[Odchyłka]]</f>
        <v>12.268807281048847</v>
      </c>
      <c r="L22" s="165">
        <f>Tabela2[[#This Row],[VWD]]/Tabela2[[#This Row],[VWO]]</f>
        <v>3.7248607042657382</v>
      </c>
      <c r="M22" s="186">
        <f>AVERAGE((Tabela2[[#This Row],[Damage max]],Tabela2[[#This Row],[Damage min]]))*(1+(Tabela2[[#This Row],[Attack]]-$H$10)*IF(Tabela2[[#This Row],[Attack]]-$H$10 = 0, 1, IF(Tabela2[[#This Row],[Attack]]-$H$10 &gt; 0, $F$4,-$I$4)))/$F$10</f>
        <v>16.28</v>
      </c>
      <c r="N22" s="189">
        <f>MAX(Tabela2[VWO])/Tabela2[[#This Row],[VWO]]</f>
        <v>9.0909090909090899</v>
      </c>
      <c r="O22" s="197">
        <f>Tabela2[[#This Row],[Health]]/(AVERAGE($I$10,$J$10)*(1+($G$10-Tabela2[[#This Row],[Defence]])*IF($G$10-Tabela2[[#This Row],[Defence]] = 0, 1, IF($G$10-Tabela2[[#This Row],[Defence]] &gt; 0, $F$4,$I$4))))</f>
        <v>60.640732265446225</v>
      </c>
      <c r="P22" s="198">
        <f>MAX(Tabela2[VWD])/Tabela2[[#This Row],[VWD]]</f>
        <v>9.0330489123903401</v>
      </c>
      <c r="Q22" s="201">
        <f>Tabela2[[#This Row],[VWO]]*Tabela2[[#This Row],[VWD_R]]</f>
        <v>147.05803629371474</v>
      </c>
      <c r="R22" s="205">
        <f>Tabela2[[#This Row],[VWO_R]]*Tabela2[[#This Row],[VWD]]</f>
        <v>551.27938423132923</v>
      </c>
      <c r="S22" s="209">
        <f>(Tabela2[[#This Row],[V_Def]]+Tabela2[[#This Row],[V_Off]])/2</f>
        <v>349.16871026252198</v>
      </c>
      <c r="T22" s="209">
        <f>472.09/Tabela2[[#This Row],[!ŚREDNIA]]</f>
        <v>1.3520398195046166</v>
      </c>
      <c r="U22" s="209">
        <f>Tabela2[[#This Row],[VWO]]+Tabela2[[#This Row],[VWD]]</f>
        <v>76.920732265446219</v>
      </c>
      <c r="V22" s="209">
        <f>Tabela2[[#This Row],[Suma VW]]*Tabela2[[#This Row],[Odchyłka]]</f>
        <v>103.99989296833684</v>
      </c>
      <c r="W22" s="209">
        <f>Tabela2[[#This Row],[Suma*Odchyłka]]/2*1.17</f>
        <v>60.839937386477047</v>
      </c>
      <c r="X22" s="209">
        <f>15000/Tabela2[[#This Row],[Kolumna2]]/27.17</f>
        <v>9.0742943396031794</v>
      </c>
      <c r="Y22" s="165">
        <f>Tabela2[[#This Row],[!ŚREDNIA]]/MAX(Tabela2[!ŚREDNIA])</f>
        <v>7.4012866790332144E-2</v>
      </c>
      <c r="Z22" s="176">
        <f>Tabela2[[#This Row],[VWO]]/Tabela2[[#This Row],[V_Off]]*1000</f>
        <v>110.70459262412855</v>
      </c>
      <c r="AA22" s="176">
        <f>Tabela2[[#This Row],[VWD]]/Tabela2[[#This Row],[V_Def]]*1000</f>
        <v>110.00000000000001</v>
      </c>
      <c r="AB22" s="176">
        <f>1/(AVERAGE((Tabela2[[#This Row],[Damage max]],Tabela2[[#This Row],[Damage min]]))*(1+(Tabela2[[#This Row],[Attack]]-$H$9)*IF(Tabela2[[#This Row],[Attack]]-$H$9 = 0, 1, IF(Tabela2[[#This Row],[Attack]]-$H$9 &gt; 0,$F$4,$I$4)))/$F$9)</f>
        <v>32.440588457185967</v>
      </c>
      <c r="AC22" s="176">
        <f>(AVERAGE($I$9,$J$9))*(1+(($G$9-Tabela2[[#This Row],[Defence]])*IF($G$9-Tabela2[[#This Row],[Defence]] = 0, 1, IF($G$9-Tabela2[[#This Row],[Defence]] &gt; 0, $F$4,$I$4))))/Tabela2[[#This Row],[Health]]</f>
        <v>2.4528301886792452</v>
      </c>
      <c r="AD22" s="177">
        <f>INT(SQRT(((Tabela2[[#This Row],[VWO]])*Tabela2[[#This Row],[VWD]])))</f>
        <v>31</v>
      </c>
      <c r="AE22" s="176">
        <f>Tabela2[[#This Row],[VWD]]/Tabela2[[#This Row],[VWO]]</f>
        <v>3.7248607042657382</v>
      </c>
      <c r="AF22" s="178">
        <f>Tabela2[[#This Row],[VOB]]/Tabela2[[#This Row],[VDB]]</f>
        <v>13.225778371006587</v>
      </c>
      <c r="AG22" s="176">
        <f>SUM(Tabela2[[#This Row],[Cena_Atak]:[Cena_Obrona]])</f>
        <v>220.70459262412857</v>
      </c>
      <c r="AH22" s="176">
        <f>300*Tabela2[[#This Row],[FixedAmountAfterSearchingFixedAmountAfterSearching]]</f>
        <v>354600</v>
      </c>
      <c r="AI22" s="245">
        <v>1182</v>
      </c>
      <c r="AJ22" s="245">
        <v>982</v>
      </c>
      <c r="AK22" s="143">
        <v>1217</v>
      </c>
      <c r="AL22" s="245">
        <f>(Tabela2[[#This Row],[FixedAmountAfterSearchingFixedAmountAfterSearching]]+Tabela2[[#This Row],[FixedAmountAfterSearchingFixedAmountAfterSearching2]]+Tabela2[[#This Row],[FixedAmountAfterSearching]])/3</f>
        <v>1127</v>
      </c>
      <c r="AN22" s="141">
        <f>Tabela2[[#This Row],[ŚREDNIA]]/136</f>
        <v>8.2867647058823533</v>
      </c>
      <c r="AO22" s="141">
        <f t="shared" si="0"/>
        <v>120.67435669920141</v>
      </c>
    </row>
    <row r="23" spans="1:41" x14ac:dyDescent="0.25">
      <c r="A23" s="241" t="s">
        <v>187</v>
      </c>
      <c r="B23" s="217"/>
      <c r="C23" s="217"/>
      <c r="D23" s="136" t="s">
        <v>221</v>
      </c>
      <c r="E23" s="137"/>
      <c r="F23" s="137">
        <v>125</v>
      </c>
      <c r="G23" s="137">
        <v>25</v>
      </c>
      <c r="H23" s="137">
        <v>25</v>
      </c>
      <c r="I23" s="137">
        <v>25</v>
      </c>
      <c r="J23" s="137">
        <v>25</v>
      </c>
      <c r="K23" s="224">
        <f>Tabela2[[#This Row],[Kolumna1]]*Tabela2[[#This Row],[Odchyłka]]</f>
        <v>3.9777182676619427</v>
      </c>
      <c r="L23" s="214">
        <f>Tabela2[[#This Row],[VWD]]/Tabela2[[#This Row],[VWO]]</f>
        <v>3.8418982050651591</v>
      </c>
      <c r="M23" s="215">
        <f>AVERAGE((Tabela2[[#This Row],[Damage max]],Tabela2[[#This Row],[Damage min]]))*(1+(Tabela2[[#This Row],[Attack]]-$H$10)*IF(Tabela2[[#This Row],[Attack]]-$H$10 = 0, 1, IF(Tabela2[[#This Row],[Attack]]-$H$10 &gt; 0, $F$4,-$I$4)))/$F$10</f>
        <v>49</v>
      </c>
      <c r="N23" s="189">
        <f>MAX(Tabela2[VWO])/Tabela2[[#This Row],[VWO]]</f>
        <v>3.0204081632653059</v>
      </c>
      <c r="O23" s="197">
        <f>Tabela2[[#This Row],[Health]]/(AVERAGE($I$10,$J$10)*(1+($G$10-Tabela2[[#This Row],[Defence]])*IF($G$10-Tabela2[[#This Row],[Defence]] = 0, 1, IF($G$10-Tabela2[[#This Row],[Defence]] &gt; 0, $F$4,$I$4))))</f>
        <v>188.2530120481928</v>
      </c>
      <c r="P23" s="198">
        <f>MAX(Tabela2[VWD])/Tabela2[[#This Row],[VWD]]</f>
        <v>2.9097579617834399</v>
      </c>
      <c r="Q23" s="209">
        <f>Tabela2[[#This Row],[VWO]]*Tabela2[[#This Row],[VWD_R]]</f>
        <v>142.57814012738856</v>
      </c>
      <c r="R23" s="216">
        <f>Tabela2[[#This Row],[VWO_R]]*Tabela2[[#This Row],[VWD]]</f>
        <v>568.60093434964358</v>
      </c>
      <c r="S23" s="209">
        <f>(Tabela2[[#This Row],[V_Def]]+Tabela2[[#This Row],[V_Off]])/2</f>
        <v>355.58953723851607</v>
      </c>
      <c r="T23" s="209">
        <f>472.09/Tabela2[[#This Row],[!ŚREDNIA]]</f>
        <v>1.32762623913577</v>
      </c>
      <c r="U23" s="209">
        <f>Tabela2[[#This Row],[VWO]]+Tabela2[[#This Row],[VWD]]</f>
        <v>237.2530120481928</v>
      </c>
      <c r="V23" s="209">
        <f>Tabela2[[#This Row],[Suma VW]]*Tabela2[[#This Row],[Odchyłka]]</f>
        <v>314.98332410917573</v>
      </c>
      <c r="W23" s="209">
        <f>Tabela2[[#This Row],[Suma*Odchyłka]]/2*1.17</f>
        <v>184.26524460386779</v>
      </c>
      <c r="X23" s="209">
        <f>15000/Tabela2[[#This Row],[Kolumna2]]/27.17</f>
        <v>2.9961130251924466</v>
      </c>
      <c r="Y23" s="218">
        <f>Tabela2[[#This Row],[!ŚREDNIA]]/MAX(Tabela2[!ŚREDNIA])</f>
        <v>7.5373881674228024E-2</v>
      </c>
      <c r="Z23" s="176">
        <f>Tabela2[[#This Row],[VWO]]/Tabela2[[#This Row],[V_Off]]*1000</f>
        <v>343.67119641356112</v>
      </c>
      <c r="AA23" s="176">
        <f>Tabela2[[#This Row],[VWD]]/Tabela2[[#This Row],[V_Def]]*1000</f>
        <v>331.08108108108109</v>
      </c>
      <c r="AB23" s="144">
        <f>1/(AVERAGE((Tabela2[[#This Row],[Damage max]],Tabela2[[#This Row],[Damage min]]))*(1+(Tabela2[[#This Row],[Attack]]-$H$9)*IF(Tabela2[[#This Row],[Attack]]-$H$9 = 0, 1, IF(Tabela2[[#This Row],[Attack]]-$H$9 &gt; 0,$F$4,$I$4)))/$F$9)</f>
        <v>10.584615384615388</v>
      </c>
      <c r="AC23" s="144">
        <f>(AVERAGE($I$9,$J$9))*(1+(($G$9-Tabela2[[#This Row],[Defence]])*IF($G$9-Tabela2[[#This Row],[Defence]] = 0, 1, IF($G$9-Tabela2[[#This Row],[Defence]] &gt; 0, $F$4,$I$4))))/Tabela2[[#This Row],[Health]]</f>
        <v>0.8</v>
      </c>
      <c r="AD23" s="177">
        <f>INT(SQRT(((Tabela2[[#This Row],[VWO]])*Tabela2[[#This Row],[VWD]])))</f>
        <v>96</v>
      </c>
      <c r="AE23" s="176">
        <f>Tabela2[[#This Row],[VWD]]/Tabela2[[#This Row],[VWO]]</f>
        <v>3.8418982050651591</v>
      </c>
      <c r="AF23" s="218">
        <f>Tabela2[[#This Row],[VOB]]/Tabela2[[#This Row],[VDB]]</f>
        <v>13.230769230769234</v>
      </c>
      <c r="AG23" s="176">
        <f>SUM(Tabela2[[#This Row],[Cena_Atak]:[Cena_Obrona]])</f>
        <v>674.75227749464216</v>
      </c>
      <c r="AH23" s="176">
        <f>300*Tabela2[[#This Row],[FixedAmountAfterSearchingFixedAmountAfterSearching]]</f>
        <v>116100</v>
      </c>
      <c r="AI23" s="246">
        <v>387</v>
      </c>
      <c r="AJ23" s="247">
        <v>387</v>
      </c>
      <c r="AK23" s="243">
        <v>387</v>
      </c>
      <c r="AL23" s="243">
        <f>(Tabela2[[#This Row],[FixedAmountAfterSearchingFixedAmountAfterSearching]]+Tabela2[[#This Row],[FixedAmountAfterSearchingFixedAmountAfterSearching2]]+Tabela2[[#This Row],[FixedAmountAfterSearching]])/3</f>
        <v>387</v>
      </c>
      <c r="AN23" s="141">
        <f>Tabela2[[#This Row],[ŚREDNIA]]/136</f>
        <v>2.8455882352941178</v>
      </c>
      <c r="AO23" s="141">
        <f t="shared" si="0"/>
        <v>351.42118863049092</v>
      </c>
    </row>
    <row r="24" spans="1:41" s="235" customFormat="1" x14ac:dyDescent="0.25">
      <c r="A24" s="226" t="s">
        <v>188</v>
      </c>
      <c r="B24" s="227"/>
      <c r="C24" s="227"/>
      <c r="D24" s="226" t="s">
        <v>221</v>
      </c>
      <c r="E24" s="228"/>
      <c r="F24" s="228">
        <v>100</v>
      </c>
      <c r="G24" s="228">
        <v>1</v>
      </c>
      <c r="H24" s="228">
        <v>50</v>
      </c>
      <c r="I24" s="228">
        <v>5</v>
      </c>
      <c r="J24" s="228">
        <v>5</v>
      </c>
      <c r="K24" s="229">
        <f>Tabela2[[#This Row],[Kolumna1]]*Tabela2[[#This Row],[Odchyłka]]</f>
        <v>2.9174938563130981</v>
      </c>
      <c r="L24" s="230">
        <f>Tabela2[[#This Row],[VWD]]/Tabela2[[#This Row],[VWO]]</f>
        <v>63.694267515923585</v>
      </c>
      <c r="M24" s="231">
        <f>AVERAGE((Tabela2[[#This Row],[Damage max]],Tabela2[[#This Row],[Damage min]]))*(1+(Tabela2[[#This Row],[Attack]]-$H$10)*IF(Tabela2[[#This Row],[Attack]]-$H$10 = 0, 1, IF(Tabela2[[#This Row],[Attack]]-$H$10 &gt; 0, $F$4,-$I$4)))/$F$10</f>
        <v>5</v>
      </c>
      <c r="N24" s="232">
        <f>MAX(Tabela2[VWO])/Tabela2[[#This Row],[VWO]]</f>
        <v>29.6</v>
      </c>
      <c r="O24" s="232">
        <f>Tabela2[[#This Row],[Health]]/(AVERAGE($I$10,$J$10)*(1+($G$10-Tabela2[[#This Row],[Defence]])*IF($G$10-Tabela2[[#This Row],[Defence]] = 0, 1, IF($G$10-Tabela2[[#This Row],[Defence]] &gt; 0, $F$4,$I$4))))</f>
        <v>318.47133757961791</v>
      </c>
      <c r="P24" s="232">
        <f>MAX(Tabela2[VWD])/Tabela2[[#This Row],[VWD]]</f>
        <v>1.72</v>
      </c>
      <c r="Q24" s="229">
        <f>Tabela2[[#This Row],[VWO]]*Tabela2[[#This Row],[VWD_R]]</f>
        <v>8.6</v>
      </c>
      <c r="R24" s="233">
        <f>Tabela2[[#This Row],[VWO_R]]*Tabela2[[#This Row],[VWD]]</f>
        <v>9426.7515923566898</v>
      </c>
      <c r="S24" s="232">
        <f>(Tabela2[[#This Row],[V_Def]]+Tabela2[[#This Row],[V_Off]])/2</f>
        <v>4717.6757961783451</v>
      </c>
      <c r="T24" s="232">
        <f>472.09/Tabela2[[#This Row],[!ŚREDNIA]]</f>
        <v>0.10006834305621989</v>
      </c>
      <c r="U24" s="232">
        <f>Tabela2[[#This Row],[VWO]]+Tabela2[[#This Row],[VWD]]</f>
        <v>323.47133757961791</v>
      </c>
      <c r="V24" s="232">
        <f>Tabela2[[#This Row],[Suma VW]]*Tabela2[[#This Row],[Odchyłka]]</f>
        <v>32.369240777771516</v>
      </c>
      <c r="W24" s="232">
        <f>Tabela2[[#This Row],[Suma*Odchyłka]]/2*1.17</f>
        <v>18.936005854996335</v>
      </c>
      <c r="X24" s="232">
        <f>15000/Tabela2[[#This Row],[Kolumna2]]/27.17</f>
        <v>29.155013136112451</v>
      </c>
      <c r="Y24" s="229">
        <f>Tabela2[[#This Row],[!ŚREDNIA]]/MAX(Tabela2[!ŚREDNIA])</f>
        <v>1</v>
      </c>
      <c r="Z24" s="231">
        <f>Tabela2[[#This Row],[VWO]]/Tabela2[[#This Row],[V_Off]]*1000</f>
        <v>581.39534883720933</v>
      </c>
      <c r="AA24" s="231">
        <f>Tabela2[[#This Row],[VWD]]/Tabela2[[#This Row],[V_Def]]*1000</f>
        <v>33.783783783783782</v>
      </c>
      <c r="AB24" s="231">
        <f>1/(AVERAGE((Tabela2[[#This Row],[Damage max]],Tabela2[[#This Row],[Damage min]]))*(1+(Tabela2[[#This Row],[Attack]]-$H$9)*IF(Tabela2[[#This Row],[Attack]]-$H$9 = 0, 1, IF(Tabela2[[#This Row],[Attack]]-$H$9 &gt; 0,$F$4,$I$4)))/$F$9)</f>
        <v>109.55414012738855</v>
      </c>
      <c r="AC24" s="231">
        <f>(AVERAGE($I$9,$J$9))*(1+(($G$9-Tabela2[[#This Row],[Defence]])*IF($G$9-Tabela2[[#This Row],[Defence]] = 0, 1, IF($G$9-Tabela2[[#This Row],[Defence]] &gt; 0, $F$4,$I$4))))/Tabela2[[#This Row],[Health]]</f>
        <v>0.5</v>
      </c>
      <c r="AD24" s="234">
        <f>INT(SQRT(((Tabela2[[#This Row],[VWO]])*Tabela2[[#This Row],[VWD]])))</f>
        <v>39</v>
      </c>
      <c r="AE24" s="231">
        <f>Tabela2[[#This Row],[VWD]]/Tabela2[[#This Row],[VWO]]</f>
        <v>63.694267515923585</v>
      </c>
      <c r="AF24" s="229">
        <f>Tabela2[[#This Row],[VOB]]/Tabela2[[#This Row],[VDB]]</f>
        <v>219.1082802547771</v>
      </c>
      <c r="AG24" s="231">
        <f>SUM(Tabela2[[#This Row],[Cena_Atak]:[Cena_Obrona]])</f>
        <v>615.17913262099307</v>
      </c>
      <c r="AH24" s="231">
        <f>300*Tabela2[[#This Row],[FixedAmountAfterSearchingFixedAmountAfterSearching]]</f>
        <v>303900</v>
      </c>
      <c r="AI24" s="245">
        <v>1013</v>
      </c>
      <c r="AJ24" s="245">
        <v>860</v>
      </c>
      <c r="AK24" s="143">
        <v>958</v>
      </c>
      <c r="AL24" s="245">
        <f>(Tabela2[[#This Row],[FixedAmountAfterSearchingFixedAmountAfterSearching]]+Tabela2[[#This Row],[FixedAmountAfterSearchingFixedAmountAfterSearching2]]+Tabela2[[#This Row],[FixedAmountAfterSearching]])/3</f>
        <v>943.66666666666663</v>
      </c>
      <c r="AN24" s="141">
        <f>Tabela2[[#This Row],[ŚREDNIA]]/136</f>
        <v>6.9387254901960782</v>
      </c>
      <c r="AO24" s="141">
        <f t="shared" si="0"/>
        <v>144.11868597668669</v>
      </c>
    </row>
    <row r="25" spans="1:41" x14ac:dyDescent="0.25">
      <c r="A25" s="136" t="s">
        <v>192</v>
      </c>
      <c r="B25" s="217"/>
      <c r="C25" s="217"/>
      <c r="D25" s="136" t="s">
        <v>221</v>
      </c>
      <c r="E25" s="137"/>
      <c r="F25" s="137">
        <v>40</v>
      </c>
      <c r="G25" s="137">
        <v>21</v>
      </c>
      <c r="H25" s="137">
        <v>25</v>
      </c>
      <c r="I25" s="137">
        <v>9</v>
      </c>
      <c r="J25" s="137">
        <v>9</v>
      </c>
      <c r="K25" s="224">
        <f>Tabela2[[#This Row],[Kolumna1]]*Tabela2[[#This Row],[Odchyłka]]</f>
        <v>12.345810315354626</v>
      </c>
      <c r="L25" s="214">
        <f>Tabela2[[#This Row],[VWD]]/Tabela2[[#This Row],[VWO]]</f>
        <v>3.7185780157667714</v>
      </c>
      <c r="M25" s="215">
        <f>AVERAGE((Tabela2[[#This Row],[Damage max]],Tabela2[[#This Row],[Damage min]]))*(1+(Tabela2[[#This Row],[Attack]]-$H$10)*IF(Tabela2[[#This Row],[Attack]]-$H$10 = 0, 1, IF(Tabela2[[#This Row],[Attack]]-$H$10 &gt; 0, $F$4,-$I$4)))/$F$10</f>
        <v>16.2</v>
      </c>
      <c r="N25" s="189">
        <f>MAX(Tabela2[VWO])/Tabela2[[#This Row],[VWO]]</f>
        <v>9.1358024691358022</v>
      </c>
      <c r="O25" s="197">
        <f>Tabela2[[#This Row],[Health]]/(AVERAGE($I$10,$J$10)*(1+($G$10-Tabela2[[#This Row],[Defence]])*IF($G$10-Tabela2[[#This Row],[Defence]] = 0, 1, IF($G$10-Tabela2[[#This Row],[Defence]] &gt; 0, $F$4,$I$4))))</f>
        <v>60.240963855421697</v>
      </c>
      <c r="P25" s="198">
        <f>MAX(Tabela2[VWD])/Tabela2[[#This Row],[VWD]]</f>
        <v>9.0929936305732486</v>
      </c>
      <c r="Q25" s="218">
        <f>Tabela2[[#This Row],[VWO]]*Tabela2[[#This Row],[VWD_R]]</f>
        <v>147.30649681528661</v>
      </c>
      <c r="R25" s="225">
        <f>Tabela2[[#This Row],[VWO_R]]*Tabela2[[#This Row],[VWD]]</f>
        <v>550.34954633348218</v>
      </c>
      <c r="S25" s="209">
        <f>(Tabela2[[#This Row],[V_Def]]+Tabela2[[#This Row],[V_Off]])/2</f>
        <v>348.82802157438437</v>
      </c>
      <c r="T25" s="209">
        <f>472.09/Tabela2[[#This Row],[!ŚREDNIA]]</f>
        <v>1.3533603116782036</v>
      </c>
      <c r="U25" s="209">
        <f>Tabela2[[#This Row],[VWO]]+Tabela2[[#This Row],[VWD]]</f>
        <v>76.4409638554217</v>
      </c>
      <c r="V25" s="209">
        <f>Tabela2[[#This Row],[Suma VW]]*Tabela2[[#This Row],[Odchyłka]]</f>
        <v>103.4521666683558</v>
      </c>
      <c r="W25" s="209">
        <f>Tabela2[[#This Row],[Suma*Odchyłka]]/2*1.17</f>
        <v>60.519517500988137</v>
      </c>
      <c r="X25" s="209">
        <f>15000/Tabela2[[#This Row],[Kolumna2]]/27.17</f>
        <v>9.1223380860382157</v>
      </c>
      <c r="Y25" s="218">
        <f>Tabela2[[#This Row],[!ŚREDNIA]]/MAX(Tabela2[!ŚREDNIA])</f>
        <v>7.3940651423516648E-2</v>
      </c>
      <c r="Z25" s="176">
        <f>Tabela2[[#This Row],[VWO]]/Tabela2[[#This Row],[V_Off]]*1000</f>
        <v>109.9747828523396</v>
      </c>
      <c r="AA25" s="176">
        <f>Tabela2[[#This Row],[VWD]]/Tabela2[[#This Row],[V_Def]]*1000</f>
        <v>109.45945945945945</v>
      </c>
      <c r="AB25" s="144">
        <f>1/(AVERAGE((Tabela2[[#This Row],[Damage max]],Tabela2[[#This Row],[Damage min]]))*(1+(Tabela2[[#This Row],[Attack]]-$H$9)*IF(Tabela2[[#This Row],[Attack]]-$H$9 = 0, 1, IF(Tabela2[[#This Row],[Attack]]-$H$9 &gt; 0,$F$4,$I$4)))/$F$9)</f>
        <v>32.173587729143286</v>
      </c>
      <c r="AC25" s="144">
        <f>(AVERAGE($I$9,$J$9))*(1+(($G$9-Tabela2[[#This Row],[Defence]])*IF($G$9-Tabela2[[#This Row],[Defence]] = 0, 1, IF($G$9-Tabela2[[#This Row],[Defence]] &gt; 0, $F$4,$I$4))))/Tabela2[[#This Row],[Health]]</f>
        <v>2.5</v>
      </c>
      <c r="AD25" s="177">
        <f>INT(SQRT(((Tabela2[[#This Row],[VWO]])*Tabela2[[#This Row],[VWD]])))</f>
        <v>31</v>
      </c>
      <c r="AE25" s="176">
        <f>Tabela2[[#This Row],[VWD]]/Tabela2[[#This Row],[VWO]]</f>
        <v>3.7185780157667714</v>
      </c>
      <c r="AF25" s="218">
        <f>Tabela2[[#This Row],[VOB]]/Tabela2[[#This Row],[VDB]]</f>
        <v>12.869435091657314</v>
      </c>
      <c r="AG25" s="176">
        <f>SUM(Tabela2[[#This Row],[Cena_Atak]:[Cena_Obrona]])</f>
        <v>219.43424231179904</v>
      </c>
      <c r="AH25" s="176">
        <f>300*Tabela2[[#This Row],[FixedAmountAfterSearchingFixedAmountAfterSearching]]</f>
        <v>358800</v>
      </c>
      <c r="AI25" s="248">
        <v>1196</v>
      </c>
      <c r="AJ25" s="245">
        <v>999</v>
      </c>
      <c r="AK25" s="143">
        <v>1162</v>
      </c>
      <c r="AL25" s="245">
        <f>(Tabela2[[#This Row],[FixedAmountAfterSearchingFixedAmountAfterSearching]]+Tabela2[[#This Row],[FixedAmountAfterSearchingFixedAmountAfterSearching2]]+Tabela2[[#This Row],[FixedAmountAfterSearching]])/3</f>
        <v>1119</v>
      </c>
      <c r="AN25" s="141">
        <f>Tabela2[[#This Row],[ŚREDNIA]]/136</f>
        <v>8.2279411764705888</v>
      </c>
      <c r="AO25" s="141">
        <f t="shared" si="0"/>
        <v>121.53708668453976</v>
      </c>
    </row>
    <row r="26" spans="1:41" x14ac:dyDescent="0.25">
      <c r="A26" s="136" t="s">
        <v>261</v>
      </c>
      <c r="B26" s="142"/>
      <c r="C26" s="142"/>
      <c r="E26" s="137"/>
      <c r="F26" s="137">
        <v>30</v>
      </c>
      <c r="G26" s="137">
        <v>7</v>
      </c>
      <c r="H26" s="137">
        <v>10</v>
      </c>
      <c r="I26" s="137">
        <v>4</v>
      </c>
      <c r="J26" s="137">
        <v>4</v>
      </c>
      <c r="K26" s="224">
        <f>Tabela2[[#This Row],[Kolumna1]]*Tabela2[[#This Row],[Odchyłka]]</f>
        <v>24.022578958160349</v>
      </c>
      <c r="L26" s="214">
        <f>Tabela2[[#This Row],[VWD]]/Tabela2[[#This Row],[VWO]]</f>
        <v>6.9203513693068572</v>
      </c>
      <c r="M26" s="215">
        <f>AVERAGE((Tabela2[[#This Row],[Damage max]],Tabela2[[#This Row],[Damage min]]))*(1+(Tabela2[[#This Row],[Attack]]-$H$10)*IF(Tabela2[[#This Row],[Attack]]-$H$10 = 0, 1, IF(Tabela2[[#This Row],[Attack]]-$H$10 &gt; 0, $F$4,-$I$4)))/$F$10</f>
        <v>4.96</v>
      </c>
      <c r="N26" s="189">
        <f>MAX(Tabela2[VWO])/Tabela2[[#This Row],[VWO]]</f>
        <v>29.838709677419356</v>
      </c>
      <c r="O26" s="197">
        <f>Tabela2[[#This Row],[Health]]/(AVERAGE($I$10,$J$10)*(1+($G$10-Tabela2[[#This Row],[Defence]])*IF($G$10-Tabela2[[#This Row],[Defence]] = 0, 1, IF($G$10-Tabela2[[#This Row],[Defence]] &gt; 0, $F$4,$I$4))))</f>
        <v>34.324942791762012</v>
      </c>
      <c r="P26" s="198">
        <f>MAX(Tabela2[VWD])/Tabela2[[#This Row],[VWD]]</f>
        <v>15.958386411889601</v>
      </c>
      <c r="Q26" s="218">
        <f>Tabela2[[#This Row],[VWO]]*Tabela2[[#This Row],[VWD_R]]</f>
        <v>79.153596602972414</v>
      </c>
      <c r="R26" s="225">
        <f>Tabela2[[#This Row],[VWO_R]]*Tabela2[[#This Row],[VWD]]</f>
        <v>1024.2120026574148</v>
      </c>
      <c r="S26" s="209">
        <f>(Tabela2[[#This Row],[V_Def]]+Tabela2[[#This Row],[V_Off]])/2</f>
        <v>551.68279963019359</v>
      </c>
      <c r="T26" s="209">
        <f>472.09/Tabela2[[#This Row],[!ŚREDNIA]]</f>
        <v>0.85572724093709895</v>
      </c>
      <c r="U26" s="209">
        <f>Tabela2[[#This Row],[VWO]]+Tabela2[[#This Row],[VWD]]</f>
        <v>39.284942791762013</v>
      </c>
      <c r="V26" s="209">
        <f>Tabela2[[#This Row],[Suma VW]]*Tabela2[[#This Row],[Odchyłka]]</f>
        <v>33.617195705566282</v>
      </c>
      <c r="W26" s="209">
        <f>Tabela2[[#This Row],[Suma*Odchyłka]]/2*1.17</f>
        <v>19.666059487756275</v>
      </c>
      <c r="X26" s="209">
        <f>15000/Tabela2[[#This Row],[Kolumna2]]/27.17</f>
        <v>28.072705657767123</v>
      </c>
      <c r="Y26" s="218">
        <f>Tabela2[[#This Row],[!ŚREDNIA]]/MAX(Tabela2[!ŚREDNIA])</f>
        <v>0.11693953197824576</v>
      </c>
      <c r="Z26" s="176">
        <f>Tabela2[[#This Row],[VWO]]/Tabela2[[#This Row],[V_Off]]*1000</f>
        <v>62.662976957053907</v>
      </c>
      <c r="AA26" s="176">
        <f>Tabela2[[#This Row],[VWD]]/Tabela2[[#This Row],[V_Def]]*1000</f>
        <v>33.513513513513516</v>
      </c>
      <c r="AB26" s="144">
        <f>1/(AVERAGE((Tabela2[[#This Row],[Damage max]],Tabela2[[#This Row],[Damage min]]))*(1+(Tabela2[[#This Row],[Attack]]-$H$9)*IF(Tabela2[[#This Row],[Attack]]-$H$9 = 0, 1, IF(Tabela2[[#This Row],[Attack]]-$H$9 &gt; 0,$F$4,$I$4)))/$F$9)</f>
        <v>108.04020100502511</v>
      </c>
      <c r="AC26" s="144">
        <f>(AVERAGE($I$9,$J$9))*(1+(($G$9-Tabela2[[#This Row],[Defence]])*IF($G$9-Tabela2[[#This Row],[Defence]] = 0, 1, IF($G$9-Tabela2[[#This Row],[Defence]] &gt; 0, $F$4,$I$4))))/Tabela2[[#This Row],[Health]]</f>
        <v>4.333333333333333</v>
      </c>
      <c r="AD26" s="177">
        <f>INT(SQRT(((Tabela2[[#This Row],[VWO]])*Tabela2[[#This Row],[VWD]])))</f>
        <v>13</v>
      </c>
      <c r="AE26" s="176">
        <f>Tabela2[[#This Row],[VWD]]/Tabela2[[#This Row],[VWO]]</f>
        <v>6.9203513693068572</v>
      </c>
      <c r="AF26" s="218">
        <f>Tabela2[[#This Row],[VOB]]/Tabela2[[#This Row],[VDB]]</f>
        <v>24.932354078082721</v>
      </c>
      <c r="AG26" s="176">
        <f>SUM(Tabela2[[#This Row],[Cena_Atak]:[Cena_Obrona]])</f>
        <v>96.176490470567416</v>
      </c>
      <c r="AH26" s="176">
        <f>300*Tabela2[[#This Row],[FixedAmountAfterSearchingFixedAmountAfterSearching]]</f>
        <v>870900</v>
      </c>
      <c r="AI26" s="248">
        <v>2903</v>
      </c>
      <c r="AJ26" s="245">
        <v>2522</v>
      </c>
      <c r="AK26" s="143">
        <v>2900</v>
      </c>
      <c r="AL26" s="245">
        <f>(Tabela2[[#This Row],[FixedAmountAfterSearchingFixedAmountAfterSearching]]+Tabela2[[#This Row],[FixedAmountAfterSearchingFixedAmountAfterSearching2]]+Tabela2[[#This Row],[FixedAmountAfterSearching]])/3</f>
        <v>2775</v>
      </c>
      <c r="AN26" s="141">
        <f>Tabela2[[#This Row],[ŚREDNIA]]/136</f>
        <v>20.404411764705884</v>
      </c>
      <c r="AO26" s="141">
        <f t="shared" si="0"/>
        <v>49.009009009009006</v>
      </c>
    </row>
    <row r="27" spans="1:41" x14ac:dyDescent="0.25">
      <c r="A27" s="135"/>
      <c r="B27" s="135"/>
      <c r="C27" s="135"/>
      <c r="D27" s="135"/>
      <c r="E27" s="135"/>
      <c r="F27" s="135"/>
      <c r="G27" s="135"/>
      <c r="H27" s="135"/>
      <c r="I27" s="135"/>
      <c r="J27" s="135"/>
    </row>
    <row r="28" spans="1:41" x14ac:dyDescent="0.25">
      <c r="A28" s="135"/>
      <c r="B28" s="135"/>
      <c r="C28" s="135"/>
      <c r="D28" s="135"/>
      <c r="E28" s="135"/>
      <c r="F28" s="135"/>
      <c r="G28" s="135"/>
      <c r="H28" s="135"/>
      <c r="I28" s="135"/>
      <c r="J28" s="135"/>
    </row>
    <row r="29" spans="1:41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</row>
    <row r="30" spans="1:41" x14ac:dyDescent="0.25">
      <c r="A30" s="135"/>
      <c r="B30" s="135"/>
      <c r="C30" s="135"/>
      <c r="D30" s="135"/>
      <c r="E30" s="135"/>
      <c r="F30" s="135"/>
      <c r="G30" s="135"/>
      <c r="H30" s="135"/>
      <c r="I30" s="135"/>
      <c r="J30" s="135"/>
    </row>
    <row r="31" spans="1:41" x14ac:dyDescent="0.25">
      <c r="A31" s="135"/>
      <c r="B31" s="135"/>
      <c r="C31" s="135"/>
      <c r="D31" s="135"/>
      <c r="E31" s="135"/>
      <c r="F31" s="135"/>
      <c r="G31" s="135"/>
      <c r="H31" s="135"/>
      <c r="I31" s="135"/>
      <c r="J31" s="135"/>
    </row>
    <row r="32" spans="1:41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</row>
    <row r="33" spans="1:10" x14ac:dyDescent="0.25">
      <c r="A33" s="135"/>
      <c r="B33" s="135"/>
      <c r="C33" s="135"/>
      <c r="D33" s="135"/>
      <c r="E33" s="138"/>
      <c r="F33" s="138"/>
      <c r="G33" s="138"/>
      <c r="H33" s="138"/>
      <c r="I33" s="138"/>
      <c r="J33" s="138"/>
    </row>
    <row r="34" spans="1:10" x14ac:dyDescent="0.25">
      <c r="A34" s="135"/>
      <c r="B34" s="135"/>
      <c r="C34" s="135"/>
      <c r="D34" s="135"/>
      <c r="E34" s="138"/>
      <c r="F34" s="138"/>
      <c r="G34" s="138"/>
      <c r="H34" s="138"/>
      <c r="I34" s="138"/>
      <c r="J34" s="138"/>
    </row>
    <row r="35" spans="1:10" x14ac:dyDescent="0.25">
      <c r="A35" s="135"/>
      <c r="B35" s="135"/>
      <c r="C35" s="135"/>
      <c r="D35" s="135"/>
      <c r="E35" s="135"/>
      <c r="F35" s="138"/>
      <c r="G35" s="138"/>
      <c r="H35" s="138"/>
      <c r="I35" s="138"/>
      <c r="J35" s="138"/>
    </row>
    <row r="36" spans="1:10" x14ac:dyDescent="0.25">
      <c r="A36" s="135"/>
      <c r="B36" s="135"/>
      <c r="C36" s="135"/>
      <c r="D36" s="135"/>
      <c r="E36" s="135"/>
      <c r="F36" s="138"/>
      <c r="G36" s="138"/>
      <c r="H36" s="138"/>
      <c r="I36" s="138"/>
      <c r="J36" s="138"/>
    </row>
    <row r="37" spans="1:10" x14ac:dyDescent="0.25">
      <c r="A37" s="135"/>
      <c r="B37" s="135"/>
      <c r="C37" s="135"/>
      <c r="D37" s="135"/>
      <c r="E37" s="135"/>
      <c r="F37" s="138"/>
      <c r="G37" s="138"/>
      <c r="H37" s="138"/>
      <c r="I37" s="138"/>
      <c r="J37" s="138"/>
    </row>
    <row r="38" spans="1:10" x14ac:dyDescent="0.25">
      <c r="A38" s="135"/>
      <c r="B38" s="135"/>
      <c r="C38" s="135"/>
      <c r="D38" s="135"/>
      <c r="E38" s="135"/>
      <c r="F38" s="138"/>
      <c r="G38" s="138"/>
      <c r="H38" s="138"/>
      <c r="I38" s="138"/>
      <c r="J38" s="138"/>
    </row>
    <row r="39" spans="1:10" x14ac:dyDescent="0.25">
      <c r="A39" s="135"/>
      <c r="B39" s="135"/>
      <c r="C39" s="135"/>
      <c r="D39" s="135"/>
      <c r="E39" s="135"/>
      <c r="F39" s="138"/>
      <c r="G39" s="138"/>
      <c r="H39" s="138"/>
      <c r="I39" s="138"/>
      <c r="J39" s="138"/>
    </row>
    <row r="40" spans="1:10" x14ac:dyDescent="0.25">
      <c r="A40" s="135"/>
      <c r="B40" s="135"/>
      <c r="C40" s="135"/>
      <c r="D40" s="135"/>
      <c r="E40" s="135"/>
      <c r="F40" s="138"/>
      <c r="G40" s="138"/>
      <c r="H40" s="138"/>
      <c r="I40" s="138"/>
      <c r="J40" s="138"/>
    </row>
  </sheetData>
  <mergeCells count="2">
    <mergeCell ref="E3:G3"/>
    <mergeCell ref="H3:J3"/>
  </mergeCells>
  <conditionalFormatting sqref="D1:D1048576">
    <cfRule type="containsText" dxfId="9" priority="1" operator="containsText" text="Lizardman">
      <formula>NOT(ISERROR(SEARCH("Lizardman",D1)))</formula>
    </cfRule>
    <cfRule type="containsText" dxfId="8" priority="2" operator="containsText" text="Barbarians">
      <formula>NOT(ISERROR(SEARCH("Barbarians",D1)))</formula>
    </cfRule>
    <cfRule type="containsText" dxfId="7" priority="3" operator="containsText" text="Toster">
      <formula>NOT(ISERROR(SEARCH("Toster",D1)))</formula>
    </cfRule>
    <cfRule type="expression" dxfId="6" priority="4">
      <formula>Toster</formula>
    </cfRule>
    <cfRule type="expression" dxfId="5" priority="5">
      <formula>$D$9</formula>
    </cfRule>
    <cfRule type="expression" dxfId="4" priority="6">
      <formula>"Toster"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topLeftCell="B1" workbookViewId="0">
      <pane ySplit="1" topLeftCell="A92" activePane="bottomLeft" state="frozen"/>
      <selection activeCell="B1" sqref="B1"/>
      <selection pane="bottomLeft" activeCell="B118" sqref="A118:XFD118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xmlns:xlrd2="http://schemas.microsoft.com/office/spreadsheetml/2017/richdata2"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>
      <selection activeCell="P12" sqref="P12"/>
    </sheetView>
  </sheetViews>
  <sheetFormatPr defaultRowHeight="15" x14ac:dyDescent="0.25"/>
  <cols>
    <col min="1" max="1" width="6" style="130" customWidth="1"/>
    <col min="2" max="2" width="10.7109375" customWidth="1"/>
    <col min="3" max="3" width="5.7109375" bestFit="1" customWidth="1"/>
    <col min="4" max="5" width="4.5703125" bestFit="1" customWidth="1"/>
    <col min="6" max="6" width="3.85546875" bestFit="1" customWidth="1"/>
    <col min="7" max="7" width="4.28515625" bestFit="1" customWidth="1"/>
    <col min="8" max="8" width="6.28515625" customWidth="1"/>
    <col min="9" max="9" width="7.42578125" bestFit="1" customWidth="1"/>
    <col min="10" max="10" width="7.140625" bestFit="1" customWidth="1"/>
    <col min="11" max="13" width="14.7109375" bestFit="1" customWidth="1"/>
    <col min="14" max="14" width="10.7109375" customWidth="1"/>
    <col min="15" max="15" width="15.85546875" bestFit="1" customWidth="1"/>
    <col min="16" max="16" width="7.42578125" bestFit="1" customWidth="1"/>
  </cols>
  <sheetData>
    <row r="1" spans="1:15" x14ac:dyDescent="0.25">
      <c r="B1" s="129" t="s">
        <v>1</v>
      </c>
      <c r="C1" s="131" t="s">
        <v>179</v>
      </c>
      <c r="D1" s="131" t="s">
        <v>184</v>
      </c>
      <c r="E1" s="131" t="s">
        <v>185</v>
      </c>
      <c r="F1" s="131" t="s">
        <v>19</v>
      </c>
      <c r="G1" s="131" t="s">
        <v>18</v>
      </c>
      <c r="H1" s="131" t="s">
        <v>186</v>
      </c>
      <c r="I1" s="131" t="s">
        <v>193</v>
      </c>
      <c r="J1" s="131" t="s">
        <v>178</v>
      </c>
      <c r="K1" s="131" t="s">
        <v>180</v>
      </c>
      <c r="L1" s="131" t="s">
        <v>181</v>
      </c>
      <c r="M1" s="131" t="s">
        <v>182</v>
      </c>
      <c r="N1" s="131" t="s">
        <v>183</v>
      </c>
      <c r="O1" s="131" t="s">
        <v>69</v>
      </c>
    </row>
    <row r="2" spans="1:15" x14ac:dyDescent="0.25">
      <c r="B2" s="132" t="s">
        <v>187</v>
      </c>
      <c r="C2" s="133">
        <v>20</v>
      </c>
      <c r="D2" s="133">
        <v>20</v>
      </c>
      <c r="E2" s="133">
        <v>1</v>
      </c>
      <c r="F2" s="133">
        <v>1</v>
      </c>
      <c r="G2" s="133">
        <v>1</v>
      </c>
      <c r="H2" s="133">
        <v>10</v>
      </c>
      <c r="I2" s="133">
        <v>20</v>
      </c>
      <c r="J2" s="134">
        <v>10</v>
      </c>
      <c r="K2" s="134" t="s">
        <v>180</v>
      </c>
      <c r="L2" s="134"/>
      <c r="M2" s="134"/>
      <c r="N2" s="134"/>
      <c r="O2" s="134" t="s">
        <v>194</v>
      </c>
    </row>
    <row r="3" spans="1:15" x14ac:dyDescent="0.25">
      <c r="B3" s="132" t="s">
        <v>188</v>
      </c>
      <c r="C3" s="133">
        <v>100</v>
      </c>
      <c r="D3" s="133">
        <v>1</v>
      </c>
      <c r="E3" s="133">
        <v>50</v>
      </c>
      <c r="F3" s="133">
        <v>2</v>
      </c>
      <c r="G3" s="133">
        <v>2</v>
      </c>
      <c r="H3" s="133">
        <v>1</v>
      </c>
      <c r="I3" s="133">
        <v>2</v>
      </c>
      <c r="J3" s="134">
        <v>10</v>
      </c>
      <c r="K3" s="134"/>
      <c r="L3" s="134" t="s">
        <v>181</v>
      </c>
      <c r="M3" s="134"/>
      <c r="N3" s="134"/>
      <c r="O3" s="134" t="s">
        <v>195</v>
      </c>
    </row>
    <row r="4" spans="1:15" x14ac:dyDescent="0.25">
      <c r="B4" s="132" t="s">
        <v>189</v>
      </c>
      <c r="C4" s="133">
        <v>20</v>
      </c>
      <c r="D4" s="133">
        <v>2</v>
      </c>
      <c r="E4" s="133">
        <v>10</v>
      </c>
      <c r="F4" s="133">
        <v>4</v>
      </c>
      <c r="G4" s="133">
        <v>5</v>
      </c>
      <c r="H4" s="133">
        <v>3</v>
      </c>
      <c r="I4" s="133">
        <v>5</v>
      </c>
      <c r="J4" s="134">
        <v>10</v>
      </c>
      <c r="K4" s="134"/>
      <c r="L4" s="134"/>
      <c r="M4" s="134" t="s">
        <v>182</v>
      </c>
      <c r="N4" s="134"/>
      <c r="O4" s="134" t="s">
        <v>196</v>
      </c>
    </row>
    <row r="5" spans="1:15" x14ac:dyDescent="0.25">
      <c r="A5" s="130" t="s">
        <v>150</v>
      </c>
      <c r="B5" s="132" t="s">
        <v>190</v>
      </c>
      <c r="C5" s="133">
        <v>40</v>
      </c>
      <c r="D5" s="133">
        <v>14</v>
      </c>
      <c r="E5" s="133">
        <v>7</v>
      </c>
      <c r="F5" s="133">
        <v>7</v>
      </c>
      <c r="G5" s="133">
        <v>7</v>
      </c>
      <c r="H5" s="133">
        <v>10</v>
      </c>
      <c r="I5" s="133">
        <v>15</v>
      </c>
      <c r="J5" s="134">
        <v>225</v>
      </c>
      <c r="K5" s="134"/>
      <c r="L5" s="134"/>
      <c r="M5" s="134"/>
      <c r="N5" s="134"/>
      <c r="O5" s="134" t="s">
        <v>197</v>
      </c>
    </row>
    <row r="6" spans="1:15" x14ac:dyDescent="0.25">
      <c r="A6" s="130" t="s">
        <v>205</v>
      </c>
      <c r="B6" s="132" t="s">
        <v>191</v>
      </c>
      <c r="C6" s="133">
        <v>40</v>
      </c>
      <c r="D6" s="133">
        <v>13</v>
      </c>
      <c r="E6" s="133">
        <v>10</v>
      </c>
      <c r="F6" s="133">
        <v>7</v>
      </c>
      <c r="G6" s="133">
        <v>7</v>
      </c>
      <c r="H6" s="133">
        <v>11</v>
      </c>
      <c r="I6" s="133">
        <v>15</v>
      </c>
      <c r="J6" s="134">
        <v>300</v>
      </c>
      <c r="K6" s="134" t="s">
        <v>200</v>
      </c>
      <c r="L6" s="134" t="s">
        <v>201</v>
      </c>
      <c r="M6" s="134" t="s">
        <v>202</v>
      </c>
      <c r="N6" s="134"/>
      <c r="O6" s="134" t="s">
        <v>198</v>
      </c>
    </row>
    <row r="7" spans="1:15" x14ac:dyDescent="0.25">
      <c r="A7" s="130" t="s">
        <v>206</v>
      </c>
      <c r="B7" s="132" t="s">
        <v>192</v>
      </c>
      <c r="C7" s="133">
        <v>5</v>
      </c>
      <c r="D7" s="133">
        <v>4</v>
      </c>
      <c r="E7" s="133">
        <v>3</v>
      </c>
      <c r="F7" s="133">
        <v>4</v>
      </c>
      <c r="G7" s="133">
        <v>4</v>
      </c>
      <c r="H7" s="133">
        <v>1</v>
      </c>
      <c r="I7" s="133">
        <v>3</v>
      </c>
      <c r="J7" s="134">
        <v>25</v>
      </c>
      <c r="K7" s="134" t="s">
        <v>203</v>
      </c>
      <c r="L7" s="134" t="s">
        <v>204</v>
      </c>
      <c r="M7" s="134" t="s">
        <v>204</v>
      </c>
      <c r="N7" s="134"/>
      <c r="O7" s="134" t="s">
        <v>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Toster_Arena</vt:lpstr>
      <vt:lpstr>Heroes 3</vt:lpstr>
      <vt:lpstr>Toster_Export_xml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Wojtek</cp:lastModifiedBy>
  <cp:lastPrinted>2019-08-22T16:13:22Z</cp:lastPrinted>
  <dcterms:created xsi:type="dcterms:W3CDTF">2019-08-18T04:46:42Z</dcterms:created>
  <dcterms:modified xsi:type="dcterms:W3CDTF">2019-08-24T18:07:52Z</dcterms:modified>
</cp:coreProperties>
</file>