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y\Unity\TArena\TArenaUnity3D\TArenaUnity3D\Assets\Resources\Data\"/>
    </mc:Choice>
  </mc:AlternateContent>
  <bookViews>
    <workbookView xWindow="0" yWindow="0" windowWidth="21570" windowHeight="8055"/>
  </bookViews>
  <sheets>
    <sheet name="Toster_Arena" sheetId="1" r:id="rId1"/>
    <sheet name="Heroes 3" sheetId="2" r:id="rId2"/>
    <sheet name="Toster_Export_xml" sheetId="3" r:id="rId3"/>
    <sheet name="Spelle_Export_xm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O25" i="1"/>
  <c r="AB25" i="1"/>
  <c r="AC25" i="1"/>
  <c r="AH25" i="1"/>
  <c r="M24" i="1"/>
  <c r="O24" i="1"/>
  <c r="AB24" i="1"/>
  <c r="AC24" i="1"/>
  <c r="AH24" i="1"/>
  <c r="M23" i="1"/>
  <c r="O23" i="1"/>
  <c r="AB23" i="1"/>
  <c r="AC23" i="1"/>
  <c r="AH23" i="1"/>
  <c r="O12" i="1"/>
  <c r="M12" i="1"/>
  <c r="U12" i="1" l="1"/>
  <c r="U23" i="1"/>
  <c r="L25" i="1"/>
  <c r="AD25" i="1"/>
  <c r="AF25" i="1"/>
  <c r="U25" i="1"/>
  <c r="AE25" i="1"/>
  <c r="L24" i="1"/>
  <c r="AD24" i="1"/>
  <c r="AF24" i="1"/>
  <c r="U24" i="1"/>
  <c r="AE24" i="1"/>
  <c r="L23" i="1"/>
  <c r="AF23" i="1"/>
  <c r="AE23" i="1"/>
  <c r="AD23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G7" i="1"/>
  <c r="H7" i="1"/>
  <c r="I7" i="1"/>
  <c r="J7" i="1"/>
  <c r="F7" i="1"/>
  <c r="N25" i="1" l="1"/>
  <c r="R25" i="1" s="1"/>
  <c r="N24" i="1"/>
  <c r="R24" i="1" s="1"/>
  <c r="AA24" i="1" s="1"/>
  <c r="N23" i="1"/>
  <c r="R23" i="1" s="1"/>
  <c r="O9" i="1"/>
  <c r="O10" i="1"/>
  <c r="U10" i="1" s="1"/>
  <c r="O11" i="1"/>
  <c r="L11" i="1" s="1"/>
  <c r="L12" i="1"/>
  <c r="O13" i="1"/>
  <c r="U13" i="1" s="1"/>
  <c r="O14" i="1"/>
  <c r="L14" i="1" s="1"/>
  <c r="O15" i="1"/>
  <c r="L15" i="1" s="1"/>
  <c r="O16" i="1"/>
  <c r="L16" i="1" s="1"/>
  <c r="O17" i="1"/>
  <c r="L17" i="1" s="1"/>
  <c r="O18" i="1"/>
  <c r="L18" i="1" s="1"/>
  <c r="O19" i="1"/>
  <c r="U19" i="1" s="1"/>
  <c r="O20" i="1"/>
  <c r="U20" i="1" s="1"/>
  <c r="O21" i="1"/>
  <c r="L21" i="1" s="1"/>
  <c r="O22" i="1"/>
  <c r="L2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P25" i="1" l="1"/>
  <c r="Q25" i="1" s="1"/>
  <c r="Z25" i="1" s="1"/>
  <c r="AA25" i="1"/>
  <c r="U9" i="1"/>
  <c r="P24" i="1"/>
  <c r="Q24" i="1" s="1"/>
  <c r="U21" i="1"/>
  <c r="U17" i="1"/>
  <c r="U15" i="1"/>
  <c r="U22" i="1"/>
  <c r="U11" i="1"/>
  <c r="U14" i="1"/>
  <c r="U18" i="1"/>
  <c r="U16" i="1"/>
  <c r="L9" i="1"/>
  <c r="L13" i="1"/>
  <c r="P23" i="1"/>
  <c r="Q23" i="1" s="1"/>
  <c r="Z23" i="1" s="1"/>
  <c r="AA23" i="1"/>
  <c r="L20" i="1"/>
  <c r="L19" i="1"/>
  <c r="AD10" i="1"/>
  <c r="L10" i="1"/>
  <c r="AD21" i="1"/>
  <c r="AF9" i="1"/>
  <c r="AF20" i="1"/>
  <c r="P9" i="1"/>
  <c r="Q9" i="1" s="1"/>
  <c r="Z9" i="1" s="1"/>
  <c r="P21" i="1"/>
  <c r="Q21" i="1" s="1"/>
  <c r="Z21" i="1" s="1"/>
  <c r="P17" i="1"/>
  <c r="Q17" i="1" s="1"/>
  <c r="Z17" i="1" s="1"/>
  <c r="P20" i="1"/>
  <c r="Q20" i="1" s="1"/>
  <c r="Z20" i="1" s="1"/>
  <c r="P10" i="1"/>
  <c r="Q10" i="1" s="1"/>
  <c r="Z10" i="1" s="1"/>
  <c r="P22" i="1"/>
  <c r="Q22" i="1" s="1"/>
  <c r="Z22" i="1" s="1"/>
  <c r="P16" i="1"/>
  <c r="Q16" i="1" s="1"/>
  <c r="Z16" i="1" s="1"/>
  <c r="P19" i="1"/>
  <c r="Q19" i="1" s="1"/>
  <c r="Z19" i="1" s="1"/>
  <c r="P11" i="1"/>
  <c r="Q11" i="1" s="1"/>
  <c r="Z11" i="1" s="1"/>
  <c r="P12" i="1"/>
  <c r="Q12" i="1" s="1"/>
  <c r="Z12" i="1" s="1"/>
  <c r="P13" i="1"/>
  <c r="Q13" i="1" s="1"/>
  <c r="Z13" i="1" s="1"/>
  <c r="P14" i="1"/>
  <c r="Q14" i="1" s="1"/>
  <c r="Z14" i="1" s="1"/>
  <c r="P15" i="1"/>
  <c r="Q15" i="1" s="1"/>
  <c r="Z15" i="1" s="1"/>
  <c r="P18" i="1"/>
  <c r="Q18" i="1" s="1"/>
  <c r="Z18" i="1" s="1"/>
  <c r="N9" i="1"/>
  <c r="R9" i="1" s="1"/>
  <c r="N21" i="1"/>
  <c r="R21" i="1" s="1"/>
  <c r="N10" i="1"/>
  <c r="R10" i="1" s="1"/>
  <c r="N22" i="1"/>
  <c r="R22" i="1" s="1"/>
  <c r="N11" i="1"/>
  <c r="R11" i="1" s="1"/>
  <c r="N12" i="1"/>
  <c r="R12" i="1" s="1"/>
  <c r="N13" i="1"/>
  <c r="R13" i="1" s="1"/>
  <c r="N20" i="1"/>
  <c r="R20" i="1" s="1"/>
  <c r="N14" i="1"/>
  <c r="R14" i="1" s="1"/>
  <c r="N19" i="1"/>
  <c r="R19" i="1" s="1"/>
  <c r="N15" i="1"/>
  <c r="R15" i="1" s="1"/>
  <c r="N16" i="1"/>
  <c r="R16" i="1" s="1"/>
  <c r="N17" i="1"/>
  <c r="R17" i="1" s="1"/>
  <c r="N18" i="1"/>
  <c r="R18" i="1" s="1"/>
  <c r="AF13" i="1"/>
  <c r="AF14" i="1"/>
  <c r="AF21" i="1"/>
  <c r="AF10" i="1"/>
  <c r="AF19" i="1"/>
  <c r="AF22" i="1"/>
  <c r="AF15" i="1"/>
  <c r="AF12" i="1"/>
  <c r="AF16" i="1"/>
  <c r="AF11" i="1"/>
  <c r="AF18" i="1"/>
  <c r="AF17" i="1"/>
  <c r="O7" i="1"/>
  <c r="M7" i="1"/>
  <c r="P7" i="1"/>
  <c r="N7" i="1"/>
  <c r="AD12" i="1"/>
  <c r="AD11" i="1"/>
  <c r="AD9" i="1"/>
  <c r="AD13" i="1"/>
  <c r="AD14" i="1"/>
  <c r="AD16" i="1"/>
  <c r="AD17" i="1"/>
  <c r="AD19" i="1"/>
  <c r="AD18" i="1"/>
  <c r="AD15" i="1"/>
  <c r="AD20" i="1"/>
  <c r="AE19" i="1"/>
  <c r="AE17" i="1"/>
  <c r="AE16" i="1"/>
  <c r="AE15" i="1"/>
  <c r="AE14" i="1"/>
  <c r="AE13" i="1"/>
  <c r="AE12" i="1"/>
  <c r="AE11" i="1"/>
  <c r="AE22" i="1"/>
  <c r="AE10" i="1"/>
  <c r="AE9" i="1"/>
  <c r="AD22" i="1"/>
  <c r="AE21" i="1"/>
  <c r="AE20" i="1"/>
  <c r="AE18" i="1"/>
  <c r="AG25" i="1" l="1"/>
  <c r="S25" i="1"/>
  <c r="T25" i="1" s="1"/>
  <c r="V25" i="1" s="1"/>
  <c r="W25" i="1" s="1"/>
  <c r="X25" i="1" s="1"/>
  <c r="K25" i="1" s="1"/>
  <c r="Z24" i="1"/>
  <c r="AG24" i="1" s="1"/>
  <c r="S24" i="1"/>
  <c r="AG23" i="1"/>
  <c r="S23" i="1"/>
  <c r="T23" i="1" s="1"/>
  <c r="AA13" i="1"/>
  <c r="AG13" i="1" s="1"/>
  <c r="S13" i="1"/>
  <c r="T13" i="1" s="1"/>
  <c r="AA17" i="1"/>
  <c r="AG17" i="1" s="1"/>
  <c r="S17" i="1"/>
  <c r="T17" i="1" s="1"/>
  <c r="AA9" i="1"/>
  <c r="AG9" i="1" s="1"/>
  <c r="S9" i="1"/>
  <c r="T9" i="1" s="1"/>
  <c r="AA21" i="1"/>
  <c r="AG21" i="1" s="1"/>
  <c r="S21" i="1"/>
  <c r="T21" i="1" s="1"/>
  <c r="AA16" i="1"/>
  <c r="AG16" i="1" s="1"/>
  <c r="S16" i="1"/>
  <c r="T16" i="1" s="1"/>
  <c r="AA22" i="1"/>
  <c r="AG22" i="1" s="1"/>
  <c r="S22" i="1"/>
  <c r="T22" i="1" s="1"/>
  <c r="AA15" i="1"/>
  <c r="AG15" i="1" s="1"/>
  <c r="S15" i="1"/>
  <c r="T15" i="1" s="1"/>
  <c r="AA12" i="1"/>
  <c r="AG12" i="1" s="1"/>
  <c r="S12" i="1"/>
  <c r="T12" i="1" s="1"/>
  <c r="AA19" i="1"/>
  <c r="AG19" i="1" s="1"/>
  <c r="S19" i="1"/>
  <c r="T19" i="1" s="1"/>
  <c r="AA10" i="1"/>
  <c r="AG10" i="1" s="1"/>
  <c r="S10" i="1"/>
  <c r="T10" i="1" s="1"/>
  <c r="AA14" i="1"/>
  <c r="AG14" i="1" s="1"/>
  <c r="S14" i="1"/>
  <c r="T14" i="1" s="1"/>
  <c r="AA11" i="1"/>
  <c r="AG11" i="1" s="1"/>
  <c r="S11" i="1"/>
  <c r="T11" i="1" s="1"/>
  <c r="AA18" i="1"/>
  <c r="AG18" i="1" s="1"/>
  <c r="S18" i="1"/>
  <c r="T18" i="1" s="1"/>
  <c r="AA20" i="1"/>
  <c r="AG20" i="1" s="1"/>
  <c r="S20" i="1"/>
  <c r="T20" i="1" s="1"/>
  <c r="AH9" i="1"/>
  <c r="AH10" i="1"/>
  <c r="AH16" i="1"/>
  <c r="AH11" i="1"/>
  <c r="AH19" i="1"/>
  <c r="AH12" i="1"/>
  <c r="AH17" i="1"/>
  <c r="AH20" i="1"/>
  <c r="AH13" i="1"/>
  <c r="AH21" i="1"/>
  <c r="AH14" i="1"/>
  <c r="AH22" i="1"/>
  <c r="AH15" i="1"/>
  <c r="AH18" i="1"/>
  <c r="AC7" i="1"/>
  <c r="AB7" i="1"/>
  <c r="AA7" i="1"/>
  <c r="Y7" i="1"/>
  <c r="Z7" i="1"/>
  <c r="R7" i="1"/>
  <c r="Q7" i="1"/>
  <c r="Y25" i="1" l="1"/>
  <c r="Y24" i="1"/>
  <c r="T24" i="1"/>
  <c r="V24" i="1" s="1"/>
  <c r="W24" i="1" s="1"/>
  <c r="X24" i="1" s="1"/>
  <c r="K24" i="1" s="1"/>
  <c r="Y23" i="1"/>
  <c r="V23" i="1"/>
  <c r="W23" i="1" s="1"/>
  <c r="V11" i="1"/>
  <c r="W11" i="1" s="1"/>
  <c r="V22" i="1"/>
  <c r="W22" i="1" s="1"/>
  <c r="X22" i="1" s="1"/>
  <c r="K22" i="1" s="1"/>
  <c r="V14" i="1"/>
  <c r="W14" i="1" s="1"/>
  <c r="X14" i="1" s="1"/>
  <c r="K14" i="1" s="1"/>
  <c r="V16" i="1"/>
  <c r="W16" i="1" s="1"/>
  <c r="X16" i="1" s="1"/>
  <c r="K16" i="1" s="1"/>
  <c r="V21" i="1"/>
  <c r="W21" i="1" s="1"/>
  <c r="X21" i="1" s="1"/>
  <c r="K21" i="1" s="1"/>
  <c r="V9" i="1"/>
  <c r="W9" i="1" s="1"/>
  <c r="X9" i="1" s="1"/>
  <c r="K9" i="1" s="1"/>
  <c r="V19" i="1"/>
  <c r="W19" i="1" s="1"/>
  <c r="X19" i="1" s="1"/>
  <c r="K19" i="1" s="1"/>
  <c r="V20" i="1"/>
  <c r="W20" i="1" s="1"/>
  <c r="X20" i="1" s="1"/>
  <c r="K20" i="1" s="1"/>
  <c r="V12" i="1"/>
  <c r="W12" i="1" s="1"/>
  <c r="X12" i="1" s="1"/>
  <c r="K12" i="1" s="1"/>
  <c r="V17" i="1"/>
  <c r="W17" i="1" s="1"/>
  <c r="X17" i="1" s="1"/>
  <c r="K17" i="1" s="1"/>
  <c r="V10" i="1"/>
  <c r="W10" i="1" s="1"/>
  <c r="V18" i="1"/>
  <c r="W18" i="1" s="1"/>
  <c r="X18" i="1" s="1"/>
  <c r="K18" i="1" s="1"/>
  <c r="V15" i="1"/>
  <c r="W15" i="1" s="1"/>
  <c r="X15" i="1" s="1"/>
  <c r="K15" i="1" s="1"/>
  <c r="V13" i="1"/>
  <c r="W13" i="1" s="1"/>
  <c r="X13" i="1" s="1"/>
  <c r="K13" i="1" s="1"/>
  <c r="Y11" i="1"/>
  <c r="Y22" i="1"/>
  <c r="Y21" i="1"/>
  <c r="Y14" i="1"/>
  <c r="Y9" i="1"/>
  <c r="Y12" i="1"/>
  <c r="Y17" i="1"/>
  <c r="Y10" i="1"/>
  <c r="Y20" i="1"/>
  <c r="Y18" i="1"/>
  <c r="Y15" i="1"/>
  <c r="Y13" i="1"/>
  <c r="Y16" i="1"/>
  <c r="Y19" i="1"/>
  <c r="X10" i="1"/>
  <c r="K10" i="1" s="1"/>
  <c r="X23" i="1"/>
  <c r="K23" i="1" s="1"/>
  <c r="X11" i="1"/>
  <c r="K11" i="1" s="1"/>
</calcChain>
</file>

<file path=xl/comments1.xml><?xml version="1.0" encoding="utf-8"?>
<comments xmlns="http://schemas.openxmlformats.org/spreadsheetml/2006/main">
  <authors>
    <author>Piotr Musielski</author>
  </authors>
  <commentList>
    <comment ref="M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>
  <connection id="1" name="mapowanie" type="4" refreshedVersion="0" background="1">
    <webPr xml="1" sourceData="1" url="C:\Users\piotr\Desktop\mapowanie.xml" htmlTables="1" htmlFormat="all"/>
  </connection>
  <connection id="2" name="Units_Map" type="4" refreshedVersion="0" background="1">
    <webPr xml="1" sourceData="1" url="C:\Users\piotr\Desktop\Units_Map.xml" htmlTables="1" htmlFormat="all"/>
  </connection>
  <connection id="3" name="Units_Map1" type="4" refreshedVersion="0" background="1">
    <webPr xml="1" sourceData="1" url="C:\Users\piotr\Desktop\Units_Map.xml" htmlTables="1" htmlFormat="all"/>
  </connection>
  <connection id="4" name="Units_Mapping" type="4" refreshedVersion="0" background="1">
    <webPr xml="1" sourceData="1" url="C:\Users\piotr\Desktop\Units_Mapping.xml" htmlTables="1" htmlFormat="all"/>
  </connection>
  <connection id="5" name="Units_Mapping_Template" type="4" refreshedVersion="0" background="1">
    <webPr xml="1" sourceData="1" url="C:\Users\piotr\Desktop\Units_Mapping_Template.xml" htmlTables="1" htmlFormat="all"/>
  </connection>
  <connection id="6" name="Units_Mapping_Template1" type="4" refreshedVersion="0" background="1">
    <webPr xml="1" sourceData="1" url="C:\Users\piotr\Desktop\Units_Mapping_Template.xml" htmlTables="1" htmlFormat="all"/>
  </connection>
  <connection id="7" name="Units_Mapping1" type="4" refreshedVersion="0" background="1">
    <webPr xml="1" sourceData="1" url="C:\Users\piotr\Desktop\Units_Mapping.xml" htmlTables="1" htmlFormat="all"/>
  </connection>
  <connection id="8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<sst xmlns="http://schemas.openxmlformats.org/spreadsheetml/2006/main" count="444" uniqueCount="262">
  <si>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</si>
  <si>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</si>
  <si>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</si>
  <si>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</si>
  <si>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</si>
  <si>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</si>
  <si>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</si>
  <si>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</si>
  <si>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</si>
  <si>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</si>
  <si>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</si>
  <si>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</si>
  <si>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</si>
  <si>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</si>
  <si>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</si>
  <si>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</si>
  <si>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</si>
  <si>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</si>
  <si>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</si>
  <si>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</si>
  <si>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</si>
  <si>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</si>
  <si>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</si>
  <si>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</si>
  <si>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</si>
  <si>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</si>
  <si>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</si>
  <si>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</si>
  <si>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</si>
  <si>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</si>
  <si>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</si>
  <si>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</si>
  <si>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</si>
  <si>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</si>
  <si>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</si>
  <si>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</si>
  <si>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</si>
  <si>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</si>
  <si>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</si>
  <si>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</si>
  <si>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</si>
  <si>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</si>
  <si>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</si>
  <si>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</si>
  <si>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</si>
  <si>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</si>
  <si>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</si>
  <si>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</si>
  <si>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</si>
  <si>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</si>
  <si>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</si>
  <si>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</si>
  <si>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</si>
  <si>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</si>
  <si>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</si>
  <si>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</si>
  <si>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</si>
  <si>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</si>
  <si>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</si>
  <si>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</si>
  <si>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</si>
  <si>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</si>
  <si>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</si>
  <si>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</si>
  <si>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</si>
  <si>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</si>
  <si>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</si>
  <si>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</si>
  <si>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</si>
  <si>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</si>
  <si>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</si>
  <si>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</si>
  <si>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</si>
  <si>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</si>
  <si>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</si>
  <si>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</si>
  <si>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</si>
  <si>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</si>
  <si>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</si>
  <si>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</si>
  <si>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</si>
  <si>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</si>
  <si>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</si>
  <si>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</si>
  <si>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</si>
  <si>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</si>
  <si>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</si>
  <si>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</si>
  <si>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</si>
  <si>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</si>
  <si>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</si>
  <si>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</si>
  <si>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</si>
  <si>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</si>
  <si>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</si>
  <si>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</si>
  <si>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</si>
  <si>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</si>
  <si>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</si>
  <si>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</si>
  <si>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</si>
  <si>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</si>
  <si>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</si>
  <si>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</si>
  <si>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</si>
  <si>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</si>
  <si>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</si>
  <si>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</si>
  <si>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</si>
  <si>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</si>
  <si>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</si>
  <si>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</si>
  <si>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</si>
  <si>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</si>
  <si>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</si>
  <si>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</si>
  <si>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</si>
  <si>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</si>
  <si>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</si>
  <si>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</si>
  <si>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</si>
  <si>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</si>
  <si>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</si>
  <si>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</si>
  <si>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</si>
  <si>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</si>
  <si>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</si>
  <si>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</si>
  <si>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</si>
  <si>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</si>
  <si>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</si>
  <si>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</si>
  <si>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</si>
  <si>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</si>
  <si>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</si>
  <si>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</si>
  <si>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</si>
  <si>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</si>
  <si>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</si>
  <si>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</si>
  <si>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</si>
  <si>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</si>
  <si>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</si>
  <si>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</si>
  <si>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</si>
  <si>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</si>
  <si>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</si>
  <si>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</si>
  <si>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</si>
  <si>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</si>
  <si>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</si>
  <si>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</si>
  <si>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</si>
  <si>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</si>
  <si>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</si>
  <si>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</si>
  <si>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</si>
  <si>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</si>
  <si>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</si>
  <si>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</si>
  <si>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</si>
  <si>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</si>
  <si>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</si>
  <si>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</si>
  <si>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</si>
  <si>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</si>
  <si>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</si>
  <si>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</si>
  <si>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</si>
  <si>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</si>
  <si>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</si>
  <si>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</si>
  <si>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</si>
  <si>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</si>
  <si>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</si>
  <si>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</si>
  <si>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Heroes 3</t>
  </si>
  <si>
    <t>Tytan</t>
  </si>
  <si>
    <t>Cost</t>
  </si>
  <si>
    <t>HP</t>
  </si>
  <si>
    <t>Skill1</t>
  </si>
  <si>
    <t>Skill2</t>
  </si>
  <si>
    <t>Skill3</t>
  </si>
  <si>
    <t>Skill4</t>
  </si>
  <si>
    <t>A</t>
  </si>
  <si>
    <t>D</t>
  </si>
  <si>
    <t>Dm</t>
  </si>
  <si>
    <t>TosterDPS</t>
  </si>
  <si>
    <t>TosterTANK</t>
  </si>
  <si>
    <t>TosterHEAL</t>
  </si>
  <si>
    <t>Szaman</t>
  </si>
  <si>
    <t>axe1</t>
  </si>
  <si>
    <t>Lizard</t>
  </si>
  <si>
    <t>DM2</t>
  </si>
  <si>
    <t>Sprites/redT2</t>
  </si>
  <si>
    <t>Sprites/wT1</t>
  </si>
  <si>
    <t>Sprites/gT2</t>
  </si>
  <si>
    <t>Sprites/Szaman1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</si>
  <si>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</si>
  <si>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</si>
  <si>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</si>
  <si>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</si>
  <si>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</si>
  <si>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</si>
  <si>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</si>
  <si>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P.Lich</t>
  </si>
  <si>
    <t>Troglo</t>
  </si>
  <si>
    <t>ID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</si>
  <si>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</si>
  <si>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</si>
  <si>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</si>
  <si>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</si>
  <si>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</si>
  <si>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</si>
  <si>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</si>
  <si>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</si>
  <si>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</si>
  <si>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</si>
  <si>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Heavy Hitter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</si>
  <si>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</si>
  <si>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</si>
  <si>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</si>
  <si>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</si>
  <si>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</si>
  <si>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</si>
  <si>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</si>
  <si>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</si>
  <si>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</si>
  <si>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</si>
  <si>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</si>
  <si>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</si>
  <si>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</si>
  <si>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</si>
  <si>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Kolumna2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</si>
  <si>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</si>
  <si>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</si>
  <si>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</si>
  <si>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</si>
  <si>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</si>
  <si>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</si>
  <si>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</si>
  <si>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</si>
  <si>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</si>
  <si>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</si>
  <si>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Kolumna5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</si>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</sst>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1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3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49" fontId="13" fillId="0" borderId="0" xfId="0" applyNumberFormat="1" applyFont="1"/>
    <xf numFmtId="0" fontId="0" fillId="101" borderId="0" xfId="0" applyFill="1"/>
    <xf numFmtId="49" fontId="14" fillId="0" borderId="0" xfId="0" applyNumberFormat="1" applyFont="1"/>
    <xf numFmtId="49" fontId="0" fillId="0" borderId="4" xfId="0" applyNumberFormat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7" xfId="0" applyNumberFormat="1" applyBorder="1"/>
    <xf numFmtId="1" fontId="0" fillId="103" borderId="7" xfId="0" applyNumberFormat="1" applyFill="1" applyBorder="1"/>
    <xf numFmtId="0" fontId="0" fillId="0" borderId="7" xfId="0" applyFill="1" applyBorder="1"/>
    <xf numFmtId="1" fontId="0" fillId="0" borderId="7" xfId="0" applyNumberFormat="1" applyFill="1" applyBorder="1"/>
    <xf numFmtId="2" fontId="0" fillId="0" borderId="5" xfId="0" applyNumberFormat="1" applyFill="1" applyBorder="1"/>
    <xf numFmtId="0" fontId="0" fillId="0" borderId="0" xfId="0" applyFill="1"/>
    <xf numFmtId="1" fontId="0" fillId="104" borderId="5" xfId="0" applyNumberFormat="1" applyFill="1" applyBorder="1"/>
    <xf numFmtId="0" fontId="2" fillId="102" borderId="6" xfId="0" applyFont="1" applyFill="1" applyBorder="1" applyAlignment="1">
      <alignment horizontal="left" vertical="top" wrapText="1"/>
    </xf>
    <xf numFmtId="0" fontId="0" fillId="0" borderId="5" xfId="0" applyFill="1" applyBorder="1"/>
    <xf numFmtId="1" fontId="0" fillId="0" borderId="5" xfId="0" applyNumberFormat="1" applyFill="1" applyBorder="1"/>
    <xf numFmtId="0" fontId="0" fillId="105" borderId="0" xfId="0" applyFill="1" applyBorder="1"/>
    <xf numFmtId="0" fontId="1" fillId="105" borderId="0" xfId="0" applyFont="1" applyFill="1" applyBorder="1" applyAlignment="1"/>
    <xf numFmtId="1" fontId="0" fillId="105" borderId="0" xfId="0" applyNumberFormat="1" applyFill="1" applyBorder="1"/>
    <xf numFmtId="0" fontId="0" fillId="105" borderId="0" xfId="0" applyFill="1"/>
    <xf numFmtId="1" fontId="0" fillId="105" borderId="0" xfId="0" applyNumberFormat="1" applyFill="1" applyBorder="1" applyAlignment="1">
      <alignment wrapText="1"/>
    </xf>
    <xf numFmtId="1" fontId="0" fillId="105" borderId="0" xfId="0" applyNumberFormat="1" applyFill="1" applyBorder="1" applyAlignment="1">
      <alignment horizontal="center" vertical="center" wrapText="1"/>
    </xf>
    <xf numFmtId="164" fontId="0" fillId="105" borderId="0" xfId="0" applyNumberFormat="1" applyFill="1" applyBorder="1" applyAlignment="1">
      <alignment horizontal="center" vertical="center" wrapText="1"/>
    </xf>
    <xf numFmtId="0" fontId="0" fillId="107" borderId="0" xfId="0" applyFill="1"/>
    <xf numFmtId="0" fontId="0" fillId="107" borderId="8" xfId="0" applyFill="1" applyBorder="1" applyAlignment="1">
      <alignment horizontal="center" wrapText="1"/>
    </xf>
    <xf numFmtId="0" fontId="0" fillId="107" borderId="5" xfId="0" applyFill="1" applyBorder="1" applyAlignment="1">
      <alignment horizontal="center" wrapText="1"/>
    </xf>
    <xf numFmtId="0" fontId="0" fillId="105" borderId="0" xfId="0" applyFill="1" applyBorder="1" applyAlignment="1">
      <alignment horizontal="center" vertical="center" wrapText="1"/>
    </xf>
    <xf numFmtId="1" fontId="0" fillId="105" borderId="0" xfId="0" applyNumberFormat="1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4" borderId="5" xfId="0" applyFill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ill="1"/>
    <xf numFmtId="2" fontId="0" fillId="0" borderId="7" xfId="0" applyNumberFormat="1" applyFill="1" applyBorder="1"/>
    <xf numFmtId="0" fontId="0" fillId="111" borderId="0" xfId="0" applyFill="1"/>
    <xf numFmtId="0" fontId="0" fillId="112" borderId="0" xfId="0" applyFill="1"/>
    <xf numFmtId="2" fontId="0" fillId="112" borderId="0" xfId="0" applyNumberFormat="1" applyFill="1"/>
    <xf numFmtId="1" fontId="0" fillId="112" borderId="0" xfId="0" applyNumberFormat="1" applyFill="1" applyBorder="1"/>
    <xf numFmtId="0" fontId="0" fillId="112" borderId="0" xfId="0" applyFill="1" applyBorder="1"/>
    <xf numFmtId="0" fontId="0" fillId="112" borderId="5" xfId="0" applyFill="1" applyBorder="1" applyAlignment="1">
      <alignment horizontal="center" wrapText="1"/>
    </xf>
    <xf numFmtId="2" fontId="0" fillId="112" borderId="5" xfId="0" applyNumberFormat="1" applyFill="1" applyBorder="1" applyAlignment="1">
      <alignment horizontal="center" wrapText="1"/>
    </xf>
    <xf numFmtId="1" fontId="0" fillId="112" borderId="7" xfId="0" applyNumberFormat="1" applyFill="1" applyBorder="1"/>
    <xf numFmtId="1" fontId="0" fillId="112" borderId="5" xfId="0" applyNumberFormat="1" applyFill="1" applyBorder="1"/>
    <xf numFmtId="2" fontId="0" fillId="112" borderId="5" xfId="0" applyNumberFormat="1" applyFill="1" applyBorder="1"/>
    <xf numFmtId="165" fontId="0" fillId="112" borderId="5" xfId="0" applyNumberFormat="1" applyFill="1" applyBorder="1"/>
    <xf numFmtId="2" fontId="0" fillId="112" borderId="0" xfId="0" applyNumberFormat="1" applyFill="1" applyBorder="1"/>
    <xf numFmtId="0" fontId="18" fillId="112" borderId="6" xfId="0" applyFont="1" applyFill="1" applyBorder="1" applyAlignment="1">
      <alignment horizontal="left" vertical="top" wrapText="1"/>
    </xf>
    <xf numFmtId="0" fontId="0" fillId="105" borderId="8" xfId="0" applyFill="1" applyBorder="1" applyAlignment="1">
      <alignment horizontal="left" vertical="center"/>
    </xf>
    <xf numFmtId="1" fontId="0" fillId="105" borderId="8" xfId="0" applyNumberFormat="1" applyFill="1" applyBorder="1" applyAlignment="1">
      <alignment horizontal="left" vertical="center" wrapText="1"/>
    </xf>
    <xf numFmtId="0" fontId="0" fillId="111" borderId="10" xfId="0" applyFill="1" applyBorder="1" applyAlignment="1">
      <alignment horizontal="center" wrapText="1"/>
    </xf>
    <xf numFmtId="0" fontId="2" fillId="102" borderId="11" xfId="0" applyFont="1" applyFill="1" applyBorder="1" applyAlignment="1">
      <alignment horizontal="left" vertical="top" wrapText="1"/>
    </xf>
    <xf numFmtId="1" fontId="0" fillId="103" borderId="12" xfId="0" applyNumberFormat="1" applyFill="1" applyBorder="1"/>
    <xf numFmtId="1" fontId="0" fillId="104" borderId="10" xfId="0" applyNumberFormat="1" applyFill="1" applyBorder="1"/>
    <xf numFmtId="2" fontId="0" fillId="111" borderId="10" xfId="0" applyNumberFormat="1" applyFill="1" applyBorder="1"/>
    <xf numFmtId="2" fontId="0" fillId="105" borderId="8" xfId="0" applyNumberFormat="1" applyFill="1" applyBorder="1" applyAlignment="1">
      <alignment horizontal="left" vertical="center"/>
    </xf>
    <xf numFmtId="0" fontId="2" fillId="102" borderId="14" xfId="0" applyFont="1" applyFill="1" applyBorder="1" applyAlignment="1">
      <alignment horizontal="left" vertical="top" wrapText="1"/>
    </xf>
    <xf numFmtId="2" fontId="0" fillId="110" borderId="8" xfId="0" applyNumberFormat="1" applyFill="1" applyBorder="1"/>
    <xf numFmtId="0" fontId="0" fillId="110" borderId="8" xfId="0" applyFill="1" applyBorder="1"/>
    <xf numFmtId="0" fontId="0" fillId="110" borderId="8" xfId="0" applyFill="1" applyBorder="1" applyAlignment="1">
      <alignment horizontal="center" wrapText="1"/>
    </xf>
    <xf numFmtId="0" fontId="2" fillId="102" borderId="16" xfId="0" applyFont="1" applyFill="1" applyBorder="1" applyAlignment="1">
      <alignment horizontal="left" vertical="top" wrapText="1"/>
    </xf>
    <xf numFmtId="1" fontId="0" fillId="103" borderId="9" xfId="0" applyNumberFormat="1" applyFill="1" applyBorder="1"/>
    <xf numFmtId="1" fontId="0" fillId="104" borderId="8" xfId="0" applyNumberFormat="1" applyFill="1" applyBorder="1"/>
    <xf numFmtId="0" fontId="0" fillId="108" borderId="8" xfId="0" applyFill="1" applyBorder="1"/>
    <xf numFmtId="0" fontId="0" fillId="108" borderId="8" xfId="0" applyFill="1" applyBorder="1" applyAlignment="1">
      <alignment horizontal="center" wrapText="1"/>
    </xf>
    <xf numFmtId="2" fontId="0" fillId="108" borderId="8" xfId="0" applyNumberFormat="1" applyFill="1" applyBorder="1"/>
    <xf numFmtId="2" fontId="0" fillId="107" borderId="8" xfId="0" applyNumberFormat="1" applyFill="1" applyBorder="1"/>
    <xf numFmtId="0" fontId="0" fillId="107" borderId="8" xfId="0" applyFill="1" applyBorder="1"/>
    <xf numFmtId="165" fontId="0" fillId="105" borderId="8" xfId="0" applyNumberFormat="1" applyFill="1" applyBorder="1" applyAlignment="1">
      <alignment horizontal="left" vertical="center"/>
    </xf>
    <xf numFmtId="2" fontId="0" fillId="109" borderId="8" xfId="0" applyNumberFormat="1" applyFill="1" applyBorder="1"/>
    <xf numFmtId="165" fontId="0" fillId="109" borderId="8" xfId="0" applyNumberFormat="1" applyFill="1" applyBorder="1"/>
    <xf numFmtId="0" fontId="0" fillId="109" borderId="8" xfId="0" applyFill="1" applyBorder="1" applyAlignment="1">
      <alignment horizontal="center" wrapText="1"/>
    </xf>
    <xf numFmtId="0" fontId="0" fillId="106" borderId="13" xfId="0" applyFill="1" applyBorder="1" applyAlignment="1">
      <alignment horizontal="center" wrapText="1"/>
    </xf>
    <xf numFmtId="2" fontId="0" fillId="106" borderId="8" xfId="0" applyNumberFormat="1" applyFill="1" applyBorder="1"/>
    <xf numFmtId="0" fontId="0" fillId="106" borderId="8" xfId="0" applyFill="1" applyBorder="1"/>
    <xf numFmtId="0" fontId="0" fillId="105" borderId="8" xfId="0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2" fontId="0" fillId="0" borderId="8" xfId="0" applyNumberFormat="1" applyBorder="1"/>
    <xf numFmtId="0" fontId="0" fillId="0" borderId="8" xfId="0" applyBorder="1"/>
    <xf numFmtId="2" fontId="0" fillId="0" borderId="13" xfId="0" applyNumberFormat="1" applyFill="1" applyBorder="1"/>
    <xf numFmtId="2" fontId="19" fillId="0" borderId="15" xfId="1" applyNumberFormat="1" applyFill="1" applyBorder="1"/>
    <xf numFmtId="1" fontId="0" fillId="105" borderId="0" xfId="0" applyNumberFormat="1" applyFill="1" applyBorder="1" applyAlignment="1">
      <alignment horizontal="center" vertical="center" wrapText="1"/>
    </xf>
    <xf numFmtId="2" fontId="0" fillId="0" borderId="10" xfId="0" applyNumberFormat="1" applyFill="1" applyBorder="1"/>
    <xf numFmtId="2" fontId="0" fillId="111" borderId="5" xfId="0" applyNumberFormat="1" applyFill="1" applyBorder="1"/>
    <xf numFmtId="2" fontId="0" fillId="0" borderId="17" xfId="0" applyNumberFormat="1" applyFill="1" applyBorder="1"/>
    <xf numFmtId="0" fontId="0" fillId="0" borderId="18" xfId="0" applyFill="1" applyBorder="1"/>
    <xf numFmtId="2" fontId="0" fillId="0" borderId="0" xfId="0" applyNumberFormat="1" applyFill="1" applyBorder="1"/>
    <xf numFmtId="0" fontId="0" fillId="113" borderId="0" xfId="0" applyFill="1"/>
    <xf numFmtId="0" fontId="2" fillId="113" borderId="6" xfId="0" applyFont="1" applyFill="1" applyBorder="1" applyAlignment="1">
      <alignment horizontal="left" vertical="top" wrapText="1"/>
    </xf>
    <xf numFmtId="2" fontId="0" fillId="113" borderId="7" xfId="0" applyNumberFormat="1" applyFill="1" applyBorder="1"/>
    <xf numFmtId="2" fontId="0" fillId="113" borderId="5" xfId="0" applyNumberFormat="1" applyFill="1" applyBorder="1"/>
    <xf numFmtId="2" fontId="0" fillId="113" borderId="0" xfId="0" applyNumberFormat="1" applyFill="1"/>
    <xf numFmtId="2" fontId="0" fillId="113" borderId="0" xfId="0" applyNumberFormat="1" applyFill="1" applyBorder="1"/>
    <xf numFmtId="2" fontId="0" fillId="0" borderId="19" xfId="0" applyNumberFormat="1" applyFill="1" applyBorder="1"/>
    <xf numFmtId="0" fontId="0" fillId="114" borderId="5" xfId="0" applyFill="1" applyBorder="1"/>
    <xf numFmtId="0" fontId="0" fillId="114" borderId="18" xfId="0" applyFill="1" applyBorder="1"/>
    <xf numFmtId="1" fontId="0" fillId="114" borderId="5" xfId="0" applyNumberFormat="1" applyFill="1" applyBorder="1"/>
    <xf numFmtId="2" fontId="0" fillId="114" borderId="0" xfId="0" applyNumberFormat="1" applyFill="1" applyBorder="1"/>
    <xf numFmtId="2" fontId="0" fillId="114" borderId="10" xfId="0" applyNumberFormat="1" applyFill="1" applyBorder="1"/>
    <xf numFmtId="2" fontId="0" fillId="114" borderId="5" xfId="0" applyNumberFormat="1" applyFill="1" applyBorder="1"/>
    <xf numFmtId="2" fontId="0" fillId="114" borderId="8" xfId="0" applyNumberFormat="1" applyFill="1" applyBorder="1"/>
    <xf numFmtId="2" fontId="0" fillId="114" borderId="19" xfId="0" applyNumberFormat="1" applyFill="1" applyBorder="1"/>
    <xf numFmtId="165" fontId="0" fillId="114" borderId="5" xfId="0" applyNumberFormat="1" applyFill="1" applyBorder="1"/>
    <xf numFmtId="0" fontId="0" fillId="114" borderId="0" xfId="0" applyFill="1"/>
  </cellXfs>
  <cellStyles count="2">
    <cellStyle name="Hiperłącze" xfId="1" builtinId="8"/>
    <cellStyle name="Normalny" xfId="0" builtinId="0"/>
  </cellStyles>
  <dxfs count="71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theme="1" tint="0.14999847407452621"/>
        </patternFill>
      </fill>
    </dxf>
    <dxf>
      <numFmt numFmtId="2" formatCode="0.0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string" name="Cost" form="unqualified"/>
                </xsd:sequence>
              </xsd:complexType>
            </xsd:element>
          </xsd:sequence>
        </xsd:complexType>
      </xsd:element>
    </xsd:schema>
  </Schema>
  <Map ID="8" Name="Units_mapa" RootElement="Units" SchemaID="Schema4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ela2" displayName="Tabela2" ref="A8:AI25" totalsRowShown="0" headerRowDxfId="55" headerRowBorderDxfId="53" tableBorderDxfId="54">
  <autoFilter ref="A8:AI25"/>
  <tableColumns count="35">
    <tableColumn id="3" name="Name" dataDxfId="52"/>
    <tableColumn id="1" name="S" dataDxfId="51"/>
    <tableColumn id="2" name="I" dataDxfId="50"/>
    <tableColumn id="4" name="Fraction" dataDxfId="18"/>
    <tableColumn id="5" name="Level" dataDxfId="49"/>
    <tableColumn id="10" name="Health" dataDxfId="19"/>
    <tableColumn id="6" name="Attack" dataDxfId="48"/>
    <tableColumn id="7" name="Defence" dataDxfId="47"/>
    <tableColumn id="8" name="Damage min" dataDxfId="46"/>
    <tableColumn id="9" name="Damage max" dataDxfId="45"/>
    <tableColumn id="29" name="ZBALANSOWANA ILOSC" dataDxfId="20">
      <calculatedColumnFormula>Tabela2[[#This Row],[Kolumna1]]*Tabela2[[#This Row],[Odchyłka]]</calculatedColumnFormula>
    </tableColumn>
    <tableColumn id="27" name="Toughnessness" dataDxfId="44">
      <calculatedColumnFormula>Tabela2[[#This Row],[VWD]]/Tabela2[[#This Row],[VWO]]</calculatedColumnFormula>
    </tableColumn>
    <tableColumn id="17" name="VWO" dataDxfId="43">
      <calculatedColumnFormula>AVERAGE((Tabela2[[#This Row],[Damage max]],Tabela2[[#This Row],[Damage min]]))*(1+(Tabela2[[#This Row],[Attack]]-$H$10)*IF(Tabela2[[#This Row],[Attack]]-$H$10 = 0, 1, IF(Tabela2[[#This Row],[Attack]]-$H$10 &gt; 0, $F$4,-$I$4)))/$F$10</calculatedColumnFormula>
    </tableColumn>
    <tableColumn id="28" name="VWO_R" dataDxfId="42">
      <calculatedColumnFormula>MAX(Tabela2[VWO])/Tabela2[[#This Row],[VWO]]</calculatedColumnFormula>
    </tableColumn>
    <tableColumn id="18" name="VWD" dataDxfId="41">
      <calculatedColumnFormula>Tabela2[[#This Row],[Health]]/(AVERAGE($I$10,$J$10)*(1+($G$10-Tabela2[[#This Row],[Defence]])*IF($G$10-Tabela2[[#This Row],[Defence]] = 0, 1, IF($G$10-Tabela2[[#This Row],[Defence]] &gt; 0, $F$4,$I$4))))</calculatedColumnFormula>
    </tableColumn>
    <tableColumn id="14" name="VWD_R" dataDxfId="40">
      <calculatedColumnFormula>MAX(Tabela2[VWD])/Tabela2[[#This Row],[VWD]]</calculatedColumnFormula>
    </tableColumn>
    <tableColumn id="15" name="V_Off" dataDxfId="39">
      <calculatedColumnFormula>Tabela2[[#This Row],[VWO]]*Tabela2[[#This Row],[VWD_R]]</calculatedColumnFormula>
    </tableColumn>
    <tableColumn id="16" name="V_Def" dataDxfId="38">
      <calculatedColumnFormula>Tabela2[[#This Row],[VWO_R]]*Tabela2[[#This Row],[VWD]]</calculatedColumnFormula>
    </tableColumn>
    <tableColumn id="33" name="!ŚREDNIA" dataDxfId="37">
      <calculatedColumnFormula>(Tabela2[[#This Row],[V_Def]]+Tabela2[[#This Row],[V_Off]])/2</calculatedColumnFormula>
    </tableColumn>
    <tableColumn id="35" name="Odchyłka" dataDxfId="24">
      <calculatedColumnFormula>472.09/Tabela2[[#This Row],[!ŚREDNIA]]</calculatedColumnFormula>
    </tableColumn>
    <tableColumn id="38" name="Suma VW" dataDxfId="23">
      <calculatedColumnFormula>Tabela2[[#This Row],[VWO]]+Tabela2[[#This Row],[VWD]]</calculatedColumnFormula>
    </tableColumn>
    <tableColumn id="39" name="Suma*Odchyłka" dataDxfId="36">
      <calculatedColumnFormula>Tabela2[[#This Row],[Suma VW]]*Tabela2[[#This Row],[Odchyłka]]</calculatedColumnFormula>
    </tableColumn>
    <tableColumn id="37" name="Kolumna2" dataDxfId="21">
      <calculatedColumnFormula>Tabela2[[#This Row],[Suma*Odchyłka]]/2*1.17</calculatedColumnFormula>
    </tableColumn>
    <tableColumn id="41" name="Kolumna1" dataDxfId="22">
      <calculatedColumnFormula>15000/Tabela2[[#This Row],[Kolumna2]]/27.17</calculatedColumnFormula>
    </tableColumn>
    <tableColumn id="32" name="!Odchyłka" dataDxfId="35">
      <calculatedColumnFormula>Tabela2[[#This Row],[!ŚREDNIA]]/MAX(Tabela2[!ŚREDNIA])</calculatedColumnFormula>
    </tableColumn>
    <tableColumn id="22" name="Cena_Atak" dataDxfId="34">
      <calculatedColumnFormula>Tabela2[[#This Row],[VWO]]/Tabela2[[#This Row],[V_Off]]*1000</calculatedColumnFormula>
    </tableColumn>
    <tableColumn id="21" name="Cena_Obrona" dataDxfId="33">
      <calculatedColumnFormula>Tabela2[[#This Row],[VWD]]/Tabela2[[#This Row],[V_Def]]*1000</calculatedColumnFormula>
    </tableColumn>
    <tableColumn id="19" name="VOB" dataDxfId="32">
      <calculatedColumnFormula>1/(AVERAGE((Tabela2[[#This Row],[Damage max]],Tabela2[[#This Row],[Damage min]]))*(1+(Tabela2[[#This Row],[Attack]]-$H$9)*IF(Tabela2[[#This Row],[Attack]]-$H$9 = 0, 1, IF(Tabela2[[#This Row],[Attack]]-$H$9 &gt; 0,$F$4,$I$4)))/$F$9)</calculatedColumnFormula>
    </tableColumn>
    <tableColumn id="20" name="VDB" dataDxfId="31">
      <calculatedColumnFormula>(AVERAGE($I$9,$J$9))*(1+(($G$9-Tabela2[[#This Row],[Defence]])*IF($G$9-Tabela2[[#This Row],[Defence]] = 0, 1, IF($G$9-Tabela2[[#This Row],[Defence]] &gt; 0, $F$4,$I$4))))/Tabela2[[#This Row],[Health]]</calculatedColumnFormula>
    </tableColumn>
    <tableColumn id="25" name="Cost1 (ZŁY)" dataDxfId="30">
      <calculatedColumnFormula>INT(SQRT(((Tabela2[[#This Row],[VWO]])*Tabela2[[#This Row],[VWD]])))</calculatedColumnFormula>
    </tableColumn>
    <tableColumn id="26" name="Stosunek W" dataDxfId="29">
      <calculatedColumnFormula>Tabela2[[#This Row],[VWD]]/Tabela2[[#This Row],[VWO]]</calculatedColumnFormula>
    </tableColumn>
    <tableColumn id="12" name="Stosunek B" dataDxfId="28">
      <calculatedColumnFormula>Tabela2[[#This Row],[VOB]]/Tabela2[[#This Row],[VDB]]</calculatedColumnFormula>
    </tableColumn>
    <tableColumn id="23" name="CENA_ZLA" dataDxfId="27">
      <calculatedColumnFormula>SUM(Tabela2[[#This Row],[Cena_Atak]:[Cena_Obrona]])</calculatedColumnFormula>
    </tableColumn>
    <tableColumn id="24" name="ILOSC_ZLA" dataDxfId="26">
      <calculatedColumnFormula>$AE$7/Tabela2[[#This Row],[Kolumna5]]</calculatedColumnFormula>
    </tableColumn>
    <tableColumn id="30" name="Kolumna5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14" name="Tabela14" displayName="Tabela14" ref="B1:O7" tableType="xml" totalsRowShown="0" headerRowDxfId="70" connectionId="6">
  <autoFilter ref="B1:O7"/>
  <tableColumns count="14">
    <tableColumn id="1" uniqueName="Name" name="Name" dataDxfId="69">
      <xmlColumnPr mapId="8" xpath="/Units/Unit/Name" xmlDataType="string"/>
    </tableColumn>
    <tableColumn id="2" uniqueName="HP" name="HP" dataDxfId="68">
      <xmlColumnPr mapId="8" xpath="/Units/Unit/HP" xmlDataType="integer"/>
    </tableColumn>
    <tableColumn id="3" uniqueName="Attack" name="A" dataDxfId="67">
      <xmlColumnPr mapId="8" xpath="/Units/Unit/Attack" xmlDataType="integer"/>
    </tableColumn>
    <tableColumn id="4" uniqueName="Defense" name="D" dataDxfId="66">
      <xmlColumnPr mapId="8" xpath="/Units/Unit/Defense" xmlDataType="integer"/>
    </tableColumn>
    <tableColumn id="5" uniqueName="Initiative" name="I" dataDxfId="65">
      <xmlColumnPr mapId="8" xpath="/Units/Unit/Initiative" xmlDataType="integer"/>
    </tableColumn>
    <tableColumn id="6" uniqueName="Speed" name="S" dataDxfId="64">
      <xmlColumnPr mapId="8" xpath="/Units/Unit/Speed" xmlDataType="integer"/>
    </tableColumn>
    <tableColumn id="11" uniqueName="DamageMinimum" name="Dm" dataDxfId="63">
      <xmlColumnPr mapId="8" xpath="/Units/Unit/DamageMinimum" xmlDataType="integer"/>
    </tableColumn>
    <tableColumn id="12" uniqueName="DamageMaximum" name="DM2" dataDxfId="62">
      <xmlColumnPr mapId="8" xpath="/Units/Unit/DamageMaximum" xmlDataType="integer"/>
    </tableColumn>
    <tableColumn id="14" uniqueName="Cost" name="Cost" dataDxfId="61">
      <xmlColumnPr mapId="8" xpath="/Units/Unit/Cost" xmlDataType="string"/>
    </tableColumn>
    <tableColumn id="7" uniqueName="Skill1" name="Skill1" dataDxfId="60">
      <xmlColumnPr mapId="8" xpath="/Units/Unit/Skills/Skill1" xmlDataType="string"/>
    </tableColumn>
    <tableColumn id="8" uniqueName="Skill2" name="Skill2" dataDxfId="59">
      <xmlColumnPr mapId="8" xpath="/Units/Unit/Skills/Skill2" xmlDataType="string"/>
    </tableColumn>
    <tableColumn id="9" uniqueName="Skill3" name="Skill3" dataDxfId="58">
      <xmlColumnPr mapId="8" xpath="/Units/Unit/Skills/Skill3" xmlDataType="string"/>
    </tableColumn>
    <tableColumn id="10" uniqueName="Skill4" name="Skill4" dataDxfId="57">
      <xmlColumnPr mapId="8" xpath="/Units/Unit/Skills/Skill4" xmlDataType="string"/>
    </tableColumn>
    <tableColumn id="13" uniqueName="Sprite" name="Sprite" dataDxfId="56">
      <xmlColumnPr mapId="8" xpath="/Units/Unit/Spri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9"/>
  <sheetViews>
    <sheetView tabSelected="1" zoomScale="120" zoomScaleNormal="12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J19" sqref="J19"/>
    </sheetView>
  </sheetViews>
  <sheetFormatPr defaultRowHeight="15" x14ac:dyDescent="0.25"/>
  <cols>
    <col min="1" max="1" width="12.7109375" style="136" customWidth="1"/>
    <col min="2" max="2" width="3.7109375" style="136" customWidth="1"/>
    <col min="3" max="3" width="2.28515625" style="136" customWidth="1"/>
    <col min="4" max="4" width="10.28515625" style="136" bestFit="1" customWidth="1"/>
    <col min="5" max="5" width="9.140625" style="136" customWidth="1"/>
    <col min="6" max="9" width="7.42578125" style="137" customWidth="1"/>
    <col min="10" max="10" width="9.140625" style="137" bestFit="1" customWidth="1"/>
    <col min="11" max="11" width="11.28515625" style="167" bestFit="1" customWidth="1"/>
    <col min="12" max="12" width="9.140625" style="190"/>
    <col min="13" max="13" width="9.140625" style="195" customWidth="1"/>
    <col min="14" max="14" width="9.140625" style="199" customWidth="1"/>
    <col min="15" max="15" width="13.5703125" style="202" customWidth="1"/>
    <col min="16" max="16" width="10.7109375" style="206" customWidth="1"/>
    <col min="17" max="17" width="9.140625" style="135"/>
    <col min="18" max="23" width="9.140625" style="211"/>
    <col min="24" max="25" width="3.7109375" style="168" hidden="1" customWidth="1"/>
    <col min="26" max="27" width="3.7109375" style="169" hidden="1" customWidth="1"/>
    <col min="28" max="32" width="3.7109375" style="168" hidden="1" customWidth="1"/>
    <col min="33" max="33" width="9.140625" customWidth="1"/>
    <col min="34" max="34" width="9.85546875" style="220" bestFit="1" customWidth="1"/>
  </cols>
  <sheetData>
    <row r="1" spans="1:35" s="153" customFormat="1" ht="17.25" x14ac:dyDescent="0.3">
      <c r="A1" s="150"/>
      <c r="B1" s="150"/>
      <c r="C1" s="151" t="s">
        <v>0</v>
      </c>
      <c r="D1" s="151"/>
      <c r="E1" s="154"/>
      <c r="F1" s="154"/>
      <c r="G1" s="154"/>
      <c r="H1" s="154"/>
      <c r="I1" s="152"/>
      <c r="J1" s="152"/>
      <c r="M1" s="180" t="s">
        <v>239</v>
      </c>
      <c r="N1" s="180"/>
      <c r="O1" s="180"/>
      <c r="P1" s="180"/>
      <c r="Q1" s="200"/>
      <c r="R1" s="180"/>
      <c r="S1" s="207" t="s">
        <v>246</v>
      </c>
      <c r="T1" s="207"/>
      <c r="U1" s="207"/>
      <c r="V1" s="207"/>
      <c r="W1" s="207"/>
      <c r="X1" s="207"/>
      <c r="Y1" s="168"/>
      <c r="Z1" s="169"/>
      <c r="AA1" s="169"/>
      <c r="AB1" s="168"/>
      <c r="AC1" s="170" t="s">
        <v>208</v>
      </c>
      <c r="AD1" s="168"/>
      <c r="AE1" s="168"/>
      <c r="AF1" s="170"/>
      <c r="AH1" s="220"/>
    </row>
    <row r="2" spans="1:35" s="153" customFormat="1" ht="15" customHeight="1" x14ac:dyDescent="0.25">
      <c r="A2" s="160"/>
      <c r="B2" s="160"/>
      <c r="C2" s="160"/>
      <c r="D2" s="160"/>
      <c r="E2" s="155"/>
      <c r="F2" s="155"/>
      <c r="G2" s="155"/>
      <c r="H2" s="155"/>
      <c r="I2" s="155"/>
      <c r="J2" s="155"/>
      <c r="L2" s="153" t="s">
        <v>249</v>
      </c>
      <c r="M2" s="180"/>
      <c r="N2" s="187" t="s">
        <v>232</v>
      </c>
      <c r="O2" s="180"/>
      <c r="P2" s="180"/>
      <c r="Q2" s="200"/>
      <c r="R2" s="180"/>
      <c r="S2" s="207"/>
      <c r="T2" s="207" t="s">
        <v>250</v>
      </c>
      <c r="U2" s="207"/>
      <c r="V2" s="207"/>
      <c r="W2" s="207"/>
      <c r="X2" s="207"/>
      <c r="Y2" s="168"/>
      <c r="Z2" s="169"/>
      <c r="AA2" s="169"/>
      <c r="AB2" s="168"/>
      <c r="AC2" s="170" t="s">
        <v>209</v>
      </c>
      <c r="AD2" s="168"/>
      <c r="AE2" s="168"/>
      <c r="AF2" s="170"/>
      <c r="AH2" s="220"/>
    </row>
    <row r="3" spans="1:35" s="153" customFormat="1" ht="15" customHeight="1" x14ac:dyDescent="0.25">
      <c r="A3" s="160"/>
      <c r="B3" s="160"/>
      <c r="C3" s="160"/>
      <c r="D3" s="160"/>
      <c r="E3" s="214" t="s">
        <v>223</v>
      </c>
      <c r="F3" s="214"/>
      <c r="G3" s="214"/>
      <c r="H3" s="214" t="s">
        <v>224</v>
      </c>
      <c r="I3" s="214"/>
      <c r="J3" s="214"/>
      <c r="M3" s="181"/>
      <c r="N3" s="180"/>
      <c r="O3" s="180" t="s">
        <v>238</v>
      </c>
      <c r="P3" s="180"/>
      <c r="Q3" s="200"/>
      <c r="R3" s="180"/>
      <c r="S3" s="207"/>
      <c r="T3" s="207"/>
      <c r="U3" s="207" t="s">
        <v>251</v>
      </c>
      <c r="V3" s="207"/>
      <c r="W3" s="207"/>
      <c r="X3" s="207"/>
      <c r="Y3" s="168"/>
      <c r="Z3" s="169"/>
      <c r="AA3" s="169"/>
      <c r="AB3" s="168"/>
      <c r="AC3" s="168"/>
      <c r="AD3" s="168"/>
      <c r="AE3" s="168"/>
      <c r="AF3" s="168"/>
      <c r="AH3" s="220"/>
    </row>
    <row r="4" spans="1:35" s="153" customFormat="1" x14ac:dyDescent="0.25">
      <c r="A4" s="160"/>
      <c r="B4" s="160"/>
      <c r="C4" s="160"/>
      <c r="D4" s="160"/>
      <c r="E4" s="160"/>
      <c r="F4" s="156">
        <v>0.04</v>
      </c>
      <c r="G4" s="161"/>
      <c r="H4" s="162"/>
      <c r="I4" s="162">
        <v>1.4E-2</v>
      </c>
      <c r="J4" s="162"/>
      <c r="M4" s="180"/>
      <c r="N4" s="180"/>
      <c r="O4" s="180"/>
      <c r="P4" s="187" t="s">
        <v>231</v>
      </c>
      <c r="Q4" s="200"/>
      <c r="R4" s="180"/>
      <c r="S4" s="207"/>
      <c r="T4" s="207"/>
      <c r="U4" s="207"/>
      <c r="V4" s="207" t="s">
        <v>256</v>
      </c>
      <c r="W4" s="150"/>
      <c r="Y4" s="168"/>
      <c r="Z4" s="169"/>
      <c r="AA4" s="169"/>
      <c r="AB4" s="168"/>
      <c r="AC4" s="168"/>
      <c r="AD4" s="168"/>
      <c r="AE4" s="168"/>
      <c r="AF4" s="168"/>
      <c r="AH4" s="220"/>
    </row>
    <row r="5" spans="1:35" s="153" customFormat="1" ht="15" customHeight="1" x14ac:dyDescent="0.25">
      <c r="A5" s="162"/>
      <c r="B5" s="162"/>
      <c r="C5" s="162"/>
      <c r="D5" s="162"/>
      <c r="E5" s="162"/>
      <c r="F5" s="162"/>
      <c r="G5" s="162"/>
      <c r="H5" s="162"/>
      <c r="I5" s="162"/>
      <c r="J5" s="162"/>
      <c r="M5" s="180"/>
      <c r="N5" s="180"/>
      <c r="O5" s="180"/>
      <c r="P5" s="180"/>
      <c r="Q5" s="180" t="s">
        <v>234</v>
      </c>
      <c r="R5" s="180"/>
      <c r="S5" s="207"/>
      <c r="T5" s="207"/>
      <c r="U5" s="207"/>
      <c r="V5" s="207"/>
      <c r="W5" s="207" t="s">
        <v>258</v>
      </c>
      <c r="Y5" s="168"/>
      <c r="Z5" s="169"/>
      <c r="AA5" s="169"/>
      <c r="AB5" s="168"/>
      <c r="AC5" s="168"/>
      <c r="AD5" s="168"/>
      <c r="AE5" s="168"/>
      <c r="AF5" s="168"/>
      <c r="AH5" s="220"/>
    </row>
    <row r="6" spans="1:35" s="153" customFormat="1" x14ac:dyDescent="0.25">
      <c r="A6" s="162"/>
      <c r="B6" s="162"/>
      <c r="C6" s="162"/>
      <c r="D6" s="162"/>
      <c r="E6" s="162"/>
      <c r="F6" s="162"/>
      <c r="G6" s="162"/>
      <c r="H6" s="162"/>
      <c r="I6" s="162"/>
      <c r="J6" s="162"/>
      <c r="M6" s="180"/>
      <c r="N6" s="180"/>
      <c r="O6" s="180"/>
      <c r="P6" s="180"/>
      <c r="Q6" s="200"/>
      <c r="R6" s="180" t="s">
        <v>237</v>
      </c>
      <c r="S6" s="207"/>
      <c r="T6" s="207"/>
      <c r="U6" s="207"/>
      <c r="V6" s="207"/>
      <c r="W6" s="207"/>
      <c r="X6" s="207"/>
      <c r="Y6" s="171"/>
      <c r="Z6" s="169"/>
      <c r="AA6" s="169"/>
      <c r="AB6" s="168"/>
      <c r="AC6" s="168"/>
      <c r="AD6" s="171"/>
      <c r="AE6" s="171"/>
      <c r="AF6" s="168"/>
      <c r="AH6" s="220"/>
    </row>
    <row r="7" spans="1:35" s="157" customFormat="1" x14ac:dyDescent="0.25">
      <c r="A7" s="162"/>
      <c r="B7" s="162"/>
      <c r="C7" s="162"/>
      <c r="D7" s="162"/>
      <c r="E7" s="163" t="s">
        <v>225</v>
      </c>
      <c r="F7" s="159">
        <f>MAX(Tabela2[Attack])</f>
        <v>50</v>
      </c>
      <c r="G7" s="159">
        <f>MAX(Tabela2[Defence])</f>
        <v>50</v>
      </c>
      <c r="H7" s="159">
        <f>MAX(Tabela2[Damage min])</f>
        <v>50</v>
      </c>
      <c r="I7" s="159">
        <f>MAX(Tabela2[Damage max])</f>
        <v>60</v>
      </c>
      <c r="J7" s="159">
        <f>MAX(Tabela2[Health])</f>
        <v>300</v>
      </c>
      <c r="M7" s="182">
        <f>MAX(Tabela2[VWO])</f>
        <v>148</v>
      </c>
      <c r="N7" s="191">
        <f>MAX(Tabela2[VWD])</f>
        <v>796.17834394904469</v>
      </c>
      <c r="O7" s="196">
        <f>MAX(Tabela2[VOB])</f>
        <v>796.1783439490448</v>
      </c>
      <c r="P7" s="158">
        <f>MAX(Tabela2[VDB])</f>
        <v>148</v>
      </c>
      <c r="Q7" s="203">
        <f>MAX(Tabela2[Cost1 (ZŁY)])</f>
        <v>343</v>
      </c>
      <c r="R7" s="204">
        <f>MAX(Tabela2[Stosunek W])</f>
        <v>63.694267515923585</v>
      </c>
      <c r="S7" s="199"/>
      <c r="T7" s="199"/>
      <c r="U7" s="199"/>
      <c r="V7" s="199"/>
      <c r="W7" s="199"/>
      <c r="X7" s="172"/>
      <c r="Y7" s="172">
        <f>MAX(Tabela2[Stosunek B])</f>
        <v>318.47133757961785</v>
      </c>
      <c r="Z7" s="173">
        <f>MAX(Tabela2[VWO_R])</f>
        <v>148</v>
      </c>
      <c r="AA7" s="173">
        <f>MAX(Tabela2[VWD_R])</f>
        <v>796.17834394904469</v>
      </c>
      <c r="AB7" s="173">
        <f>MAX(Tabela2[V_Off])</f>
        <v>796.17834394904469</v>
      </c>
      <c r="AC7" s="173">
        <f>MAX(Tabela2[V_Def])</f>
        <v>9426.7515923566898</v>
      </c>
      <c r="AD7" s="172"/>
      <c r="AE7" s="172">
        <v>5000</v>
      </c>
      <c r="AF7" s="173"/>
      <c r="AH7" s="220"/>
    </row>
    <row r="8" spans="1:35" s="147" customFormat="1" ht="14.25" customHeight="1" thickBot="1" x14ac:dyDescent="0.3">
      <c r="A8" s="147" t="s">
        <v>1</v>
      </c>
      <c r="B8" s="147" t="s">
        <v>18</v>
      </c>
      <c r="C8" s="147" t="s">
        <v>19</v>
      </c>
      <c r="D8" s="147" t="s">
        <v>13</v>
      </c>
      <c r="E8" s="147" t="s">
        <v>3</v>
      </c>
      <c r="F8" s="147" t="s">
        <v>8</v>
      </c>
      <c r="G8" s="147" t="s">
        <v>4</v>
      </c>
      <c r="H8" s="147" t="s">
        <v>14</v>
      </c>
      <c r="I8" s="147" t="s">
        <v>15</v>
      </c>
      <c r="J8" s="147" t="s">
        <v>16</v>
      </c>
      <c r="K8" s="221" t="s">
        <v>259</v>
      </c>
      <c r="L8" s="147" t="s">
        <v>261</v>
      </c>
      <c r="M8" s="183" t="s">
        <v>252</v>
      </c>
      <c r="N8" s="192" t="s">
        <v>255</v>
      </c>
      <c r="O8" s="192" t="s">
        <v>253</v>
      </c>
      <c r="P8" s="192" t="s">
        <v>254</v>
      </c>
      <c r="Q8" s="192" t="s">
        <v>235</v>
      </c>
      <c r="R8" s="192" t="s">
        <v>236</v>
      </c>
      <c r="S8" s="192" t="s">
        <v>245</v>
      </c>
      <c r="T8" s="192" t="s">
        <v>247</v>
      </c>
      <c r="U8" s="192" t="s">
        <v>251</v>
      </c>
      <c r="V8" s="192" t="s">
        <v>257</v>
      </c>
      <c r="W8" s="188" t="s">
        <v>233</v>
      </c>
      <c r="X8" s="192" t="s">
        <v>227</v>
      </c>
      <c r="Y8" s="147" t="s">
        <v>248</v>
      </c>
      <c r="Z8" s="179" t="s">
        <v>240</v>
      </c>
      <c r="AA8" s="179" t="s">
        <v>241</v>
      </c>
      <c r="AB8" s="179" t="s">
        <v>222</v>
      </c>
      <c r="AC8" s="179" t="s">
        <v>228</v>
      </c>
      <c r="AD8" s="179" t="s">
        <v>226</v>
      </c>
      <c r="AE8" s="179" t="s">
        <v>229</v>
      </c>
      <c r="AF8" s="179" t="s">
        <v>230</v>
      </c>
      <c r="AG8" s="179" t="s">
        <v>242</v>
      </c>
      <c r="AH8" s="179" t="s">
        <v>243</v>
      </c>
      <c r="AI8" s="147" t="s">
        <v>244</v>
      </c>
    </row>
    <row r="9" spans="1:35" s="141" customFormat="1" x14ac:dyDescent="0.25">
      <c r="A9" s="141" t="s">
        <v>260</v>
      </c>
      <c r="D9" s="141" t="s">
        <v>221</v>
      </c>
      <c r="F9" s="141">
        <v>250</v>
      </c>
      <c r="G9" s="141">
        <v>50</v>
      </c>
      <c r="H9" s="141">
        <v>50</v>
      </c>
      <c r="I9" s="141">
        <v>50</v>
      </c>
      <c r="J9" s="141">
        <v>50</v>
      </c>
      <c r="K9" s="222">
        <f>Tabela2[[#This Row],[Kolumna1]]*Tabela2[[#This Row],[Odchyłka]]</f>
        <v>0.99952053140168862</v>
      </c>
      <c r="L9" s="166">
        <f>Tabela2[[#This Row],[VWD]]/Tabela2[[#This Row],[VWO]]</f>
        <v>5.3795834050611129</v>
      </c>
      <c r="M9" s="184">
        <f>AVERAGE((Tabela2[[#This Row],[Damage max]],Tabela2[[#This Row],[Damage min]]))*(1+(Tabela2[[#This Row],[Attack]]-$H$10)*IF(Tabela2[[#This Row],[Attack]]-$H$10 = 0, 1, IF(Tabela2[[#This Row],[Attack]]-$H$10 &gt; 0, $F$4,-$I$4)))/$F$10</f>
        <v>148</v>
      </c>
      <c r="N9" s="193">
        <f>MAX(Tabela2[VWO])/Tabela2[[#This Row],[VWO]]</f>
        <v>1</v>
      </c>
      <c r="O9" s="193">
        <f>Tabela2[[#This Row],[Health]]/(AVERAGE($I$10,$J$10)*(1+($G$10-Tabela2[[#This Row],[Defence]])*IF($G$10-Tabela2[[#This Row],[Defence]] = 0, 1, IF($G$10-Tabela2[[#This Row],[Defence]] &gt; 0, $F$4,$I$4))))</f>
        <v>796.17834394904469</v>
      </c>
      <c r="P9" s="193">
        <f>MAX(Tabela2[VWD])/Tabela2[[#This Row],[VWD]]</f>
        <v>1</v>
      </c>
      <c r="Q9" s="193">
        <f>Tabela2[[#This Row],[VWO]]*Tabela2[[#This Row],[VWD_R]]</f>
        <v>148</v>
      </c>
      <c r="R9" s="193">
        <f>Tabela2[[#This Row],[VWO_R]]*Tabela2[[#This Row],[VWD]]</f>
        <v>796.17834394904469</v>
      </c>
      <c r="S9" s="208">
        <f>(Tabela2[[#This Row],[V_Def]]+Tabela2[[#This Row],[V_Off]])/2</f>
        <v>472.08917197452234</v>
      </c>
      <c r="T9" s="208">
        <f>472.09/Tabela2[[#This Row],[!ŚREDNIA]]</f>
        <v>1.0000017539599015</v>
      </c>
      <c r="U9" s="208">
        <f>Tabela2[[#This Row],[VWO]]+Tabela2[[#This Row],[VWD]]</f>
        <v>944.17834394904469</v>
      </c>
      <c r="V9" s="208">
        <f>Tabela2[[#This Row],[Suma VW]]*Tabela2[[#This Row],[Odchyłka]]</f>
        <v>944.17999999999984</v>
      </c>
      <c r="W9" s="213">
        <f>Tabela2[[#This Row],[Suma*Odchyłka]]/2*1.17</f>
        <v>552.34529999999984</v>
      </c>
      <c r="X9" s="208">
        <f>15000/Tabela2[[#This Row],[Kolumna2]]/27.17</f>
        <v>0.99951877828583069</v>
      </c>
      <c r="Y9" s="166">
        <f>Tabela2[[#This Row],[!ŚREDNIA]]/MAX(Tabela2[!ŚREDNIA])</f>
        <v>0.10002682254105619</v>
      </c>
      <c r="Z9" s="174">
        <f>Tabela2[[#This Row],[VWO]]/Tabela2[[#This Row],[V_Off]]*1000</f>
        <v>1000</v>
      </c>
      <c r="AA9" s="174">
        <f>Tabela2[[#This Row],[VWD]]/Tabela2[[#This Row],[V_Def]]*1000</f>
        <v>1000</v>
      </c>
      <c r="AB9" s="174">
        <f>1/(AVERAGE((Tabela2[[#This Row],[Damage max]],Tabela2[[#This Row],[Damage min]]))*(1+(Tabela2[[#This Row],[Attack]]-$H$9)*IF(Tabela2[[#This Row],[Attack]]-$H$9 = 0, 1, IF(Tabela2[[#This Row],[Attack]]-$H$9 &gt; 0,$F$4,$I$4)))/$F$9)</f>
        <v>5</v>
      </c>
      <c r="AC9" s="174">
        <f>(AVERAGE($I$9,$J$9))*(1+(($G$9-Tabela2[[#This Row],[Defence]])*IF($G$9-Tabela2[[#This Row],[Defence]] = 0, 1, IF($G$9-Tabela2[[#This Row],[Defence]] &gt; 0, $F$4,$I$4))))/Tabela2[[#This Row],[Health]]</f>
        <v>0.2</v>
      </c>
      <c r="AD9" s="174">
        <f>INT(SQRT(((Tabela2[[#This Row],[VWO]])*Tabela2[[#This Row],[VWD]])))</f>
        <v>343</v>
      </c>
      <c r="AE9" s="174">
        <f>Tabela2[[#This Row],[VWD]]/Tabela2[[#This Row],[VWO]]</f>
        <v>5.3795834050611129</v>
      </c>
      <c r="AF9" s="174">
        <f>Tabela2[[#This Row],[VOB]]/Tabela2[[#This Row],[VDB]]</f>
        <v>25</v>
      </c>
      <c r="AG9" s="174">
        <f>SUM(Tabela2[[#This Row],[Cena_Atak]:[Cena_Obrona]])</f>
        <v>2000</v>
      </c>
      <c r="AH9" s="174" t="e">
        <f>$AE$7/Tabela2[[#This Row],[Kolumna5]]</f>
        <v>#DIV/0!</v>
      </c>
      <c r="AI9" s="166"/>
    </row>
    <row r="10" spans="1:35" s="146" customFormat="1" x14ac:dyDescent="0.25">
      <c r="A10" s="146" t="s">
        <v>189</v>
      </c>
      <c r="D10" s="146" t="s">
        <v>221</v>
      </c>
      <c r="F10" s="146">
        <v>1</v>
      </c>
      <c r="G10" s="146">
        <v>1</v>
      </c>
      <c r="H10" s="146">
        <v>1</v>
      </c>
      <c r="I10" s="146">
        <v>1</v>
      </c>
      <c r="J10" s="146">
        <v>1</v>
      </c>
      <c r="K10" s="223">
        <f>Tabela2[[#This Row],[Kolumna1]]*Tabela2[[#This Row],[Odchyłka]]</f>
        <v>471.86282004095767</v>
      </c>
      <c r="L10" s="144">
        <f>Tabela2[[#This Row],[VWD]]/Tabela2[[#This Row],[VWO]]</f>
        <v>1</v>
      </c>
      <c r="M10" s="185">
        <f>AVERAGE((Tabela2[[#This Row],[Damage max]],Tabela2[[#This Row],[Damage min]]))*(1+(Tabela2[[#This Row],[Attack]]-$H$10)*IF(Tabela2[[#This Row],[Attack]]-$H$10 = 0, 1, IF(Tabela2[[#This Row],[Attack]]-$H$10 &gt; 0, $F$4,-$I$4)))/$F$10</f>
        <v>1</v>
      </c>
      <c r="N10" s="194">
        <f>MAX(Tabela2[VWO])/Tabela2[[#This Row],[VWO]]</f>
        <v>148</v>
      </c>
      <c r="O10" s="194">
        <f>Tabela2[[#This Row],[Health]]/(AVERAGE($I$10,$J$10)*(1+($G$10-Tabela2[[#This Row],[Defence]])*IF($G$10-Tabela2[[#This Row],[Defence]] = 0, 1, IF($G$10-Tabela2[[#This Row],[Defence]] &gt; 0, $F$4,$I$4))))</f>
        <v>1</v>
      </c>
      <c r="P10" s="194">
        <f>MAX(Tabela2[VWD])/Tabela2[[#This Row],[VWD]]</f>
        <v>796.17834394904469</v>
      </c>
      <c r="Q10" s="194">
        <f>Tabela2[[#This Row],[VWO]]*Tabela2[[#This Row],[VWD_R]]</f>
        <v>796.17834394904469</v>
      </c>
      <c r="R10" s="194">
        <f>Tabela2[[#This Row],[VWO_R]]*Tabela2[[#This Row],[VWD]]</f>
        <v>148</v>
      </c>
      <c r="S10" s="209">
        <f>(Tabela2[[#This Row],[V_Def]]+Tabela2[[#This Row],[V_Off]])/2</f>
        <v>472.08917197452234</v>
      </c>
      <c r="T10" s="209">
        <f>472.09/Tabela2[[#This Row],[!ŚREDNIA]]</f>
        <v>1.0000017539599015</v>
      </c>
      <c r="U10" s="209">
        <f>Tabela2[[#This Row],[VWO]]+Tabela2[[#This Row],[VWD]]</f>
        <v>2</v>
      </c>
      <c r="V10" s="209">
        <f>Tabela2[[#This Row],[Suma VW]]*Tabela2[[#This Row],[Odchyłka]]</f>
        <v>2.0000035079198031</v>
      </c>
      <c r="W10" s="212">
        <f>Tabela2[[#This Row],[Suma*Odchyłka]]/2*1.17</f>
        <v>1.1700020521330847</v>
      </c>
      <c r="X10" s="209">
        <f>15000/Tabela2[[#This Row],[Kolumna2]]/27.17</f>
        <v>471.86199241394394</v>
      </c>
      <c r="Y10" s="144">
        <f>Tabela2[[#This Row],[!ŚREDNIA]]/MAX(Tabela2[!ŚREDNIA])</f>
        <v>0.10002682254105619</v>
      </c>
      <c r="Z10" s="175">
        <f>Tabela2[[#This Row],[VWO]]/Tabela2[[#This Row],[V_Off]]*1000</f>
        <v>1.2559999999999998</v>
      </c>
      <c r="AA10" s="175">
        <f>Tabela2[[#This Row],[VWD]]/Tabela2[[#This Row],[V_Def]]*1000</f>
        <v>6.756756756756757</v>
      </c>
      <c r="AB10" s="175">
        <f>1/(AVERAGE((Tabela2[[#This Row],[Damage max]],Tabela2[[#This Row],[Damage min]]))*(1+(Tabela2[[#This Row],[Attack]]-$H$9)*IF(Tabela2[[#This Row],[Attack]]-$H$9 = 0, 1, IF(Tabela2[[#This Row],[Attack]]-$H$9 &gt; 0,$F$4,$I$4)))/$F$9)</f>
        <v>796.1783439490448</v>
      </c>
      <c r="AC10" s="175">
        <f>(AVERAGE($I$9,$J$9))*(1+(($G$9-Tabela2[[#This Row],[Defence]])*IF($G$9-Tabela2[[#This Row],[Defence]] = 0, 1, IF($G$9-Tabela2[[#This Row],[Defence]] &gt; 0, $F$4,$I$4))))/Tabela2[[#This Row],[Health]]</f>
        <v>148</v>
      </c>
      <c r="AD10" s="175">
        <f>INT(SQRT(((Tabela2[[#This Row],[VWO]])*Tabela2[[#This Row],[VWD]])))</f>
        <v>1</v>
      </c>
      <c r="AE10" s="175">
        <f>Tabela2[[#This Row],[VWD]]/Tabela2[[#This Row],[VWO]]</f>
        <v>1</v>
      </c>
      <c r="AF10" s="175">
        <f>Tabela2[[#This Row],[VOB]]/Tabela2[[#This Row],[VDB]]</f>
        <v>5.3795834050611138</v>
      </c>
      <c r="AG10" s="175">
        <f>SUM(Tabela2[[#This Row],[Cena_Atak]:[Cena_Obrona]])</f>
        <v>8.0127567567567564</v>
      </c>
      <c r="AH10" s="175" t="e">
        <f>$AE$7/Tabela2[[#This Row],[Kolumna5]]</f>
        <v>#DIV/0!</v>
      </c>
      <c r="AI10" s="144"/>
    </row>
    <row r="11" spans="1:35" hidden="1" x14ac:dyDescent="0.25">
      <c r="A11" s="139" t="s">
        <v>177</v>
      </c>
      <c r="B11" s="139"/>
      <c r="C11" s="139"/>
      <c r="D11" s="139" t="s">
        <v>176</v>
      </c>
      <c r="E11" s="139">
        <v>7</v>
      </c>
      <c r="F11" s="140">
        <v>300</v>
      </c>
      <c r="G11" s="140">
        <v>24</v>
      </c>
      <c r="H11" s="140">
        <v>24</v>
      </c>
      <c r="I11" s="140">
        <v>40</v>
      </c>
      <c r="J11" s="140">
        <v>60</v>
      </c>
      <c r="K11" s="224">
        <f>Tabela2[[#This Row],[Kolumna1]]*Tabela2[[#This Row],[Odchyłka]]</f>
        <v>1.7525801559501779</v>
      </c>
      <c r="L11" s="164">
        <f>Tabela2[[#This Row],[VWD]]/Tabela2[[#This Row],[VWO]]</f>
        <v>4.6091445427728619</v>
      </c>
      <c r="M11" s="186">
        <f>AVERAGE((Tabela2[[#This Row],[Damage max]],Tabela2[[#This Row],[Damage min]]))*(1+(Tabela2[[#This Row],[Attack]]-$H$10)*IF(Tabela2[[#This Row],[Attack]]-$H$10 = 0, 1, IF(Tabela2[[#This Row],[Attack]]-$H$10 &gt; 0, $F$4,-$I$4)))/$F$10</f>
        <v>96</v>
      </c>
      <c r="N11" s="189">
        <f>MAX(Tabela2[VWO])/Tabela2[[#This Row],[VWO]]</f>
        <v>1.5416666666666667</v>
      </c>
      <c r="O11" s="197">
        <f>Tabela2[[#This Row],[Health]]/(AVERAGE($I$10,$J$10)*(1+($G$10-Tabela2[[#This Row],[Defence]])*IF($G$10-Tabela2[[#This Row],[Defence]] = 0, 1, IF($G$10-Tabela2[[#This Row],[Defence]] &gt; 0, $F$4,$I$4))))</f>
        <v>442.47787610619474</v>
      </c>
      <c r="P11" s="198">
        <f>MAX(Tabela2[VWD])/Tabela2[[#This Row],[VWD]]</f>
        <v>1.7993630573248407</v>
      </c>
      <c r="Q11" s="201">
        <f>Tabela2[[#This Row],[VWO]]*Tabela2[[#This Row],[VWD_R]]</f>
        <v>172.73885350318471</v>
      </c>
      <c r="R11" s="205">
        <f>Tabela2[[#This Row],[VWO_R]]*Tabela2[[#This Row],[VWD]]</f>
        <v>682.15339233038355</v>
      </c>
      <c r="S11" s="210">
        <f>(Tabela2[[#This Row],[V_Def]]+Tabela2[[#This Row],[V_Off]])/2</f>
        <v>427.44612291678413</v>
      </c>
      <c r="T11" s="210">
        <f>472.09/Tabela2[[#This Row],[!ŚREDNIA]]</f>
        <v>1.1044432846380201</v>
      </c>
      <c r="U11" s="210">
        <f>Tabela2[[#This Row],[VWO]]+Tabela2[[#This Row],[VWD]]</f>
        <v>538.4778761061948</v>
      </c>
      <c r="V11" s="210">
        <f>Tabela2[[#This Row],[Suma VW]]*Tabela2[[#This Row],[Odchyłka]]</f>
        <v>594.7182741916306</v>
      </c>
      <c r="W11" s="210">
        <f>Tabela2[[#This Row],[Suma*Odchyłka]]/2*1.17</f>
        <v>347.91019040210386</v>
      </c>
      <c r="X11" s="210">
        <f>15000/Tabela2[[#This Row],[Kolumna2]]/27.17</f>
        <v>1.5868448659403853</v>
      </c>
      <c r="Y11" s="164">
        <f>Tabela2[[#This Row],[!ŚREDNIA]]/MAX(Tabela2[!ŚREDNIA])</f>
        <v>9.0567799519805786E-2</v>
      </c>
      <c r="Z11" s="176">
        <f>Tabela2[[#This Row],[VWO]]/Tabela2[[#This Row],[V_Off]]*1000</f>
        <v>555.75221238938059</v>
      </c>
      <c r="AA11" s="176">
        <f>Tabela2[[#This Row],[VWD]]/Tabela2[[#This Row],[V_Def]]*1000</f>
        <v>648.64864864864865</v>
      </c>
      <c r="AB11" s="176">
        <f>1/(AVERAGE((Tabela2[[#This Row],[Damage max]],Tabela2[[#This Row],[Damage min]]))*(1+(Tabela2[[#This Row],[Attack]]-$H$9)*IF(Tabela2[[#This Row],[Attack]]-$H$9 = 0, 1, IF(Tabela2[[#This Row],[Attack]]-$H$9 &gt; 0,$F$4,$I$4)))/$F$9)</f>
        <v>7.8616352201257858</v>
      </c>
      <c r="AC11" s="176">
        <f>(AVERAGE($I$9,$J$9))*(1+(($G$9-Tabela2[[#This Row],[Defence]])*IF($G$9-Tabela2[[#This Row],[Defence]] = 0, 1, IF($G$9-Tabela2[[#This Row],[Defence]] &gt; 0, $F$4,$I$4))))/Tabela2[[#This Row],[Health]]</f>
        <v>0.34</v>
      </c>
      <c r="AD11" s="177">
        <f>INT(SQRT(((Tabela2[[#This Row],[VWO]])*Tabela2[[#This Row],[VWD]])))</f>
        <v>206</v>
      </c>
      <c r="AE11" s="176">
        <f>Tabela2[[#This Row],[VWD]]/Tabela2[[#This Row],[VWO]]</f>
        <v>4.6091445427728619</v>
      </c>
      <c r="AF11" s="178">
        <f>Tabela2[[#This Row],[VOB]]/Tabela2[[#This Row],[VDB]]</f>
        <v>23.122456529781722</v>
      </c>
      <c r="AG11" s="176">
        <f>SUM(Tabela2[[#This Row],[Cena_Atak]:[Cena_Obrona]])</f>
        <v>1204.4008610380292</v>
      </c>
      <c r="AH11" s="176" t="e">
        <f>$AE$7/Tabela2[[#This Row],[Kolumna5]]</f>
        <v>#DIV/0!</v>
      </c>
      <c r="AI11" s="165"/>
    </row>
    <row r="12" spans="1:35" hidden="1" x14ac:dyDescent="0.25">
      <c r="A12" s="139" t="s">
        <v>38</v>
      </c>
      <c r="B12" s="139"/>
      <c r="C12" s="139"/>
      <c r="D12" s="136" t="s">
        <v>176</v>
      </c>
      <c r="E12" s="139">
        <v>1</v>
      </c>
      <c r="F12" s="137">
        <v>4</v>
      </c>
      <c r="G12" s="137">
        <v>3</v>
      </c>
      <c r="H12" s="137">
        <v>3</v>
      </c>
      <c r="I12" s="137">
        <v>2</v>
      </c>
      <c r="J12" s="137">
        <v>2</v>
      </c>
      <c r="K12" s="224">
        <f>Tabela2[[#This Row],[Kolumna1]]*Tabela2[[#This Row],[Odchyłka]]</f>
        <v>150.38909982418647</v>
      </c>
      <c r="L12" s="165">
        <f>Tabela2[[#This Row],[VWD]]/Tabela2[[#This Row],[VWO]]</f>
        <v>1.9051973784484071</v>
      </c>
      <c r="M12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2" s="189">
        <f>MAX(Tabela2[VWO])/Tabela2[[#This Row],[VWO]]</f>
        <v>68.518518518518519</v>
      </c>
      <c r="O12" s="197">
        <f>Tabela2[[#This Row],[Health]]/(AVERAGE($I$10,$J$10)*(1+($G$10-Tabela2[[#This Row],[Defence]])*IF($G$10-Tabela2[[#This Row],[Defence]] = 0, 1, IF($G$10-Tabela2[[#This Row],[Defence]] &gt; 0, $F$4,$I$4))))</f>
        <v>4.1152263374485596</v>
      </c>
      <c r="P12" s="198">
        <f>MAX(Tabela2[VWD])/Tabela2[[#This Row],[VWD]]</f>
        <v>193.47133757961785</v>
      </c>
      <c r="Q12" s="201">
        <f>Tabela2[[#This Row],[VWO]]*Tabela2[[#This Row],[VWD_R]]</f>
        <v>417.89808917197456</v>
      </c>
      <c r="R12" s="205">
        <f>Tabela2[[#This Row],[VWO_R]]*Tabela2[[#This Row],[VWD]]</f>
        <v>281.96921201036429</v>
      </c>
      <c r="S12" s="209">
        <f>(Tabela2[[#This Row],[V_Def]]+Tabela2[[#This Row],[V_Off]])/2</f>
        <v>349.93365059116945</v>
      </c>
      <c r="T12" s="209">
        <f>472.09/Tabela2[[#This Row],[!ŚREDNIA]]</f>
        <v>1.3490843169911282</v>
      </c>
      <c r="U12" s="209">
        <f>Tabela2[[#This Row],[VWO]]+Tabela2[[#This Row],[VWD]]</f>
        <v>6.2752263374485597</v>
      </c>
      <c r="V12" s="209">
        <f>Tabela2[[#This Row],[Suma VW]]*Tabela2[[#This Row],[Odchyłka]]</f>
        <v>8.4658094374215285</v>
      </c>
      <c r="W12" s="209">
        <f>Tabela2[[#This Row],[Suma*Odchyłka]]/2*1.17</f>
        <v>4.9524985208915941</v>
      </c>
      <c r="X12" s="209">
        <f>15000/Tabela2[[#This Row],[Kolumna2]]/27.17</f>
        <v>111.47494484229146</v>
      </c>
      <c r="Y12" s="165">
        <f>Tabela2[[#This Row],[!ŚREDNIA]]/MAX(Tabela2[!ŚREDNIA])</f>
        <v>7.4144363494776142E-2</v>
      </c>
      <c r="Z12" s="176">
        <f>Tabela2[[#This Row],[VWO]]/Tabela2[[#This Row],[V_Off]]*1000</f>
        <v>5.1687242798353905</v>
      </c>
      <c r="AA12" s="176">
        <f>Tabela2[[#This Row],[VWD]]/Tabela2[[#This Row],[V_Def]]*1000</f>
        <v>14.594594594594593</v>
      </c>
      <c r="AB12" s="176">
        <f>1/(AVERAGE((Tabela2[[#This Row],[Damage max]],Tabela2[[#This Row],[Damage min]]))*(1+(Tabela2[[#This Row],[Attack]]-$H$9)*IF(Tabela2[[#This Row],[Attack]]-$H$9 = 0, 1, IF(Tabela2[[#This Row],[Attack]]-$H$9 &gt; 0,$F$4,$I$4)))/$F$9)</f>
        <v>365.49707602339186</v>
      </c>
      <c r="AC12" s="176">
        <f>(AVERAGE($I$9,$J$9))*(1+(($G$9-Tabela2[[#This Row],[Defence]])*IF($G$9-Tabela2[[#This Row],[Defence]] = 0, 1, IF($G$9-Tabela2[[#This Row],[Defence]] &gt; 0, $F$4,$I$4))))/Tabela2[[#This Row],[Health]]</f>
        <v>36</v>
      </c>
      <c r="AD12" s="177">
        <f>INT(SQRT(((Tabela2[[#This Row],[VWO]])*Tabela2[[#This Row],[VWD]])))</f>
        <v>2</v>
      </c>
      <c r="AE12" s="176">
        <f>Tabela2[[#This Row],[VWD]]/Tabela2[[#This Row],[VWO]]</f>
        <v>1.9051973784484071</v>
      </c>
      <c r="AF12" s="178">
        <f>Tabela2[[#This Row],[VOB]]/Tabela2[[#This Row],[VDB]]</f>
        <v>10.15269655620533</v>
      </c>
      <c r="AG12" s="176">
        <f>SUM(Tabela2[[#This Row],[Cena_Atak]:[Cena_Obrona]])</f>
        <v>19.763318874429984</v>
      </c>
      <c r="AH12" s="176" t="e">
        <f>$AE$7/Tabela2[[#This Row],[Kolumna5]]</f>
        <v>#DIV/0!</v>
      </c>
      <c r="AI12" s="165"/>
    </row>
    <row r="13" spans="1:35" s="145" customFormat="1" x14ac:dyDescent="0.25">
      <c r="A13" s="142" t="s">
        <v>217</v>
      </c>
      <c r="B13" s="142"/>
      <c r="C13" s="142"/>
      <c r="D13" s="142" t="s">
        <v>17</v>
      </c>
      <c r="E13" s="142" t="s">
        <v>19</v>
      </c>
      <c r="F13" s="143">
        <v>7</v>
      </c>
      <c r="G13" s="143">
        <v>5</v>
      </c>
      <c r="H13" s="143">
        <v>3</v>
      </c>
      <c r="I13" s="143">
        <v>2</v>
      </c>
      <c r="J13" s="143">
        <v>2</v>
      </c>
      <c r="K13" s="224">
        <f>Tabela2[[#This Row],[Kolumna1]]*Tabela2[[#This Row],[Odchyłka]]</f>
        <v>99.113706927211737</v>
      </c>
      <c r="L13" s="165">
        <f>Tabela2[[#This Row],[VWD]]/Tabela2[[#This Row],[VWO]]</f>
        <v>3.1041577976443882</v>
      </c>
      <c r="M13" s="186">
        <f>AVERAGE((Tabela2[[#This Row],[Damage max]],Tabela2[[#This Row],[Damage min]]))*(1+(Tabela2[[#This Row],[Attack]]-$H$10)*IF(Tabela2[[#This Row],[Attack]]-$H$10 = 0, 1, IF(Tabela2[[#This Row],[Attack]]-$H$10 &gt; 0, $F$4,-$I$4)))/$F$10</f>
        <v>2.3199999999999998</v>
      </c>
      <c r="N13" s="189">
        <f>MAX(Tabela2[VWO])/Tabela2[[#This Row],[VWO]]</f>
        <v>63.793103448275865</v>
      </c>
      <c r="O13" s="197">
        <f>Tabela2[[#This Row],[Health]]/(AVERAGE($I$10,$J$10)*(1+($G$10-Tabela2[[#This Row],[Defence]])*IF($G$10-Tabela2[[#This Row],[Defence]] = 0, 1, IF($G$10-Tabela2[[#This Row],[Defence]] &gt; 0, $F$4,$I$4))))</f>
        <v>7.2016460905349797</v>
      </c>
      <c r="P13" s="198">
        <f>MAX(Tabela2[VWD])/Tabela2[[#This Row],[VWD]]</f>
        <v>110.55505004549592</v>
      </c>
      <c r="Q13" s="201">
        <f>Tabela2[[#This Row],[VWO]]*Tabela2[[#This Row],[VWD_R]]</f>
        <v>256.48771610555053</v>
      </c>
      <c r="R13" s="205">
        <f>Tabela2[[#This Row],[VWO_R]]*Tabela2[[#This Row],[VWD]]</f>
        <v>459.41535405136943</v>
      </c>
      <c r="S13" s="209">
        <f>(Tabela2[[#This Row],[V_Def]]+Tabela2[[#This Row],[V_Off]])/2</f>
        <v>357.95153507845998</v>
      </c>
      <c r="T13" s="209">
        <f>472.09/Tabela2[[#This Row],[!ŚREDNIA]]</f>
        <v>1.3188656947553579</v>
      </c>
      <c r="U13" s="209">
        <f>Tabela2[[#This Row],[VWO]]+Tabela2[[#This Row],[VWD]]</f>
        <v>9.5216460905349791</v>
      </c>
      <c r="V13" s="209">
        <f>Tabela2[[#This Row],[Suma VW]]*Tabela2[[#This Row],[Odchyłka]]</f>
        <v>12.557772386408052</v>
      </c>
      <c r="W13" s="209">
        <f>Tabela2[[#This Row],[Suma*Odchyłka]]/2*1.17</f>
        <v>7.3462968460487099</v>
      </c>
      <c r="X13" s="209">
        <f>15000/Tabela2[[#This Row],[Kolumna2]]/27.17</f>
        <v>75.150720290436226</v>
      </c>
      <c r="Y13" s="165">
        <f>Tabela2[[#This Row],[!ŚREDNIA]]/MAX(Tabela2[!ŚREDNIA])</f>
        <v>7.584320252006134E-2</v>
      </c>
      <c r="Z13" s="176">
        <f>Tabela2[[#This Row],[VWO]]/Tabela2[[#This Row],[V_Off]]*1000</f>
        <v>9.0452674897119323</v>
      </c>
      <c r="AA13" s="176">
        <f>Tabela2[[#This Row],[VWD]]/Tabela2[[#This Row],[V_Def]]*1000</f>
        <v>15.675675675675675</v>
      </c>
      <c r="AB13" s="176">
        <f>1/(AVERAGE((Tabela2[[#This Row],[Damage max]],Tabela2[[#This Row],[Damage min]]))*(1+(Tabela2[[#This Row],[Attack]]-$H$9)*IF(Tabela2[[#This Row],[Attack]]-$H$9 = 0, 1, IF(Tabela2[[#This Row],[Attack]]-$H$9 &gt; 0,$F$4,$I$4)))/$F$9)</f>
        <v>337.83783783783787</v>
      </c>
      <c r="AC13" s="176">
        <f>(AVERAGE($I$9,$J$9))*(1+(($G$9-Tabela2[[#This Row],[Defence]])*IF($G$9-Tabela2[[#This Row],[Defence]] = 0, 1, IF($G$9-Tabela2[[#This Row],[Defence]] &gt; 0, $F$4,$I$4))))/Tabela2[[#This Row],[Health]]</f>
        <v>20.571428571428573</v>
      </c>
      <c r="AD13" s="177">
        <f>INT(SQRT(((Tabela2[[#This Row],[VWO]])*Tabela2[[#This Row],[VWD]])))</f>
        <v>4</v>
      </c>
      <c r="AE13" s="176">
        <f>Tabela2[[#This Row],[VWD]]/Tabela2[[#This Row],[VWO]]</f>
        <v>3.1041577976443882</v>
      </c>
      <c r="AF13" s="178">
        <f>Tabela2[[#This Row],[VOB]]/Tabela2[[#This Row],[VDB]]</f>
        <v>16.422672672672672</v>
      </c>
      <c r="AG13" s="176">
        <f>SUM(Tabela2[[#This Row],[Cena_Atak]:[Cena_Obrona]])</f>
        <v>24.720943165387609</v>
      </c>
      <c r="AH13" s="176" t="e">
        <f>$AE$7/Tabela2[[#This Row],[Kolumna5]]</f>
        <v>#DIV/0!</v>
      </c>
      <c r="AI13" s="165"/>
    </row>
    <row r="14" spans="1:35" s="145" customFormat="1" x14ac:dyDescent="0.25">
      <c r="A14" s="142" t="s">
        <v>219</v>
      </c>
      <c r="B14" s="142"/>
      <c r="C14" s="142"/>
      <c r="D14" s="148" t="s">
        <v>17</v>
      </c>
      <c r="E14" s="142" t="s">
        <v>210</v>
      </c>
      <c r="F14" s="149">
        <v>15</v>
      </c>
      <c r="G14" s="149">
        <v>5</v>
      </c>
      <c r="H14" s="149">
        <v>3</v>
      </c>
      <c r="I14" s="149">
        <v>4</v>
      </c>
      <c r="J14" s="149">
        <v>4</v>
      </c>
      <c r="K14" s="224">
        <f>Tabela2[[#This Row],[Kolumna1]]*Tabela2[[#This Row],[Odchyłka]]</f>
        <v>47.01678938064947</v>
      </c>
      <c r="L14" s="219">
        <f>Tabela2[[#This Row],[VWD]]/Tabela2[[#This Row],[VWO]]</f>
        <v>3.3258833546189872</v>
      </c>
      <c r="M14" s="186">
        <f>AVERAGE((Tabela2[[#This Row],[Damage max]],Tabela2[[#This Row],[Damage min]]))*(1+(Tabela2[[#This Row],[Attack]]-$H$10)*IF(Tabela2[[#This Row],[Attack]]-$H$10 = 0, 1, IF(Tabela2[[#This Row],[Attack]]-$H$10 &gt; 0, $F$4,-$I$4)))/$F$10</f>
        <v>4.6399999999999997</v>
      </c>
      <c r="N14" s="189">
        <f>MAX(Tabela2[VWO])/Tabela2[[#This Row],[VWO]]</f>
        <v>31.896551724137932</v>
      </c>
      <c r="O14" s="197">
        <f>Tabela2[[#This Row],[Health]]/(AVERAGE($I$10,$J$10)*(1+($G$10-Tabela2[[#This Row],[Defence]])*IF($G$10-Tabela2[[#This Row],[Defence]] = 0, 1, IF($G$10-Tabela2[[#This Row],[Defence]] &gt; 0, $F$4,$I$4))))</f>
        <v>15.4320987654321</v>
      </c>
      <c r="P14" s="198">
        <f>MAX(Tabela2[VWD])/Tabela2[[#This Row],[VWD]]</f>
        <v>51.592356687898089</v>
      </c>
      <c r="Q14" s="201">
        <f>Tabela2[[#This Row],[VWO]]*Tabela2[[#This Row],[VWD_R]]</f>
        <v>239.38853503184711</v>
      </c>
      <c r="R14" s="205">
        <f>Tabela2[[#This Row],[VWO_R]]*Tabela2[[#This Row],[VWD]]</f>
        <v>492.23073648361009</v>
      </c>
      <c r="S14" s="209">
        <f>(Tabela2[[#This Row],[V_Def]]+Tabela2[[#This Row],[V_Off]])/2</f>
        <v>365.80963575772859</v>
      </c>
      <c r="T14" s="209">
        <f>472.09/Tabela2[[#This Row],[!ŚREDNIA]]</f>
        <v>1.2905346219820728</v>
      </c>
      <c r="U14" s="209">
        <f>Tabela2[[#This Row],[VWO]]+Tabela2[[#This Row],[VWD]]</f>
        <v>20.072098765432099</v>
      </c>
      <c r="V14" s="209">
        <f>Tabela2[[#This Row],[Suma VW]]*Tabela2[[#This Row],[Odchyłka]]</f>
        <v>25.903738392633745</v>
      </c>
      <c r="W14" s="209">
        <f>Tabela2[[#This Row],[Suma*Odchyłka]]/2*1.17</f>
        <v>15.15368695969074</v>
      </c>
      <c r="X14" s="209">
        <f>15000/Tabela2[[#This Row],[Kolumna2]]/27.17</f>
        <v>36.432024821184996</v>
      </c>
      <c r="Y14" s="165">
        <f>Tabela2[[#This Row],[!ŚREDNIA]]/MAX(Tabela2[!ŚREDNIA])</f>
        <v>7.7508186359591932E-2</v>
      </c>
      <c r="Z14" s="176">
        <f>Tabela2[[#This Row],[VWO]]/Tabela2[[#This Row],[V_Off]]*1000</f>
        <v>19.382716049382719</v>
      </c>
      <c r="AA14" s="176">
        <f>Tabela2[[#This Row],[VWD]]/Tabela2[[#This Row],[V_Def]]*1000</f>
        <v>31.351351351351351</v>
      </c>
      <c r="AB14" s="176">
        <f>1/(AVERAGE((Tabela2[[#This Row],[Damage max]],Tabela2[[#This Row],[Damage min]]))*(1+(Tabela2[[#This Row],[Attack]]-$H$9)*IF(Tabela2[[#This Row],[Attack]]-$H$9 = 0, 1, IF(Tabela2[[#This Row],[Attack]]-$H$9 &gt; 0,$F$4,$I$4)))/$F$9)</f>
        <v>168.91891891891893</v>
      </c>
      <c r="AC14" s="176">
        <f>(AVERAGE($I$9,$J$9))*(1+(($G$9-Tabela2[[#This Row],[Defence]])*IF($G$9-Tabela2[[#This Row],[Defence]] = 0, 1, IF($G$9-Tabela2[[#This Row],[Defence]] &gt; 0, $F$4,$I$4))))/Tabela2[[#This Row],[Health]]</f>
        <v>9.6</v>
      </c>
      <c r="AD14" s="177">
        <f>INT(SQRT(((Tabela2[[#This Row],[VWO]])*Tabela2[[#This Row],[VWD]])))</f>
        <v>8</v>
      </c>
      <c r="AE14" s="176">
        <f>Tabela2[[#This Row],[VWD]]/Tabela2[[#This Row],[VWO]]</f>
        <v>3.3258833546189872</v>
      </c>
      <c r="AF14" s="178">
        <f>Tabela2[[#This Row],[VOB]]/Tabela2[[#This Row],[VDB]]</f>
        <v>17.595720720720724</v>
      </c>
      <c r="AG14" s="176">
        <f>SUM(Tabela2[[#This Row],[Cena_Atak]:[Cena_Obrona]])</f>
        <v>50.73406740073407</v>
      </c>
      <c r="AH14" s="176" t="e">
        <f>$AE$7/Tabela2[[#This Row],[Kolumna5]]</f>
        <v>#DIV/0!</v>
      </c>
      <c r="AI14" s="165"/>
    </row>
    <row r="15" spans="1:35" s="145" customFormat="1" x14ac:dyDescent="0.25">
      <c r="A15" s="142" t="s">
        <v>220</v>
      </c>
      <c r="B15" s="142"/>
      <c r="C15" s="142"/>
      <c r="D15" s="142" t="s">
        <v>17</v>
      </c>
      <c r="E15" s="142" t="s">
        <v>211</v>
      </c>
      <c r="F15" s="143">
        <v>50</v>
      </c>
      <c r="G15" s="143">
        <v>15</v>
      </c>
      <c r="H15" s="143">
        <v>11</v>
      </c>
      <c r="I15" s="143">
        <v>10</v>
      </c>
      <c r="J15" s="143">
        <v>10</v>
      </c>
      <c r="K15" s="224">
        <f>Tabela2[[#This Row],[Kolumna1]]*Tabela2[[#This Row],[Odchyłka]]</f>
        <v>12.798095913814294</v>
      </c>
      <c r="L15" s="219">
        <f>Tabela2[[#This Row],[VWD]]/Tabela2[[#This Row],[VWO]]</f>
        <v>3.7268932617769828</v>
      </c>
      <c r="M15" s="186">
        <f>AVERAGE((Tabela2[[#This Row],[Damage max]],Tabela2[[#This Row],[Damage min]]))*(1+(Tabela2[[#This Row],[Attack]]-$H$10)*IF(Tabela2[[#This Row],[Attack]]-$H$10 = 0, 1, IF(Tabela2[[#This Row],[Attack]]-$H$10 &gt; 0, $F$4,-$I$4)))/$F$10</f>
        <v>15.600000000000001</v>
      </c>
      <c r="N15" s="189">
        <f>MAX(Tabela2[VWO])/Tabela2[[#This Row],[VWO]]</f>
        <v>9.4871794871794854</v>
      </c>
      <c r="O15" s="197">
        <f>Tabela2[[#This Row],[Health]]/(AVERAGE($I$10,$J$10)*(1+($G$10-Tabela2[[#This Row],[Defence]])*IF($G$10-Tabela2[[#This Row],[Defence]] = 0, 1, IF($G$10-Tabela2[[#This Row],[Defence]] &gt; 0, $F$4,$I$4))))</f>
        <v>58.139534883720934</v>
      </c>
      <c r="P15" s="198">
        <f>MAX(Tabela2[VWD])/Tabela2[[#This Row],[VWD]]</f>
        <v>13.694267515923567</v>
      </c>
      <c r="Q15" s="201">
        <f>Tabela2[[#This Row],[VWO]]*Tabela2[[#This Row],[VWD_R]]</f>
        <v>213.63057324840767</v>
      </c>
      <c r="R15" s="205">
        <f>Tabela2[[#This Row],[VWO_R]]*Tabela2[[#This Row],[VWD]]</f>
        <v>551.58020274299338</v>
      </c>
      <c r="S15" s="209">
        <f>(Tabela2[[#This Row],[V_Def]]+Tabela2[[#This Row],[V_Off]])/2</f>
        <v>382.60538799570054</v>
      </c>
      <c r="T15" s="209">
        <f>472.09/Tabela2[[#This Row],[!ŚREDNIA]]</f>
        <v>1.2338822578350752</v>
      </c>
      <c r="U15" s="209">
        <f>Tabela2[[#This Row],[VWO]]+Tabela2[[#This Row],[VWD]]</f>
        <v>73.739534883720935</v>
      </c>
      <c r="V15" s="209">
        <f>Tabela2[[#This Row],[Suma VW]]*Tabela2[[#This Row],[Odchyłka]]</f>
        <v>90.985903794033874</v>
      </c>
      <c r="W15" s="209">
        <f>Tabela2[[#This Row],[Suma*Odchyłka]]/2*1.17</f>
        <v>53.226753719509816</v>
      </c>
      <c r="X15" s="209">
        <f>15000/Tabela2[[#This Row],[Kolumna2]]/27.17</f>
        <v>10.372218120932677</v>
      </c>
      <c r="Y15" s="165">
        <f>Tabela2[[#This Row],[!ŚREDNIA]]/MAX(Tabela2[!ŚREDNIA])</f>
        <v>8.1066890579653633E-2</v>
      </c>
      <c r="Z15" s="176">
        <f>Tabela2[[#This Row],[VWO]]/Tabela2[[#This Row],[V_Off]]*1000</f>
        <v>73.023255813953483</v>
      </c>
      <c r="AA15" s="176">
        <f>Tabela2[[#This Row],[VWD]]/Tabela2[[#This Row],[V_Def]]*1000</f>
        <v>105.40540540540543</v>
      </c>
      <c r="AB15" s="176">
        <f>1/(AVERAGE((Tabela2[[#This Row],[Damage max]],Tabela2[[#This Row],[Damage min]]))*(1+(Tabela2[[#This Row],[Attack]]-$H$9)*IF(Tabela2[[#This Row],[Attack]]-$H$9 = 0, 1, IF(Tabela2[[#This Row],[Attack]]-$H$9 &gt; 0,$F$4,$I$4)))/$F$9)</f>
        <v>49.019607843137258</v>
      </c>
      <c r="AC15" s="176">
        <f>(AVERAGE($I$9,$J$9))*(1+(($G$9-Tabela2[[#This Row],[Defence]])*IF($G$9-Tabela2[[#This Row],[Defence]] = 0, 1, IF($G$9-Tabela2[[#This Row],[Defence]] &gt; 0, $F$4,$I$4))))/Tabela2[[#This Row],[Health]]</f>
        <v>2.56</v>
      </c>
      <c r="AD15" s="177">
        <f>INT(SQRT(((Tabela2[[#This Row],[VWO]])*Tabela2[[#This Row],[VWD]])))</f>
        <v>30</v>
      </c>
      <c r="AE15" s="176">
        <f>Tabela2[[#This Row],[VWD]]/Tabela2[[#This Row],[VWO]]</f>
        <v>3.7268932617769828</v>
      </c>
      <c r="AF15" s="178">
        <f>Tabela2[[#This Row],[VOB]]/Tabela2[[#This Row],[VDB]]</f>
        <v>19.14828431372549</v>
      </c>
      <c r="AG15" s="176">
        <f>SUM(Tabela2[[#This Row],[Cena_Atak]:[Cena_Obrona]])</f>
        <v>178.4286612193589</v>
      </c>
      <c r="AH15" s="176" t="e">
        <f>$AE$7/Tabela2[[#This Row],[Kolumna5]]</f>
        <v>#DIV/0!</v>
      </c>
      <c r="AI15" s="165"/>
    </row>
    <row r="16" spans="1:35" s="145" customFormat="1" x14ac:dyDescent="0.25">
      <c r="A16" s="142" t="s">
        <v>218</v>
      </c>
      <c r="B16" s="142"/>
      <c r="C16" s="142"/>
      <c r="D16" s="148" t="s">
        <v>17</v>
      </c>
      <c r="E16" s="142" t="s">
        <v>212</v>
      </c>
      <c r="F16" s="149">
        <v>145</v>
      </c>
      <c r="G16" s="149">
        <v>28</v>
      </c>
      <c r="H16" s="149">
        <v>15</v>
      </c>
      <c r="I16" s="149">
        <v>24</v>
      </c>
      <c r="J16" s="149">
        <v>24</v>
      </c>
      <c r="K16" s="224">
        <f>Tabela2[[#This Row],[Kolumna1]]*Tabela2[[#This Row],[Odchyłka]]</f>
        <v>4.0983748493313668</v>
      </c>
      <c r="L16" s="219">
        <f>Tabela2[[#This Row],[VWD]]/Tabela2[[#This Row],[VWO]]</f>
        <v>3.6127455670366113</v>
      </c>
      <c r="M16" s="186">
        <f>AVERAGE((Tabela2[[#This Row],[Damage max]],Tabela2[[#This Row],[Damage min]]))*(1+(Tabela2[[#This Row],[Attack]]-$H$10)*IF(Tabela2[[#This Row],[Attack]]-$H$10 = 0, 1, IF(Tabela2[[#This Row],[Attack]]-$H$10 &gt; 0, $F$4,-$I$4)))/$F$10</f>
        <v>49.92</v>
      </c>
      <c r="N16" s="189">
        <f>MAX(Tabela2[VWO])/Tabela2[[#This Row],[VWO]]</f>
        <v>2.9647435897435894</v>
      </c>
      <c r="O16" s="197">
        <f>Tabela2[[#This Row],[Health]]/(AVERAGE($I$10,$J$10)*(1+($G$10-Tabela2[[#This Row],[Defence]])*IF($G$10-Tabela2[[#This Row],[Defence]] = 0, 1, IF($G$10-Tabela2[[#This Row],[Defence]] &gt; 0, $F$4,$I$4))))</f>
        <v>180.34825870646765</v>
      </c>
      <c r="P16" s="198">
        <f>MAX(Tabela2[VWD])/Tabela2[[#This Row],[VWD]]</f>
        <v>4.4146716450691859</v>
      </c>
      <c r="Q16" s="201">
        <f>Tabela2[[#This Row],[VWO]]*Tabela2[[#This Row],[VWD_R]]</f>
        <v>220.38040852185375</v>
      </c>
      <c r="R16" s="205">
        <f>Tabela2[[#This Row],[VWO_R]]*Tabela2[[#This Row],[VWD]]</f>
        <v>534.68634392141848</v>
      </c>
      <c r="S16" s="209">
        <f>(Tabela2[[#This Row],[V_Def]]+Tabela2[[#This Row],[V_Off]])/2</f>
        <v>377.5333762216361</v>
      </c>
      <c r="T16" s="209">
        <f>472.09/Tabela2[[#This Row],[!ŚREDNIA]]</f>
        <v>1.2504589785536024</v>
      </c>
      <c r="U16" s="209">
        <f>Tabela2[[#This Row],[VWO]]+Tabela2[[#This Row],[VWD]]</f>
        <v>230.26825870646763</v>
      </c>
      <c r="V16" s="209">
        <f>Tabela2[[#This Row],[Suma VW]]*Tabela2[[#This Row],[Odchyłka]]</f>
        <v>287.94101157540621</v>
      </c>
      <c r="W16" s="209">
        <f>Tabela2[[#This Row],[Suma*Odchyłka]]/2*1.17</f>
        <v>168.44549177161261</v>
      </c>
      <c r="X16" s="209">
        <f>15000/Tabela2[[#This Row],[Kolumna2]]/27.17</f>
        <v>3.277496439005084</v>
      </c>
      <c r="Y16" s="165">
        <f>Tabela2[[#This Row],[!ŚREDNIA]]/MAX(Tabela2[!ŚREDNIA])</f>
        <v>7.9992226614096995E-2</v>
      </c>
      <c r="Z16" s="176">
        <f>Tabela2[[#This Row],[VWO]]/Tabela2[[#This Row],[V_Off]]*1000</f>
        <v>226.51741293532334</v>
      </c>
      <c r="AA16" s="176">
        <f>Tabela2[[#This Row],[VWD]]/Tabela2[[#This Row],[V_Def]]*1000</f>
        <v>337.29729729729729</v>
      </c>
      <c r="AB16" s="176">
        <f>1/(AVERAGE((Tabela2[[#This Row],[Damage max]],Tabela2[[#This Row],[Damage min]]))*(1+(Tabela2[[#This Row],[Attack]]-$H$9)*IF(Tabela2[[#This Row],[Attack]]-$H$9 = 0, 1, IF(Tabela2[[#This Row],[Attack]]-$H$9 &gt; 0,$F$4,$I$4)))/$F$9)</f>
        <v>15.052986512524086</v>
      </c>
      <c r="AC16" s="176">
        <f>(AVERAGE($I$9,$J$9))*(1+(($G$9-Tabela2[[#This Row],[Defence]])*IF($G$9-Tabela2[[#This Row],[Defence]] = 0, 1, IF($G$9-Tabela2[[#This Row],[Defence]] &gt; 0, $F$4,$I$4))))/Tabela2[[#This Row],[Health]]</f>
        <v>0.82758620689655182</v>
      </c>
      <c r="AD16" s="177">
        <f>INT(SQRT(((Tabela2[[#This Row],[VWO]])*Tabela2[[#This Row],[VWD]])))</f>
        <v>94</v>
      </c>
      <c r="AE16" s="176">
        <f>Tabela2[[#This Row],[VWD]]/Tabela2[[#This Row],[VWO]]</f>
        <v>3.6127455670366113</v>
      </c>
      <c r="AF16" s="178">
        <f>Tabela2[[#This Row],[VOB]]/Tabela2[[#This Row],[VDB]]</f>
        <v>18.189025369299934</v>
      </c>
      <c r="AG16" s="176">
        <f>SUM(Tabela2[[#This Row],[Cena_Atak]:[Cena_Obrona]])</f>
        <v>563.81471023262066</v>
      </c>
      <c r="AH16" s="176" t="e">
        <f>$AE$7/Tabela2[[#This Row],[Kolumna5]]</f>
        <v>#DIV/0!</v>
      </c>
      <c r="AI16" s="165"/>
    </row>
    <row r="17" spans="1:35" s="145" customFormat="1" x14ac:dyDescent="0.25">
      <c r="A17" s="142" t="s">
        <v>216</v>
      </c>
      <c r="B17" s="142"/>
      <c r="C17" s="142"/>
      <c r="D17" s="142" t="s">
        <v>100</v>
      </c>
      <c r="E17" s="142" t="s">
        <v>19</v>
      </c>
      <c r="F17" s="143">
        <v>8</v>
      </c>
      <c r="G17" s="143">
        <v>3</v>
      </c>
      <c r="H17" s="143">
        <v>4</v>
      </c>
      <c r="I17" s="143">
        <v>2</v>
      </c>
      <c r="J17" s="143">
        <v>2</v>
      </c>
      <c r="K17" s="224">
        <f>Tabela2[[#This Row],[Kolumna1]]*Tabela2[[#This Row],[Odchyłka]]</f>
        <v>89.786872864641239</v>
      </c>
      <c r="L17" s="165">
        <f>Tabela2[[#This Row],[VWD]]/Tabela2[[#This Row],[VWO]]</f>
        <v>3.8660790226552231</v>
      </c>
      <c r="M17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7" s="189">
        <f>MAX(Tabela2[VWO])/Tabela2[[#This Row],[VWO]]</f>
        <v>68.518518518518519</v>
      </c>
      <c r="O17" s="197">
        <f>Tabela2[[#This Row],[Health]]/(AVERAGE($I$10,$J$10)*(1+($G$10-Tabela2[[#This Row],[Defence]])*IF($G$10-Tabela2[[#This Row],[Defence]] = 0, 1, IF($G$10-Tabela2[[#This Row],[Defence]] &gt; 0, $F$4,$I$4))))</f>
        <v>8.3507306889352826</v>
      </c>
      <c r="P17" s="198">
        <f>MAX(Tabela2[VWD])/Tabela2[[#This Row],[VWD]]</f>
        <v>95.342356687898089</v>
      </c>
      <c r="Q17" s="201">
        <f>Tabela2[[#This Row],[VWO]]*Tabela2[[#This Row],[VWD_R]]</f>
        <v>205.93949044585989</v>
      </c>
      <c r="R17" s="205">
        <f>Tabela2[[#This Row],[VWO_R]]*Tabela2[[#This Row],[VWD]]</f>
        <v>572.17969535297311</v>
      </c>
      <c r="S17" s="209">
        <f>(Tabela2[[#This Row],[V_Def]]+Tabela2[[#This Row],[V_Off]])/2</f>
        <v>389.05959289941649</v>
      </c>
      <c r="T17" s="209">
        <f>472.09/Tabela2[[#This Row],[!ŚREDNIA]]</f>
        <v>1.2134130827666016</v>
      </c>
      <c r="U17" s="209">
        <f>Tabela2[[#This Row],[VWO]]+Tabela2[[#This Row],[VWD]]</f>
        <v>10.510730688935283</v>
      </c>
      <c r="V17" s="209">
        <f>Tabela2[[#This Row],[Suma VW]]*Tabela2[[#This Row],[Odchyłka]]</f>
        <v>12.753858127390489</v>
      </c>
      <c r="W17" s="209">
        <f>Tabela2[[#This Row],[Suma*Odchyłka]]/2*1.17</f>
        <v>7.4610070045234353</v>
      </c>
      <c r="X17" s="209">
        <f>15000/Tabela2[[#This Row],[Kolumna2]]/27.17</f>
        <v>73.995306412821677</v>
      </c>
      <c r="Y17" s="165">
        <f>Tabela2[[#This Row],[!ŚREDNIA]]/MAX(Tabela2[!ŚREDNIA])</f>
        <v>8.2434415290816576E-2</v>
      </c>
      <c r="Z17" s="176">
        <f>Tabela2[[#This Row],[VWO]]/Tabela2[[#This Row],[V_Off]]*1000</f>
        <v>10.488517745302715</v>
      </c>
      <c r="AA17" s="176">
        <f>Tabela2[[#This Row],[VWD]]/Tabela2[[#This Row],[V_Def]]*1000</f>
        <v>14.594594594594593</v>
      </c>
      <c r="AB17" s="176">
        <f>1/(AVERAGE((Tabela2[[#This Row],[Damage max]],Tabela2[[#This Row],[Damage min]]))*(1+(Tabela2[[#This Row],[Attack]]-$H$9)*IF(Tabela2[[#This Row],[Attack]]-$H$9 = 0, 1, IF(Tabela2[[#This Row],[Attack]]-$H$9 &gt; 0,$F$4,$I$4)))/$F$9)</f>
        <v>365.49707602339186</v>
      </c>
      <c r="AC17" s="176">
        <f>(AVERAGE($I$9,$J$9))*(1+(($G$9-Tabela2[[#This Row],[Defence]])*IF($G$9-Tabela2[[#This Row],[Defence]] = 0, 1, IF($G$9-Tabela2[[#This Row],[Defence]] &gt; 0, $F$4,$I$4))))/Tabela2[[#This Row],[Health]]</f>
        <v>17.75</v>
      </c>
      <c r="AD17" s="177">
        <f>INT(SQRT(((Tabela2[[#This Row],[VWO]])*Tabela2[[#This Row],[VWD]])))</f>
        <v>4</v>
      </c>
      <c r="AE17" s="176">
        <f>Tabela2[[#This Row],[VWD]]/Tabela2[[#This Row],[VWO]]</f>
        <v>3.8660790226552231</v>
      </c>
      <c r="AF17" s="178">
        <f>Tabela2[[#This Row],[VOB]]/Tabela2[[#This Row],[VDB]]</f>
        <v>20.591384564698131</v>
      </c>
      <c r="AG17" s="176">
        <f>SUM(Tabela2[[#This Row],[Cena_Atak]:[Cena_Obrona]])</f>
        <v>25.083112339897308</v>
      </c>
      <c r="AH17" s="176" t="e">
        <f>$AE$7/Tabela2[[#This Row],[Kolumna5]]</f>
        <v>#DIV/0!</v>
      </c>
      <c r="AI17" s="165"/>
    </row>
    <row r="18" spans="1:35" s="145" customFormat="1" x14ac:dyDescent="0.25">
      <c r="A18" s="142" t="s">
        <v>215</v>
      </c>
      <c r="B18" s="142"/>
      <c r="C18" s="142"/>
      <c r="D18" s="148" t="s">
        <v>100</v>
      </c>
      <c r="E18" s="142" t="s">
        <v>210</v>
      </c>
      <c r="F18" s="143">
        <v>20</v>
      </c>
      <c r="G18" s="143">
        <v>2</v>
      </c>
      <c r="H18" s="143">
        <v>7</v>
      </c>
      <c r="I18" s="143">
        <v>3</v>
      </c>
      <c r="J18" s="143">
        <v>3</v>
      </c>
      <c r="K18" s="224">
        <f>Tabela2[[#This Row],[Kolumna1]]*Tabela2[[#This Row],[Odchyłka]]</f>
        <v>37.818519196630071</v>
      </c>
      <c r="L18" s="165">
        <f>Tabela2[[#This Row],[VWD]]/Tabela2[[#This Row],[VWO]]</f>
        <v>6.9980965177471726</v>
      </c>
      <c r="M18" s="186">
        <f>AVERAGE((Tabela2[[#This Row],[Damage max]],Tabela2[[#This Row],[Damage min]]))*(1+(Tabela2[[#This Row],[Attack]]-$H$10)*IF(Tabela2[[#This Row],[Attack]]-$H$10 = 0, 1, IF(Tabela2[[#This Row],[Attack]]-$H$10 &gt; 0, $F$4,-$I$4)))/$F$10</f>
        <v>3.12</v>
      </c>
      <c r="N18" s="189">
        <f>MAX(Tabela2[VWO])/Tabela2[[#This Row],[VWO]]</f>
        <v>47.435897435897431</v>
      </c>
      <c r="O18" s="197">
        <f>Tabela2[[#This Row],[Health]]/(AVERAGE($I$10,$J$10)*(1+($G$10-Tabela2[[#This Row],[Defence]])*IF($G$10-Tabela2[[#This Row],[Defence]] = 0, 1, IF($G$10-Tabela2[[#This Row],[Defence]] &gt; 0, $F$4,$I$4))))</f>
        <v>21.834061135371179</v>
      </c>
      <c r="P18" s="198">
        <f>MAX(Tabela2[VWD])/Tabela2[[#This Row],[VWD]]</f>
        <v>36.464968152866248</v>
      </c>
      <c r="Q18" s="201">
        <f>Tabela2[[#This Row],[VWO]]*Tabela2[[#This Row],[VWD_R]]</f>
        <v>113.77070063694269</v>
      </c>
      <c r="R18" s="205">
        <f>Tabela2[[#This Row],[VWO_R]]*Tabela2[[#This Row],[VWD]]</f>
        <v>1035.7182846265814</v>
      </c>
      <c r="S18" s="209">
        <f>(Tabela2[[#This Row],[V_Def]]+Tabela2[[#This Row],[V_Off]])/2</f>
        <v>574.744492631762</v>
      </c>
      <c r="T18" s="209">
        <f>472.09/Tabela2[[#This Row],[!ŚREDNIA]]</f>
        <v>0.82139108082322654</v>
      </c>
      <c r="U18" s="209">
        <f>Tabela2[[#This Row],[VWO]]+Tabela2[[#This Row],[VWD]]</f>
        <v>24.95406113537118</v>
      </c>
      <c r="V18" s="209">
        <f>Tabela2[[#This Row],[Suma VW]]*Tabela2[[#This Row],[Odchyłka]]</f>
        <v>20.497043246911407</v>
      </c>
      <c r="W18" s="209">
        <f>Tabela2[[#This Row],[Suma*Odchyłka]]/2*1.17</f>
        <v>11.990770299443172</v>
      </c>
      <c r="X18" s="209">
        <f>15000/Tabela2[[#This Row],[Kolumna2]]/27.17</f>
        <v>46.042037805824535</v>
      </c>
      <c r="Y18" s="165">
        <f>Tabela2[[#This Row],[!ŚREDNIA]]/MAX(Tabela2[!ŚREDNIA])</f>
        <v>0.12177755556323</v>
      </c>
      <c r="Z18" s="176">
        <f>Tabela2[[#This Row],[VWO]]/Tabela2[[#This Row],[V_Off]]*1000</f>
        <v>27.4235807860262</v>
      </c>
      <c r="AA18" s="176">
        <f>Tabela2[[#This Row],[VWD]]/Tabela2[[#This Row],[V_Def]]*1000</f>
        <v>21.081081081081084</v>
      </c>
      <c r="AB18" s="176">
        <f>1/(AVERAGE((Tabela2[[#This Row],[Damage max]],Tabela2[[#This Row],[Damage min]]))*(1+(Tabela2[[#This Row],[Attack]]-$H$9)*IF(Tabela2[[#This Row],[Attack]]-$H$9 = 0, 1, IF(Tabela2[[#This Row],[Attack]]-$H$9 &gt; 0,$F$4,$I$4)))/$F$9)</f>
        <v>254.06504065040653</v>
      </c>
      <c r="AC18" s="176">
        <f>(AVERAGE($I$9,$J$9))*(1+(($G$9-Tabela2[[#This Row],[Defence]])*IF($G$9-Tabela2[[#This Row],[Defence]] = 0, 1, IF($G$9-Tabela2[[#This Row],[Defence]] &gt; 0, $F$4,$I$4))))/Tabela2[[#This Row],[Health]]</f>
        <v>6.8</v>
      </c>
      <c r="AD18" s="177">
        <f>INT(SQRT(((Tabela2[[#This Row],[VWO]])*Tabela2[[#This Row],[VWD]])))</f>
        <v>8</v>
      </c>
      <c r="AE18" s="176">
        <f>Tabela2[[#This Row],[VWD]]/Tabela2[[#This Row],[VWO]]</f>
        <v>6.9980965177471726</v>
      </c>
      <c r="AF18" s="178">
        <f>Tabela2[[#This Row],[VOB]]/Tabela2[[#This Row],[VDB]]</f>
        <v>37.362505978000961</v>
      </c>
      <c r="AG18" s="176">
        <f>SUM(Tabela2[[#This Row],[Cena_Atak]:[Cena_Obrona]])</f>
        <v>48.504661867107288</v>
      </c>
      <c r="AH18" s="176" t="e">
        <f>$AE$7/Tabela2[[#This Row],[Kolumna5]]</f>
        <v>#DIV/0!</v>
      </c>
      <c r="AI18" s="165"/>
    </row>
    <row r="19" spans="1:35" s="145" customFormat="1" x14ac:dyDescent="0.25">
      <c r="A19" s="142" t="s">
        <v>214</v>
      </c>
      <c r="B19" s="142"/>
      <c r="C19" s="142"/>
      <c r="D19" s="142" t="s">
        <v>100</v>
      </c>
      <c r="E19" s="142" t="s">
        <v>212</v>
      </c>
      <c r="F19" s="143">
        <v>45</v>
      </c>
      <c r="G19" s="143">
        <v>6</v>
      </c>
      <c r="H19" s="143">
        <v>6</v>
      </c>
      <c r="I19" s="143">
        <v>7</v>
      </c>
      <c r="J19" s="143">
        <v>7</v>
      </c>
      <c r="K19" s="224">
        <f>Tabela2[[#This Row],[Kolumna1]]*Tabela2[[#This Row],[Odchyłka]]</f>
        <v>16.618663282514984</v>
      </c>
      <c r="L19" s="165">
        <f>Tabela2[[#This Row],[VWD]]/Tabela2[[#This Row],[VWO]]</f>
        <v>5.7603686635944698</v>
      </c>
      <c r="M19" s="186">
        <f>AVERAGE((Tabela2[[#This Row],[Damage max]],Tabela2[[#This Row],[Damage min]]))*(1+(Tabela2[[#This Row],[Attack]]-$H$10)*IF(Tabela2[[#This Row],[Attack]]-$H$10 = 0, 1, IF(Tabela2[[#This Row],[Attack]]-$H$10 &gt; 0, $F$4,-$I$4)))/$F$10</f>
        <v>8.4</v>
      </c>
      <c r="N19" s="189">
        <f>MAX(Tabela2[VWO])/Tabela2[[#This Row],[VWO]]</f>
        <v>17.619047619047617</v>
      </c>
      <c r="O19" s="197">
        <f>Tabela2[[#This Row],[Health]]/(AVERAGE($I$10,$J$10)*(1+($G$10-Tabela2[[#This Row],[Defence]])*IF($G$10-Tabela2[[#This Row],[Defence]] = 0, 1, IF($G$10-Tabela2[[#This Row],[Defence]] &gt; 0, $F$4,$I$4))))</f>
        <v>48.387096774193552</v>
      </c>
      <c r="P19" s="198">
        <f>MAX(Tabela2[VWD])/Tabela2[[#This Row],[VWD]]</f>
        <v>16.45435244161359</v>
      </c>
      <c r="Q19" s="201">
        <f>Tabela2[[#This Row],[VWO]]*Tabela2[[#This Row],[VWD_R]]</f>
        <v>138.21656050955417</v>
      </c>
      <c r="R19" s="205">
        <f>Tabela2[[#This Row],[VWO_R]]*Tabela2[[#This Row],[VWD]]</f>
        <v>852.53456221198155</v>
      </c>
      <c r="S19" s="209">
        <f>(Tabela2[[#This Row],[V_Def]]+Tabela2[[#This Row],[V_Off]])/2</f>
        <v>495.37556136076785</v>
      </c>
      <c r="T19" s="209">
        <f>472.09/Tabela2[[#This Row],[!ŚREDNIA]]</f>
        <v>0.95299412571584319</v>
      </c>
      <c r="U19" s="209">
        <f>Tabela2[[#This Row],[VWO]]+Tabela2[[#This Row],[VWD]]</f>
        <v>56.78709677419355</v>
      </c>
      <c r="V19" s="209">
        <f>Tabela2[[#This Row],[Suma VW]]*Tabela2[[#This Row],[Odchyłka]]</f>
        <v>54.117769642263561</v>
      </c>
      <c r="W19" s="209">
        <f>Tabela2[[#This Row],[Suma*Odchyłka]]/2*1.17</f>
        <v>31.658895240724181</v>
      </c>
      <c r="X19" s="209">
        <f>15000/Tabela2[[#This Row],[Kolumna2]]/27.17</f>
        <v>17.438369066579341</v>
      </c>
      <c r="Y19" s="165">
        <f>Tabela2[[#This Row],[!ŚREDNIA]]/MAX(Tabela2[!ŚREDNIA])</f>
        <v>0.10496077078015205</v>
      </c>
      <c r="Z19" s="176">
        <f>Tabela2[[#This Row],[VWO]]/Tabela2[[#This Row],[V_Off]]*1000</f>
        <v>60.774193548387082</v>
      </c>
      <c r="AA19" s="176">
        <f>Tabela2[[#This Row],[VWD]]/Tabela2[[#This Row],[V_Def]]*1000</f>
        <v>56.756756756756758</v>
      </c>
      <c r="AB19" s="176">
        <f>1/(AVERAGE((Tabela2[[#This Row],[Damage max]],Tabela2[[#This Row],[Damage min]]))*(1+(Tabela2[[#This Row],[Attack]]-$H$9)*IF(Tabela2[[#This Row],[Attack]]-$H$9 = 0, 1, IF(Tabela2[[#This Row],[Attack]]-$H$9 &gt; 0,$F$4,$I$4)))/$F$9)</f>
        <v>93.005952380952365</v>
      </c>
      <c r="AC19" s="176">
        <f>(AVERAGE($I$9,$J$9))*(1+(($G$9-Tabela2[[#This Row],[Defence]])*IF($G$9-Tabela2[[#This Row],[Defence]] = 0, 1, IF($G$9-Tabela2[[#This Row],[Defence]] &gt; 0, $F$4,$I$4))))/Tabela2[[#This Row],[Health]]</f>
        <v>3.0666666666666669</v>
      </c>
      <c r="AD19" s="177">
        <f>INT(SQRT(((Tabela2[[#This Row],[VWO]])*Tabela2[[#This Row],[VWD]])))</f>
        <v>20</v>
      </c>
      <c r="AE19" s="176">
        <f>Tabela2[[#This Row],[VWD]]/Tabela2[[#This Row],[VWO]]</f>
        <v>5.7603686635944698</v>
      </c>
      <c r="AF19" s="178">
        <f>Tabela2[[#This Row],[VOB]]/Tabela2[[#This Row],[VDB]]</f>
        <v>30.328027950310553</v>
      </c>
      <c r="AG19" s="176">
        <f>SUM(Tabela2[[#This Row],[Cena_Atak]:[Cena_Obrona]])</f>
        <v>117.53095030514385</v>
      </c>
      <c r="AH19" s="176" t="e">
        <f>$AE$7/Tabela2[[#This Row],[Kolumna5]]</f>
        <v>#DIV/0!</v>
      </c>
      <c r="AI19" s="165"/>
    </row>
    <row r="20" spans="1:35" s="145" customFormat="1" ht="14.25" customHeight="1" x14ac:dyDescent="0.25">
      <c r="A20" s="142" t="s">
        <v>213</v>
      </c>
      <c r="B20" s="142"/>
      <c r="C20" s="142"/>
      <c r="D20" s="148" t="s">
        <v>100</v>
      </c>
      <c r="E20" s="142" t="s">
        <v>212</v>
      </c>
      <c r="F20" s="149">
        <v>165</v>
      </c>
      <c r="G20" s="149">
        <v>12</v>
      </c>
      <c r="H20" s="149">
        <v>17</v>
      </c>
      <c r="I20" s="149">
        <v>16</v>
      </c>
      <c r="J20" s="149">
        <v>16</v>
      </c>
      <c r="K20" s="224">
        <f>Tabela2[[#This Row],[Kolumna1]]*Tabela2[[#This Row],[Odchyłka]]</f>
        <v>4.00445615147349</v>
      </c>
      <c r="L20" s="165">
        <f>Tabela2[[#This Row],[VWD]]/Tabela2[[#This Row],[VWO]]</f>
        <v>9.2286834192439855</v>
      </c>
      <c r="M20" s="186">
        <f>AVERAGE((Tabela2[[#This Row],[Damage max]],Tabela2[[#This Row],[Damage min]]))*(1+(Tabela2[[#This Row],[Attack]]-$H$10)*IF(Tabela2[[#This Row],[Attack]]-$H$10 = 0, 1, IF(Tabela2[[#This Row],[Attack]]-$H$10 &gt; 0, $F$4,-$I$4)))/$F$10</f>
        <v>23.04</v>
      </c>
      <c r="N20" s="189">
        <f>MAX(Tabela2[VWO])/Tabela2[[#This Row],[VWO]]</f>
        <v>6.4236111111111116</v>
      </c>
      <c r="O20" s="197">
        <f>Tabela2[[#This Row],[Health]]/(AVERAGE($I$10,$J$10)*(1+($G$10-Tabela2[[#This Row],[Defence]])*IF($G$10-Tabela2[[#This Row],[Defence]] = 0, 1, IF($G$10-Tabela2[[#This Row],[Defence]] &gt; 0, $F$4,$I$4))))</f>
        <v>212.62886597938143</v>
      </c>
      <c r="P20" s="198">
        <f>MAX(Tabela2[VWD])/Tabela2[[#This Row],[VWD]]</f>
        <v>3.7444508782088408</v>
      </c>
      <c r="Q20" s="201">
        <f>Tabela2[[#This Row],[VWO]]*Tabela2[[#This Row],[VWD_R]]</f>
        <v>86.272148233931688</v>
      </c>
      <c r="R20" s="205">
        <f>Tabela2[[#This Row],[VWO_R]]*Tabela2[[#This Row],[VWD]]</f>
        <v>1365.8451460481099</v>
      </c>
      <c r="S20" s="209">
        <f>(Tabela2[[#This Row],[V_Def]]+Tabela2[[#This Row],[V_Off]])/2</f>
        <v>726.05864714102074</v>
      </c>
      <c r="T20" s="209">
        <f>472.09/Tabela2[[#This Row],[!ŚREDNIA]]</f>
        <v>0.65020918332001765</v>
      </c>
      <c r="U20" s="209">
        <f>Tabela2[[#This Row],[VWO]]+Tabela2[[#This Row],[VWD]]</f>
        <v>235.66886597938142</v>
      </c>
      <c r="V20" s="209">
        <f>Tabela2[[#This Row],[Suma VW]]*Tabela2[[#This Row],[Odchyłka]]</f>
        <v>153.23406088240827</v>
      </c>
      <c r="W20" s="209">
        <f>Tabela2[[#This Row],[Suma*Odchyłka]]/2*1.17</f>
        <v>89.641925616208837</v>
      </c>
      <c r="X20" s="209">
        <f>15000/Tabela2[[#This Row],[Kolumna2]]/27.17</f>
        <v>6.1587197692693785</v>
      </c>
      <c r="Y20" s="165">
        <f>Tabela2[[#This Row],[!ŚREDNIA]]/MAX(Tabela2[!ŚREDNIA])</f>
        <v>0.15383818092716953</v>
      </c>
      <c r="Z20" s="176">
        <f>Tabela2[[#This Row],[VWO]]/Tabela2[[#This Row],[V_Off]]*1000</f>
        <v>267.06185567010306</v>
      </c>
      <c r="AA20" s="176">
        <f>Tabela2[[#This Row],[VWD]]/Tabela2[[#This Row],[V_Def]]*1000</f>
        <v>155.67567567567568</v>
      </c>
      <c r="AB20" s="176">
        <f>1/(AVERAGE((Tabela2[[#This Row],[Damage max]],Tabela2[[#This Row],[Damage min]]))*(1+(Tabela2[[#This Row],[Attack]]-$H$9)*IF(Tabela2[[#This Row],[Attack]]-$H$9 = 0, 1, IF(Tabela2[[#This Row],[Attack]]-$H$9 &gt; 0,$F$4,$I$4)))/$F$9)</f>
        <v>33.386752136752136</v>
      </c>
      <c r="AC20" s="176">
        <f>(AVERAGE($I$9,$J$9))*(1+(($G$9-Tabela2[[#This Row],[Defence]])*IF($G$9-Tabela2[[#This Row],[Defence]] = 0, 1, IF($G$9-Tabela2[[#This Row],[Defence]] &gt; 0, $F$4,$I$4))))/Tabela2[[#This Row],[Health]]</f>
        <v>0.70303030303030312</v>
      </c>
      <c r="AD20" s="177">
        <f>INT(SQRT(((Tabela2[[#This Row],[VWO]])*Tabela2[[#This Row],[VWD]])))</f>
        <v>69</v>
      </c>
      <c r="AE20" s="176">
        <f>Tabela2[[#This Row],[VWD]]/Tabela2[[#This Row],[VWO]]</f>
        <v>9.2286834192439855</v>
      </c>
      <c r="AF20" s="178">
        <f>Tabela2[[#This Row],[VOB]]/Tabela2[[#This Row],[VDB]]</f>
        <v>47.489776746242256</v>
      </c>
      <c r="AG20" s="176">
        <f>SUM(Tabela2[[#This Row],[Cena_Atak]:[Cena_Obrona]])</f>
        <v>422.73753134577873</v>
      </c>
      <c r="AH20" s="176" t="e">
        <f>$AE$7/Tabela2[[#This Row],[Kolumna5]]</f>
        <v>#DIV/0!</v>
      </c>
      <c r="AI20" s="165"/>
    </row>
    <row r="21" spans="1:35" s="145" customFormat="1" ht="14.25" customHeight="1" x14ac:dyDescent="0.25">
      <c r="A21" s="142" t="s">
        <v>190</v>
      </c>
      <c r="B21" s="142"/>
      <c r="C21" s="142"/>
      <c r="D21" s="142" t="s">
        <v>221</v>
      </c>
      <c r="E21" s="142"/>
      <c r="F21" s="143">
        <v>40</v>
      </c>
      <c r="G21" s="143">
        <v>14</v>
      </c>
      <c r="H21" s="143">
        <v>7</v>
      </c>
      <c r="I21" s="143">
        <v>13</v>
      </c>
      <c r="J21" s="143">
        <v>13</v>
      </c>
      <c r="K21" s="224">
        <f>Tabela2[[#This Row],[Kolumna1]]*Tabela2[[#This Row],[Odchyłka]]</f>
        <v>14.878662749208166</v>
      </c>
      <c r="L21" s="165">
        <f>Tabela2[[#This Row],[VWD]]/Tabela2[[#This Row],[VWO]]</f>
        <v>2.2099252161306859</v>
      </c>
      <c r="M21" s="186">
        <f>AVERAGE((Tabela2[[#This Row],[Damage max]],Tabela2[[#This Row],[Damage min]]))*(1+(Tabela2[[#This Row],[Attack]]-$H$10)*IF(Tabela2[[#This Row],[Attack]]-$H$10 = 0, 1, IF(Tabela2[[#This Row],[Attack]]-$H$10 &gt; 0, $F$4,-$I$4)))/$F$10</f>
        <v>19.760000000000002</v>
      </c>
      <c r="N21" s="189">
        <f>MAX(Tabela2[VWO])/Tabela2[[#This Row],[VWO]]</f>
        <v>7.4898785425101213</v>
      </c>
      <c r="O21" s="197">
        <f>Tabela2[[#This Row],[Health]]/(AVERAGE($I$10,$J$10)*(1+($G$10-Tabela2[[#This Row],[Defence]])*IF($G$10-Tabela2[[#This Row],[Defence]] = 0, 1, IF($G$10-Tabela2[[#This Row],[Defence]] &gt; 0, $F$4,$I$4))))</f>
        <v>43.668122270742359</v>
      </c>
      <c r="P21" s="198">
        <f>MAX(Tabela2[VWD])/Tabela2[[#This Row],[VWD]]</f>
        <v>18.232484076433124</v>
      </c>
      <c r="Q21" s="201">
        <f>Tabela2[[#This Row],[VWO]]*Tabela2[[#This Row],[VWD_R]]</f>
        <v>360.27388535031855</v>
      </c>
      <c r="R21" s="205">
        <f>Tabela2[[#This Row],[VWO_R]]*Tabela2[[#This Row],[VWD]]</f>
        <v>327.06893198734156</v>
      </c>
      <c r="S21" s="209">
        <f>(Tabela2[[#This Row],[V_Def]]+Tabela2[[#This Row],[V_Off]])/2</f>
        <v>343.67140866883005</v>
      </c>
      <c r="T21" s="209">
        <f>472.09/Tabela2[[#This Row],[!ŚREDNIA]]</f>
        <v>1.3736667877859956</v>
      </c>
      <c r="U21" s="209">
        <f>Tabela2[[#This Row],[VWO]]+Tabela2[[#This Row],[VWD]]</f>
        <v>63.428122270742364</v>
      </c>
      <c r="V21" s="209">
        <f>Tabela2[[#This Row],[Suma VW]]*Tabela2[[#This Row],[Odchyłka]]</f>
        <v>87.129104974948035</v>
      </c>
      <c r="W21" s="209">
        <f>Tabela2[[#This Row],[Suma*Odchyłka]]/2*1.17</f>
        <v>50.970526410344597</v>
      </c>
      <c r="X21" s="209">
        <f>15000/Tabela2[[#This Row],[Kolumna2]]/27.17</f>
        <v>10.831347806835177</v>
      </c>
      <c r="Y21" s="165">
        <f>Tabela2[[#This Row],[!ŚREDNIA]]/MAX(Tabela2[!ŚREDNIA])</f>
        <v>7.2817512131388359E-2</v>
      </c>
      <c r="Z21" s="176">
        <f>Tabela2[[#This Row],[VWO]]/Tabela2[[#This Row],[V_Off]]*1000</f>
        <v>54.8471615720524</v>
      </c>
      <c r="AA21" s="176">
        <f>Tabela2[[#This Row],[VWD]]/Tabela2[[#This Row],[V_Def]]*1000</f>
        <v>133.51351351351352</v>
      </c>
      <c r="AB21" s="176">
        <f>1/(AVERAGE((Tabela2[[#This Row],[Damage max]],Tabela2[[#This Row],[Damage min]]))*(1+(Tabela2[[#This Row],[Attack]]-$H$9)*IF(Tabela2[[#This Row],[Attack]]-$H$9 = 0, 1, IF(Tabela2[[#This Row],[Attack]]-$H$9 &gt; 0,$F$4,$I$4)))/$F$9)</f>
        <v>38.771712158808931</v>
      </c>
      <c r="AC21" s="176">
        <f>(AVERAGE($I$9,$J$9))*(1+(($G$9-Tabela2[[#This Row],[Defence]])*IF($G$9-Tabela2[[#This Row],[Defence]] = 0, 1, IF($G$9-Tabela2[[#This Row],[Defence]] &gt; 0, $F$4,$I$4))))/Tabela2[[#This Row],[Health]]</f>
        <v>3.4</v>
      </c>
      <c r="AD21" s="177">
        <f>INT(SQRT(((Tabela2[[#This Row],[VWO]])*Tabela2[[#This Row],[VWD]])))</f>
        <v>29</v>
      </c>
      <c r="AE21" s="176">
        <f>Tabela2[[#This Row],[VWD]]/Tabela2[[#This Row],[VWO]]</f>
        <v>2.2099252161306859</v>
      </c>
      <c r="AF21" s="178">
        <f>Tabela2[[#This Row],[VOB]]/Tabela2[[#This Row],[VDB]]</f>
        <v>11.403444752590863</v>
      </c>
      <c r="AG21" s="176">
        <f>SUM(Tabela2[[#This Row],[Cena_Atak]:[Cena_Obrona]])</f>
        <v>188.3606750855659</v>
      </c>
      <c r="AH21" s="176" t="e">
        <f>$AE$7/Tabela2[[#This Row],[Kolumna5]]</f>
        <v>#DIV/0!</v>
      </c>
      <c r="AI21" s="165"/>
    </row>
    <row r="22" spans="1:35" s="145" customFormat="1" ht="15.75" customHeight="1" x14ac:dyDescent="0.25">
      <c r="A22" s="142" t="s">
        <v>191</v>
      </c>
      <c r="B22" s="142"/>
      <c r="C22" s="142"/>
      <c r="D22" s="148" t="s">
        <v>221</v>
      </c>
      <c r="E22" s="142"/>
      <c r="F22" s="149">
        <v>53</v>
      </c>
      <c r="G22" s="149">
        <v>13</v>
      </c>
      <c r="H22" s="149">
        <v>10</v>
      </c>
      <c r="I22" s="149">
        <v>11</v>
      </c>
      <c r="J22" s="149">
        <v>11</v>
      </c>
      <c r="K22" s="224">
        <f>Tabela2[[#This Row],[Kolumna1]]*Tabela2[[#This Row],[Odchyłka]]</f>
        <v>12.268807281048844</v>
      </c>
      <c r="L22" s="165">
        <f>Tabela2[[#This Row],[VWD]]/Tabela2[[#This Row],[VWO]]</f>
        <v>3.7248607042657382</v>
      </c>
      <c r="M22" s="186">
        <f>AVERAGE((Tabela2[[#This Row],[Damage max]],Tabela2[[#This Row],[Damage min]]))*(1+(Tabela2[[#This Row],[Attack]]-$H$10)*IF(Tabela2[[#This Row],[Attack]]-$H$10 = 0, 1, IF(Tabela2[[#This Row],[Attack]]-$H$10 &gt; 0, $F$4,-$I$4)))/$F$10</f>
        <v>16.28</v>
      </c>
      <c r="N22" s="189">
        <f>MAX(Tabela2[VWO])/Tabela2[[#This Row],[VWO]]</f>
        <v>9.0909090909090899</v>
      </c>
      <c r="O22" s="197">
        <f>Tabela2[[#This Row],[Health]]/(AVERAGE($I$10,$J$10)*(1+($G$10-Tabela2[[#This Row],[Defence]])*IF($G$10-Tabela2[[#This Row],[Defence]] = 0, 1, IF($G$10-Tabela2[[#This Row],[Defence]] &gt; 0, $F$4,$I$4))))</f>
        <v>60.640732265446225</v>
      </c>
      <c r="P22" s="198">
        <f>MAX(Tabela2[VWD])/Tabela2[[#This Row],[VWD]]</f>
        <v>13.129431558706887</v>
      </c>
      <c r="Q22" s="201">
        <f>Tabela2[[#This Row],[VWO]]*Tabela2[[#This Row],[VWD_R]]</f>
        <v>213.74714577574815</v>
      </c>
      <c r="R22" s="205">
        <f>Tabela2[[#This Row],[VWO_R]]*Tabela2[[#This Row],[VWD]]</f>
        <v>551.27938423132923</v>
      </c>
      <c r="S22" s="209">
        <f>(Tabela2[[#This Row],[V_Def]]+Tabela2[[#This Row],[V_Off]])/2</f>
        <v>382.51326500353866</v>
      </c>
      <c r="T22" s="209">
        <f>472.09/Tabela2[[#This Row],[!ŚREDNIA]]</f>
        <v>1.2341794211911385</v>
      </c>
      <c r="U22" s="209">
        <f>Tabela2[[#This Row],[VWO]]+Tabela2[[#This Row],[VWD]]</f>
        <v>76.920732265446219</v>
      </c>
      <c r="V22" s="209">
        <f>Tabela2[[#This Row],[Suma VW]]*Tabela2[[#This Row],[Odchyłka]]</f>
        <v>94.933984824966956</v>
      </c>
      <c r="W22" s="209">
        <f>Tabela2[[#This Row],[Suma*Odchyłka]]/2*1.17</f>
        <v>55.536381122605668</v>
      </c>
      <c r="X22" s="209">
        <f>15000/Tabela2[[#This Row],[Kolumna2]]/27.17</f>
        <v>9.9408619771085629</v>
      </c>
      <c r="Y22" s="165">
        <f>Tabela2[[#This Row],[!ŚREDNIA]]/MAX(Tabela2[!ŚREDNIA])</f>
        <v>8.1047371449082625E-2</v>
      </c>
      <c r="Z22" s="176">
        <f>Tabela2[[#This Row],[VWO]]/Tabela2[[#This Row],[V_Off]]*1000</f>
        <v>76.164759725400444</v>
      </c>
      <c r="AA22" s="176">
        <f>Tabela2[[#This Row],[VWD]]/Tabela2[[#This Row],[V_Def]]*1000</f>
        <v>110.00000000000001</v>
      </c>
      <c r="AB22" s="176">
        <f>1/(AVERAGE((Tabela2[[#This Row],[Damage max]],Tabela2[[#This Row],[Damage min]]))*(1+(Tabela2[[#This Row],[Attack]]-$H$9)*IF(Tabela2[[#This Row],[Attack]]-$H$9 = 0, 1, IF(Tabela2[[#This Row],[Attack]]-$H$9 &gt; 0,$F$4,$I$4)))/$F$9)</f>
        <v>47.15201810637496</v>
      </c>
      <c r="AC22" s="176">
        <f>(AVERAGE($I$9,$J$9))*(1+(($G$9-Tabela2[[#This Row],[Defence]])*IF($G$9-Tabela2[[#This Row],[Defence]] = 0, 1, IF($G$9-Tabela2[[#This Row],[Defence]] &gt; 0, $F$4,$I$4))))/Tabela2[[#This Row],[Health]]</f>
        <v>2.4528301886792452</v>
      </c>
      <c r="AD22" s="177">
        <f>INT(SQRT(((Tabela2[[#This Row],[VWO]])*Tabela2[[#This Row],[VWD]])))</f>
        <v>31</v>
      </c>
      <c r="AE22" s="176">
        <f>Tabela2[[#This Row],[VWD]]/Tabela2[[#This Row],[VWO]]</f>
        <v>3.7248607042657382</v>
      </c>
      <c r="AF22" s="178">
        <f>Tabela2[[#This Row],[VOB]]/Tabela2[[#This Row],[VDB]]</f>
        <v>19.223515074137485</v>
      </c>
      <c r="AG22" s="176">
        <f>SUM(Tabela2[[#This Row],[Cena_Atak]:[Cena_Obrona]])</f>
        <v>186.16475972540047</v>
      </c>
      <c r="AH22" s="176" t="e">
        <f>$AE$7/Tabela2[[#This Row],[Kolumna5]]</f>
        <v>#DIV/0!</v>
      </c>
      <c r="AI22" s="165"/>
    </row>
    <row r="23" spans="1:35" x14ac:dyDescent="0.25">
      <c r="A23" s="136" t="s">
        <v>187</v>
      </c>
      <c r="B23" s="218"/>
      <c r="C23" s="218"/>
      <c r="D23" s="136" t="s">
        <v>221</v>
      </c>
      <c r="E23" s="137"/>
      <c r="F23" s="137">
        <v>125</v>
      </c>
      <c r="G23" s="137">
        <v>25</v>
      </c>
      <c r="H23" s="137">
        <v>25</v>
      </c>
      <c r="I23" s="137">
        <v>25</v>
      </c>
      <c r="J23" s="137">
        <v>25</v>
      </c>
      <c r="K23" s="225">
        <f>Tabela2[[#This Row],[Kolumna1]]*Tabela2[[#This Row],[Odchyłka]]</f>
        <v>3.9777182676619431</v>
      </c>
      <c r="L23" s="215">
        <f>Tabela2[[#This Row],[VWD]]/Tabela2[[#This Row],[VWO]]</f>
        <v>3.8418982050651591</v>
      </c>
      <c r="M23" s="216">
        <f>AVERAGE((Tabela2[[#This Row],[Damage max]],Tabela2[[#This Row],[Damage min]]))*(1+(Tabela2[[#This Row],[Attack]]-$H$10)*IF(Tabela2[[#This Row],[Attack]]-$H$10 = 0, 1, IF(Tabela2[[#This Row],[Attack]]-$H$10 &gt; 0, $F$4,-$I$4)))/$F$10</f>
        <v>49</v>
      </c>
      <c r="N23" s="189">
        <f>MAX(Tabela2[VWO])/Tabela2[[#This Row],[VWO]]</f>
        <v>3.0204081632653059</v>
      </c>
      <c r="O23" s="197">
        <f>Tabela2[[#This Row],[Health]]/(AVERAGE($I$10,$J$10)*(1+($G$10-Tabela2[[#This Row],[Defence]])*IF($G$10-Tabela2[[#This Row],[Defence]] = 0, 1, IF($G$10-Tabela2[[#This Row],[Defence]] &gt; 0, $F$4,$I$4))))</f>
        <v>188.2530120481928</v>
      </c>
      <c r="P23" s="198">
        <f>MAX(Tabela2[VWD])/Tabela2[[#This Row],[VWD]]</f>
        <v>4.2292993630573248</v>
      </c>
      <c r="Q23" s="209">
        <f>Tabela2[[#This Row],[VWO]]*Tabela2[[#This Row],[VWD_R]]</f>
        <v>207.23566878980893</v>
      </c>
      <c r="R23" s="217">
        <f>Tabela2[[#This Row],[VWO_R]]*Tabela2[[#This Row],[VWD]]</f>
        <v>568.60093434964358</v>
      </c>
      <c r="S23" s="209">
        <f>(Tabela2[[#This Row],[V_Def]]+Tabela2[[#This Row],[V_Off]])/2</f>
        <v>387.91830156972628</v>
      </c>
      <c r="T23" s="209">
        <f>472.09/Tabela2[[#This Row],[!ŚREDNIA]]</f>
        <v>1.2169830556838119</v>
      </c>
      <c r="U23" s="209">
        <f>Tabela2[[#This Row],[VWO]]+Tabela2[[#This Row],[VWD]]</f>
        <v>237.2530120481928</v>
      </c>
      <c r="V23" s="209">
        <f>Tabela2[[#This Row],[Suma VW]]*Tabela2[[#This Row],[Odchyłka]]</f>
        <v>288.7328955725979</v>
      </c>
      <c r="W23" s="209">
        <f>Tabela2[[#This Row],[Suma*Odchyłka]]/2*1.17</f>
        <v>168.90874390996976</v>
      </c>
      <c r="X23" s="209">
        <f>15000/Tabela2[[#This Row],[Kolumna2]]/27.17</f>
        <v>3.2685075187237498</v>
      </c>
      <c r="Y23" s="219">
        <f>Tabela2[[#This Row],[!ŚREDNIA]]/MAX(Tabela2[!ŚREDNIA])</f>
        <v>8.2192597108829701E-2</v>
      </c>
      <c r="Z23" s="176">
        <f>Tabela2[[#This Row],[VWO]]/Tabela2[[#This Row],[V_Off]]*1000</f>
        <v>236.44578313253012</v>
      </c>
      <c r="AA23" s="176">
        <f>Tabela2[[#This Row],[VWD]]/Tabela2[[#This Row],[V_Def]]*1000</f>
        <v>331.08108108108109</v>
      </c>
      <c r="AB23" s="144">
        <f>1/(AVERAGE((Tabela2[[#This Row],[Damage max]],Tabela2[[#This Row],[Damage min]]))*(1+(Tabela2[[#This Row],[Attack]]-$H$9)*IF(Tabela2[[#This Row],[Attack]]-$H$9 = 0, 1, IF(Tabela2[[#This Row],[Attack]]-$H$9 &gt; 0,$F$4,$I$4)))/$F$9)</f>
        <v>15.384615384615387</v>
      </c>
      <c r="AC23" s="144">
        <f>(AVERAGE($I$9,$J$9))*(1+(($G$9-Tabela2[[#This Row],[Defence]])*IF($G$9-Tabela2[[#This Row],[Defence]] = 0, 1, IF($G$9-Tabela2[[#This Row],[Defence]] &gt; 0, $F$4,$I$4))))/Tabela2[[#This Row],[Health]]</f>
        <v>0.8</v>
      </c>
      <c r="AD23" s="177">
        <f>INT(SQRT(((Tabela2[[#This Row],[VWO]])*Tabela2[[#This Row],[VWD]])))</f>
        <v>96</v>
      </c>
      <c r="AE23" s="176">
        <f>Tabela2[[#This Row],[VWD]]/Tabela2[[#This Row],[VWO]]</f>
        <v>3.8418982050651591</v>
      </c>
      <c r="AF23" s="219">
        <f>Tabela2[[#This Row],[VOB]]/Tabela2[[#This Row],[VDB]]</f>
        <v>19.230769230769234</v>
      </c>
      <c r="AG23" s="176">
        <f>SUM(Tabela2[[#This Row],[Cena_Atak]:[Cena_Obrona]])</f>
        <v>567.52686421361125</v>
      </c>
      <c r="AH23" s="176" t="e">
        <f>$AE$7/Tabela2[[#This Row],[Kolumna5]]</f>
        <v>#DIV/0!</v>
      </c>
      <c r="AI23" s="219"/>
    </row>
    <row r="24" spans="1:35" s="236" customFormat="1" x14ac:dyDescent="0.25">
      <c r="A24" s="227" t="s">
        <v>188</v>
      </c>
      <c r="B24" s="228"/>
      <c r="C24" s="228"/>
      <c r="D24" s="227" t="s">
        <v>221</v>
      </c>
      <c r="E24" s="229"/>
      <c r="F24" s="229">
        <v>100</v>
      </c>
      <c r="G24" s="229">
        <v>1</v>
      </c>
      <c r="H24" s="229">
        <v>50</v>
      </c>
      <c r="I24" s="229">
        <v>5</v>
      </c>
      <c r="J24" s="229">
        <v>5</v>
      </c>
      <c r="K24" s="230">
        <f>Tabela2[[#This Row],[Kolumna1]]*Tabela2[[#This Row],[Odchyłka]]</f>
        <v>2.9174938563130977</v>
      </c>
      <c r="L24" s="231">
        <f>Tabela2[[#This Row],[VWD]]/Tabela2[[#This Row],[VWO]]</f>
        <v>63.694267515923585</v>
      </c>
      <c r="M24" s="232">
        <f>AVERAGE((Tabela2[[#This Row],[Damage max]],Tabela2[[#This Row],[Damage min]]))*(1+(Tabela2[[#This Row],[Attack]]-$H$10)*IF(Tabela2[[#This Row],[Attack]]-$H$10 = 0, 1, IF(Tabela2[[#This Row],[Attack]]-$H$10 &gt; 0, $F$4,-$I$4)))/$F$10</f>
        <v>5</v>
      </c>
      <c r="N24" s="233">
        <f>MAX(Tabela2[VWO])/Tabela2[[#This Row],[VWO]]</f>
        <v>29.6</v>
      </c>
      <c r="O24" s="233">
        <f>Tabela2[[#This Row],[Health]]/(AVERAGE($I$10,$J$10)*(1+($G$10-Tabela2[[#This Row],[Defence]])*IF($G$10-Tabela2[[#This Row],[Defence]] = 0, 1, IF($G$10-Tabela2[[#This Row],[Defence]] &gt; 0, $F$4,$I$4))))</f>
        <v>318.47133757961791</v>
      </c>
      <c r="P24" s="233">
        <f>MAX(Tabela2[VWD])/Tabela2[[#This Row],[VWD]]</f>
        <v>2.4999999999999996</v>
      </c>
      <c r="Q24" s="230">
        <f>Tabela2[[#This Row],[VWO]]*Tabela2[[#This Row],[VWD_R]]</f>
        <v>12.499999999999998</v>
      </c>
      <c r="R24" s="234">
        <f>Tabela2[[#This Row],[VWO_R]]*Tabela2[[#This Row],[VWD]]</f>
        <v>9426.7515923566898</v>
      </c>
      <c r="S24" s="233">
        <f>(Tabela2[[#This Row],[V_Def]]+Tabela2[[#This Row],[V_Off]])/2</f>
        <v>4719.6257961783449</v>
      </c>
      <c r="T24" s="233">
        <f>472.09/Tabela2[[#This Row],[!ŚREDNIA]]</f>
        <v>0.10002699798409201</v>
      </c>
      <c r="U24" s="233">
        <f>Tabela2[[#This Row],[VWO]]+Tabela2[[#This Row],[VWD]]</f>
        <v>323.47133757961791</v>
      </c>
      <c r="V24" s="233">
        <f>Tabela2[[#This Row],[Suma VW]]*Tabela2[[#This Row],[Odchyłka]]</f>
        <v>32.355866831987989</v>
      </c>
      <c r="W24" s="233">
        <f>Tabela2[[#This Row],[Suma*Odchyłka]]/2*1.17</f>
        <v>18.928182096712973</v>
      </c>
      <c r="X24" s="233">
        <f>15000/Tabela2[[#This Row],[Kolumna2]]/27.17</f>
        <v>29.167064043820318</v>
      </c>
      <c r="Y24" s="230">
        <f>Tabela2[[#This Row],[!ŚREDNIA]]/MAX(Tabela2[!ŚREDNIA])</f>
        <v>1</v>
      </c>
      <c r="Z24" s="232">
        <f>Tabela2[[#This Row],[VWO]]/Tabela2[[#This Row],[V_Off]]*1000</f>
        <v>400.00000000000006</v>
      </c>
      <c r="AA24" s="232">
        <f>Tabela2[[#This Row],[VWD]]/Tabela2[[#This Row],[V_Def]]*1000</f>
        <v>33.783783783783782</v>
      </c>
      <c r="AB24" s="232">
        <f>1/(AVERAGE((Tabela2[[#This Row],[Damage max]],Tabela2[[#This Row],[Damage min]]))*(1+(Tabela2[[#This Row],[Attack]]-$H$9)*IF(Tabela2[[#This Row],[Attack]]-$H$9 = 0, 1, IF(Tabela2[[#This Row],[Attack]]-$H$9 &gt; 0,$F$4,$I$4)))/$F$9)</f>
        <v>159.23566878980893</v>
      </c>
      <c r="AC24" s="232">
        <f>(AVERAGE($I$9,$J$9))*(1+(($G$9-Tabela2[[#This Row],[Defence]])*IF($G$9-Tabela2[[#This Row],[Defence]] = 0, 1, IF($G$9-Tabela2[[#This Row],[Defence]] &gt; 0, $F$4,$I$4))))/Tabela2[[#This Row],[Health]]</f>
        <v>0.5</v>
      </c>
      <c r="AD24" s="235">
        <f>INT(SQRT(((Tabela2[[#This Row],[VWO]])*Tabela2[[#This Row],[VWD]])))</f>
        <v>39</v>
      </c>
      <c r="AE24" s="232">
        <f>Tabela2[[#This Row],[VWD]]/Tabela2[[#This Row],[VWO]]</f>
        <v>63.694267515923585</v>
      </c>
      <c r="AF24" s="230">
        <f>Tabela2[[#This Row],[VOB]]/Tabela2[[#This Row],[VDB]]</f>
        <v>318.47133757961785</v>
      </c>
      <c r="AG24" s="232">
        <f>SUM(Tabela2[[#This Row],[Cena_Atak]:[Cena_Obrona]])</f>
        <v>433.78378378378386</v>
      </c>
      <c r="AH24" s="232" t="e">
        <f>$AE$7/Tabela2[[#This Row],[Kolumna5]]</f>
        <v>#DIV/0!</v>
      </c>
      <c r="AI24" s="230"/>
    </row>
    <row r="25" spans="1:35" x14ac:dyDescent="0.25">
      <c r="A25" s="136" t="s">
        <v>192</v>
      </c>
      <c r="B25" s="218"/>
      <c r="C25" s="218"/>
      <c r="D25" s="136" t="s">
        <v>221</v>
      </c>
      <c r="E25" s="137"/>
      <c r="F25" s="137">
        <v>40</v>
      </c>
      <c r="G25" s="137">
        <v>21</v>
      </c>
      <c r="H25" s="137">
        <v>25</v>
      </c>
      <c r="I25" s="137">
        <v>9</v>
      </c>
      <c r="J25" s="137">
        <v>9</v>
      </c>
      <c r="K25" s="225">
        <f>Tabela2[[#This Row],[Kolumna1]]*Tabela2[[#This Row],[Odchyłka]]</f>
        <v>12.345810315354626</v>
      </c>
      <c r="L25" s="215">
        <f>Tabela2[[#This Row],[VWD]]/Tabela2[[#This Row],[VWO]]</f>
        <v>3.7185780157667714</v>
      </c>
      <c r="M25" s="216">
        <f>AVERAGE((Tabela2[[#This Row],[Damage max]],Tabela2[[#This Row],[Damage min]]))*(1+(Tabela2[[#This Row],[Attack]]-$H$10)*IF(Tabela2[[#This Row],[Attack]]-$H$10 = 0, 1, IF(Tabela2[[#This Row],[Attack]]-$H$10 &gt; 0, $F$4,-$I$4)))/$F$10</f>
        <v>16.2</v>
      </c>
      <c r="N25" s="189">
        <f>MAX(Tabela2[VWO])/Tabela2[[#This Row],[VWO]]</f>
        <v>9.1358024691358022</v>
      </c>
      <c r="O25" s="197">
        <f>Tabela2[[#This Row],[Health]]/(AVERAGE($I$10,$J$10)*(1+($G$10-Tabela2[[#This Row],[Defence]])*IF($G$10-Tabela2[[#This Row],[Defence]] = 0, 1, IF($G$10-Tabela2[[#This Row],[Defence]] &gt; 0, $F$4,$I$4))))</f>
        <v>60.240963855421697</v>
      </c>
      <c r="P25" s="198">
        <f>MAX(Tabela2[VWD])/Tabela2[[#This Row],[VWD]]</f>
        <v>13.216560509554139</v>
      </c>
      <c r="Q25" s="219">
        <f>Tabela2[[#This Row],[VWO]]*Tabela2[[#This Row],[VWD_R]]</f>
        <v>214.10828025477704</v>
      </c>
      <c r="R25" s="226">
        <f>Tabela2[[#This Row],[VWO_R]]*Tabela2[[#This Row],[VWD]]</f>
        <v>550.34954633348218</v>
      </c>
      <c r="S25" s="209">
        <f>(Tabela2[[#This Row],[V_Def]]+Tabela2[[#This Row],[V_Off]])/2</f>
        <v>382.2289132941296</v>
      </c>
      <c r="T25" s="209">
        <f>472.09/Tabela2[[#This Row],[!ŚREDNIA]]</f>
        <v>1.2350975647850093</v>
      </c>
      <c r="U25" s="209">
        <f>Tabela2[[#This Row],[VWO]]+Tabela2[[#This Row],[VWD]]</f>
        <v>76.4409638554217</v>
      </c>
      <c r="V25" s="209">
        <f>Tabela2[[#This Row],[Suma VW]]*Tabela2[[#This Row],[Odchyłka]]</f>
        <v>94.412048307650252</v>
      </c>
      <c r="W25" s="209">
        <f>Tabela2[[#This Row],[Suma*Odchyłka]]/2*1.17</f>
        <v>55.231048259975395</v>
      </c>
      <c r="X25" s="209">
        <f>15000/Tabela2[[#This Row],[Kolumna2]]/27.17</f>
        <v>9.9958178749252369</v>
      </c>
      <c r="Y25" s="219">
        <f>Tabela2[[#This Row],[!ŚREDNIA]]/MAX(Tabela2[!ŚREDNIA])</f>
        <v>8.0987122666300038E-2</v>
      </c>
      <c r="Z25" s="176">
        <f>Tabela2[[#This Row],[VWO]]/Tabela2[[#This Row],[V_Off]]*1000</f>
        <v>75.662650602409641</v>
      </c>
      <c r="AA25" s="176">
        <f>Tabela2[[#This Row],[VWD]]/Tabela2[[#This Row],[V_Def]]*1000</f>
        <v>109.45945945945945</v>
      </c>
      <c r="AB25" s="144">
        <f>1/(AVERAGE((Tabela2[[#This Row],[Damage max]],Tabela2[[#This Row],[Damage min]]))*(1+(Tabela2[[#This Row],[Attack]]-$H$9)*IF(Tabela2[[#This Row],[Attack]]-$H$9 = 0, 1, IF(Tabela2[[#This Row],[Attack]]-$H$9 &gt; 0,$F$4,$I$4)))/$F$9)</f>
        <v>46.763935652824543</v>
      </c>
      <c r="AC25" s="144">
        <f>(AVERAGE($I$9,$J$9))*(1+(($G$9-Tabela2[[#This Row],[Defence]])*IF($G$9-Tabela2[[#This Row],[Defence]] = 0, 1, IF($G$9-Tabela2[[#This Row],[Defence]] &gt; 0, $F$4,$I$4))))/Tabela2[[#This Row],[Health]]</f>
        <v>2.5</v>
      </c>
      <c r="AD25" s="177">
        <f>INT(SQRT(((Tabela2[[#This Row],[VWO]])*Tabela2[[#This Row],[VWD]])))</f>
        <v>31</v>
      </c>
      <c r="AE25" s="176">
        <f>Tabela2[[#This Row],[VWD]]/Tabela2[[#This Row],[VWO]]</f>
        <v>3.7185780157667714</v>
      </c>
      <c r="AF25" s="219">
        <f>Tabela2[[#This Row],[VOB]]/Tabela2[[#This Row],[VDB]]</f>
        <v>18.705574261129819</v>
      </c>
      <c r="AG25" s="176">
        <f>SUM(Tabela2[[#This Row],[Cena_Atak]:[Cena_Obrona]])</f>
        <v>185.12211006186908</v>
      </c>
      <c r="AH25" s="176" t="e">
        <f>$AE$7/Tabela2[[#This Row],[Kolumna5]]</f>
        <v>#DIV/0!</v>
      </c>
      <c r="AI25" s="219"/>
    </row>
    <row r="26" spans="1:35" x14ac:dyDescent="0.25">
      <c r="A26" s="135"/>
      <c r="B26" s="135"/>
      <c r="C26" s="135"/>
      <c r="D26" s="135"/>
      <c r="E26" s="135"/>
      <c r="F26" s="135"/>
      <c r="G26" s="135"/>
      <c r="H26" s="135"/>
      <c r="I26" s="135"/>
      <c r="J26" s="135"/>
    </row>
    <row r="27" spans="1:35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</row>
    <row r="28" spans="1:35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  <row r="29" spans="1:35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</row>
    <row r="30" spans="1:35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</row>
    <row r="31" spans="1:35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</row>
    <row r="32" spans="1:35" x14ac:dyDescent="0.25">
      <c r="A32" s="135"/>
      <c r="B32" s="135"/>
      <c r="C32" s="135"/>
      <c r="D32" s="135"/>
      <c r="E32" s="138"/>
      <c r="F32" s="138"/>
      <c r="G32" s="138"/>
      <c r="H32" s="138"/>
      <c r="I32" s="138"/>
      <c r="J32" s="138"/>
    </row>
    <row r="33" spans="1:10" x14ac:dyDescent="0.25">
      <c r="A33" s="135"/>
      <c r="B33" s="135"/>
      <c r="C33" s="135"/>
      <c r="D33" s="135"/>
      <c r="E33" s="138"/>
      <c r="F33" s="138"/>
      <c r="G33" s="138"/>
      <c r="H33" s="138"/>
      <c r="I33" s="138"/>
      <c r="J33" s="138"/>
    </row>
    <row r="34" spans="1:10" x14ac:dyDescent="0.25">
      <c r="A34" s="135"/>
      <c r="B34" s="135"/>
      <c r="C34" s="135"/>
      <c r="D34" s="135"/>
      <c r="E34" s="135"/>
      <c r="F34" s="138"/>
      <c r="G34" s="138"/>
      <c r="H34" s="138"/>
      <c r="I34" s="138"/>
      <c r="J34" s="138"/>
    </row>
    <row r="35" spans="1:10" x14ac:dyDescent="0.25">
      <c r="A35" s="135"/>
      <c r="B35" s="135"/>
      <c r="C35" s="135"/>
      <c r="D35" s="135"/>
      <c r="E35" s="135"/>
      <c r="F35" s="138"/>
      <c r="G35" s="138"/>
      <c r="H35" s="138"/>
      <c r="I35" s="138"/>
      <c r="J35" s="138"/>
    </row>
    <row r="36" spans="1:10" x14ac:dyDescent="0.25">
      <c r="A36" s="135"/>
      <c r="B36" s="135"/>
      <c r="C36" s="135"/>
      <c r="D36" s="135"/>
      <c r="E36" s="135"/>
      <c r="F36" s="138"/>
      <c r="G36" s="138"/>
      <c r="H36" s="138"/>
      <c r="I36" s="138"/>
      <c r="J36" s="138"/>
    </row>
    <row r="37" spans="1:10" x14ac:dyDescent="0.25">
      <c r="A37" s="135"/>
      <c r="B37" s="135"/>
      <c r="C37" s="135"/>
      <c r="D37" s="135"/>
      <c r="E37" s="135"/>
      <c r="F37" s="138"/>
      <c r="G37" s="138"/>
      <c r="H37" s="138"/>
      <c r="I37" s="138"/>
      <c r="J37" s="138"/>
    </row>
    <row r="38" spans="1:10" x14ac:dyDescent="0.25">
      <c r="A38" s="135"/>
      <c r="B38" s="135"/>
      <c r="C38" s="135"/>
      <c r="D38" s="135"/>
      <c r="E38" s="135"/>
      <c r="F38" s="138"/>
      <c r="G38" s="138"/>
      <c r="H38" s="138"/>
      <c r="I38" s="138"/>
      <c r="J38" s="138"/>
    </row>
    <row r="39" spans="1:10" x14ac:dyDescent="0.25">
      <c r="A39" s="135"/>
      <c r="B39" s="135"/>
      <c r="C39" s="135"/>
      <c r="D39" s="135"/>
      <c r="E39" s="135"/>
      <c r="F39" s="138"/>
      <c r="G39" s="138"/>
      <c r="H39" s="138"/>
      <c r="I39" s="138"/>
      <c r="J39" s="138"/>
    </row>
  </sheetData>
  <mergeCells count="2">
    <mergeCell ref="E3:G3"/>
    <mergeCell ref="H3:J3"/>
  </mergeCells>
  <conditionalFormatting sqref="D1:D1048576">
    <cfRule type="expression" dxfId="17" priority="6">
      <formula>"Toster"</formula>
    </cfRule>
    <cfRule type="expression" dxfId="16" priority="5">
      <formula>$D$9</formula>
    </cfRule>
    <cfRule type="expression" dxfId="15" priority="4">
      <formula>Toster</formula>
    </cfRule>
    <cfRule type="containsText" dxfId="14" priority="3" operator="containsText" text="Toster">
      <formula>NOT(ISERROR(SEARCH("Toster",D1)))</formula>
    </cfRule>
    <cfRule type="containsText" dxfId="13" priority="2" operator="containsText" text="Barbarians">
      <formula>NOT(ISERROR(SEARCH("Barbarians",D1)))</formula>
    </cfRule>
    <cfRule type="containsText" dxfId="12" priority="1" operator="containsText" text="Lizardman">
      <formula>NOT(ISERROR(SEARCH("Lizardman",D1)))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B1" workbookViewId="0">
      <pane ySplit="1" topLeftCell="A105" activePane="bottomLeft" state="frozen"/>
      <selection activeCell="B1" sqref="B1"/>
      <selection pane="bottomLeft" activeCell="T127" sqref="T127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P12" sqref="P12"/>
    </sheetView>
  </sheetViews>
  <sheetFormatPr defaultRowHeight="15" x14ac:dyDescent="0.25"/>
  <cols>
    <col min="1" max="1" width="6" style="130" customWidth="1"/>
    <col min="2" max="2" width="10.7109375" customWidth="1"/>
    <col min="3" max="3" width="5.7109375" bestFit="1" customWidth="1"/>
    <col min="4" max="5" width="4.5703125" bestFit="1" customWidth="1"/>
    <col min="6" max="6" width="3.85546875" bestFit="1" customWidth="1"/>
    <col min="7" max="7" width="4.28515625" bestFit="1" customWidth="1"/>
    <col min="8" max="8" width="6.28515625" customWidth="1"/>
    <col min="9" max="9" width="7.42578125" bestFit="1" customWidth="1"/>
    <col min="10" max="10" width="7.140625" bestFit="1" customWidth="1"/>
    <col min="11" max="13" width="14.7109375" bestFit="1" customWidth="1"/>
    <col min="14" max="14" width="10.7109375" customWidth="1"/>
    <col min="15" max="15" width="15.85546875" bestFit="1" customWidth="1"/>
    <col min="16" max="16" width="7.42578125" bestFit="1" customWidth="1"/>
  </cols>
  <sheetData>
    <row r="1" spans="1:15" x14ac:dyDescent="0.25">
      <c r="B1" s="129" t="s">
        <v>1</v>
      </c>
      <c r="C1" s="131" t="s">
        <v>179</v>
      </c>
      <c r="D1" s="131" t="s">
        <v>184</v>
      </c>
      <c r="E1" s="131" t="s">
        <v>185</v>
      </c>
      <c r="F1" s="131" t="s">
        <v>19</v>
      </c>
      <c r="G1" s="131" t="s">
        <v>18</v>
      </c>
      <c r="H1" s="131" t="s">
        <v>186</v>
      </c>
      <c r="I1" s="131" t="s">
        <v>193</v>
      </c>
      <c r="J1" s="131" t="s">
        <v>178</v>
      </c>
      <c r="K1" s="131" t="s">
        <v>180</v>
      </c>
      <c r="L1" s="131" t="s">
        <v>181</v>
      </c>
      <c r="M1" s="131" t="s">
        <v>182</v>
      </c>
      <c r="N1" s="131" t="s">
        <v>183</v>
      </c>
      <c r="O1" s="131" t="s">
        <v>69</v>
      </c>
    </row>
    <row r="2" spans="1:15" x14ac:dyDescent="0.25">
      <c r="B2" s="132" t="s">
        <v>187</v>
      </c>
      <c r="C2" s="133">
        <v>20</v>
      </c>
      <c r="D2" s="133">
        <v>20</v>
      </c>
      <c r="E2" s="133">
        <v>1</v>
      </c>
      <c r="F2" s="133">
        <v>1</v>
      </c>
      <c r="G2" s="133">
        <v>1</v>
      </c>
      <c r="H2" s="133">
        <v>10</v>
      </c>
      <c r="I2" s="133">
        <v>20</v>
      </c>
      <c r="J2" s="134">
        <v>10</v>
      </c>
      <c r="K2" s="134" t="s">
        <v>180</v>
      </c>
      <c r="L2" s="134"/>
      <c r="M2" s="134"/>
      <c r="N2" s="134"/>
      <c r="O2" s="134" t="s">
        <v>194</v>
      </c>
    </row>
    <row r="3" spans="1:15" x14ac:dyDescent="0.25">
      <c r="B3" s="132" t="s">
        <v>188</v>
      </c>
      <c r="C3" s="133">
        <v>100</v>
      </c>
      <c r="D3" s="133">
        <v>1</v>
      </c>
      <c r="E3" s="133">
        <v>50</v>
      </c>
      <c r="F3" s="133">
        <v>2</v>
      </c>
      <c r="G3" s="133">
        <v>2</v>
      </c>
      <c r="H3" s="133">
        <v>1</v>
      </c>
      <c r="I3" s="133">
        <v>2</v>
      </c>
      <c r="J3" s="134">
        <v>10</v>
      </c>
      <c r="K3" s="134"/>
      <c r="L3" s="134" t="s">
        <v>181</v>
      </c>
      <c r="M3" s="134"/>
      <c r="N3" s="134"/>
      <c r="O3" s="134" t="s">
        <v>195</v>
      </c>
    </row>
    <row r="4" spans="1:15" x14ac:dyDescent="0.25">
      <c r="B4" s="132" t="s">
        <v>189</v>
      </c>
      <c r="C4" s="133">
        <v>20</v>
      </c>
      <c r="D4" s="133">
        <v>2</v>
      </c>
      <c r="E4" s="133">
        <v>10</v>
      </c>
      <c r="F4" s="133">
        <v>4</v>
      </c>
      <c r="G4" s="133">
        <v>5</v>
      </c>
      <c r="H4" s="133">
        <v>3</v>
      </c>
      <c r="I4" s="133">
        <v>5</v>
      </c>
      <c r="J4" s="134">
        <v>10</v>
      </c>
      <c r="K4" s="134"/>
      <c r="L4" s="134"/>
      <c r="M4" s="134" t="s">
        <v>182</v>
      </c>
      <c r="N4" s="134"/>
      <c r="O4" s="134" t="s">
        <v>196</v>
      </c>
    </row>
    <row r="5" spans="1:15" x14ac:dyDescent="0.25">
      <c r="A5" s="130" t="s">
        <v>150</v>
      </c>
      <c r="B5" s="132" t="s">
        <v>190</v>
      </c>
      <c r="C5" s="133">
        <v>40</v>
      </c>
      <c r="D5" s="133">
        <v>14</v>
      </c>
      <c r="E5" s="133">
        <v>7</v>
      </c>
      <c r="F5" s="133">
        <v>7</v>
      </c>
      <c r="G5" s="133">
        <v>7</v>
      </c>
      <c r="H5" s="133">
        <v>10</v>
      </c>
      <c r="I5" s="133">
        <v>15</v>
      </c>
      <c r="J5" s="134">
        <v>225</v>
      </c>
      <c r="K5" s="134"/>
      <c r="L5" s="134"/>
      <c r="M5" s="134"/>
      <c r="N5" s="134"/>
      <c r="O5" s="134" t="s">
        <v>197</v>
      </c>
    </row>
    <row r="6" spans="1:15" x14ac:dyDescent="0.25">
      <c r="A6" s="130" t="s">
        <v>205</v>
      </c>
      <c r="B6" s="132" t="s">
        <v>191</v>
      </c>
      <c r="C6" s="133">
        <v>40</v>
      </c>
      <c r="D6" s="133">
        <v>13</v>
      </c>
      <c r="E6" s="133">
        <v>10</v>
      </c>
      <c r="F6" s="133">
        <v>7</v>
      </c>
      <c r="G6" s="133">
        <v>7</v>
      </c>
      <c r="H6" s="133">
        <v>11</v>
      </c>
      <c r="I6" s="133">
        <v>15</v>
      </c>
      <c r="J6" s="134">
        <v>300</v>
      </c>
      <c r="K6" s="134" t="s">
        <v>200</v>
      </c>
      <c r="L6" s="134" t="s">
        <v>201</v>
      </c>
      <c r="M6" s="134" t="s">
        <v>202</v>
      </c>
      <c r="N6" s="134"/>
      <c r="O6" s="134" t="s">
        <v>198</v>
      </c>
    </row>
    <row r="7" spans="1:15" x14ac:dyDescent="0.25">
      <c r="A7" s="130" t="s">
        <v>206</v>
      </c>
      <c r="B7" s="132" t="s">
        <v>192</v>
      </c>
      <c r="C7" s="133">
        <v>5</v>
      </c>
      <c r="D7" s="133">
        <v>4</v>
      </c>
      <c r="E7" s="133">
        <v>3</v>
      </c>
      <c r="F7" s="133">
        <v>4</v>
      </c>
      <c r="G7" s="133">
        <v>4</v>
      </c>
      <c r="H7" s="133">
        <v>1</v>
      </c>
      <c r="I7" s="133">
        <v>3</v>
      </c>
      <c r="J7" s="134">
        <v>25</v>
      </c>
      <c r="K7" s="134" t="s">
        <v>203</v>
      </c>
      <c r="L7" s="134" t="s">
        <v>204</v>
      </c>
      <c r="M7" s="134" t="s">
        <v>204</v>
      </c>
      <c r="N7" s="134"/>
      <c r="O7" s="134" t="s">
        <v>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Toster_Arena</vt:lpstr>
      <vt:lpstr>Heroes 3</vt:lpstr>
      <vt:lpstr>Toster_Export_xml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Piotr Musielski</cp:lastModifiedBy>
  <cp:lastPrinted>2019-08-22T16:13:22Z</cp:lastPrinted>
  <dcterms:created xsi:type="dcterms:W3CDTF">2019-08-18T04:46:42Z</dcterms:created>
  <dcterms:modified xsi:type="dcterms:W3CDTF">2019-08-24T06:50:43Z</dcterms:modified>
</cp:coreProperties>
</file>