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Wojtek\Desktop\GitHub\TArenaUnity3D\TArenaUnity3D\Assets\Resources\Data\"/>
    </mc:Choice>
  </mc:AlternateContent>
  <xr:revisionPtr revIDLastSave="0" documentId="13_ncr:1_{6164A39E-539C-476B-BD05-DB89FBF40F76}" xr6:coauthVersionLast="41" xr6:coauthVersionMax="41" xr10:uidLastSave="{00000000-0000-0000-0000-000000000000}"/>
  <bookViews>
    <workbookView minimized="1" xWindow="31815" yWindow="1215" windowWidth="17190" windowHeight="13755" xr2:uid="{00000000-000D-0000-FFFF-FFFF00000000}"/>
  </bookViews>
  <sheets>
    <sheet name="Toster_Arena" sheetId="1" r:id="rId1"/>
    <sheet name="Heroes 3" sheetId="2" r:id="rId2"/>
    <sheet name="Spelle_Export_xm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" i="1" l="1"/>
  <c r="AL12" i="1"/>
  <c r="V11" i="1"/>
  <c r="V9" i="1"/>
  <c r="V10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X24" i="1" l="1"/>
  <c r="AJ24" i="1"/>
  <c r="AK24" i="1" s="1"/>
  <c r="L24" i="1" s="1"/>
  <c r="M24" i="1" s="1"/>
  <c r="AL24" i="1" s="1"/>
  <c r="AS24" i="1"/>
  <c r="AT24" i="1"/>
  <c r="AW24" i="1"/>
  <c r="AX24" i="1"/>
  <c r="AY24" i="1"/>
  <c r="BB24" i="1"/>
  <c r="X25" i="1"/>
  <c r="AJ25" i="1"/>
  <c r="AK25" i="1" s="1"/>
  <c r="AS25" i="1"/>
  <c r="AT25" i="1"/>
  <c r="AW25" i="1"/>
  <c r="AX25" i="1"/>
  <c r="AY25" i="1"/>
  <c r="BB25" i="1"/>
  <c r="X26" i="1"/>
  <c r="AJ26" i="1"/>
  <c r="AK26" i="1" s="1"/>
  <c r="AS26" i="1"/>
  <c r="AT26" i="1"/>
  <c r="AW26" i="1"/>
  <c r="AX26" i="1"/>
  <c r="AY26" i="1"/>
  <c r="BB26" i="1"/>
  <c r="X27" i="1"/>
  <c r="AJ27" i="1"/>
  <c r="AK27" i="1" s="1"/>
  <c r="AS27" i="1"/>
  <c r="AT27" i="1"/>
  <c r="AW27" i="1"/>
  <c r="AX27" i="1"/>
  <c r="AY27" i="1"/>
  <c r="BB27" i="1"/>
  <c r="L26" i="1" l="1"/>
  <c r="AL26" i="1" s="1"/>
  <c r="L27" i="1"/>
  <c r="M27" i="1" s="1"/>
  <c r="AL27" i="1" s="1"/>
  <c r="L25" i="1"/>
  <c r="M25" i="1" s="1"/>
  <c r="AL25" i="1" s="1"/>
  <c r="V28" i="1"/>
  <c r="X28" i="1"/>
  <c r="AK28" i="1"/>
  <c r="L28" i="1" s="1"/>
  <c r="J7" i="1"/>
  <c r="K7" i="1"/>
  <c r="L7" i="1"/>
  <c r="AP7" i="1"/>
  <c r="U28" i="1" l="1"/>
  <c r="AL28" i="1"/>
  <c r="AD28" i="1"/>
  <c r="AJ9" i="1" l="1"/>
  <c r="AK9" i="1" s="1"/>
  <c r="L9" i="1" s="1"/>
  <c r="M9" i="1" s="1"/>
  <c r="AL9" i="1" s="1"/>
  <c r="AJ10" i="1"/>
  <c r="AK10" i="1" s="1"/>
  <c r="L10" i="1" s="1"/>
  <c r="M10" i="1" s="1"/>
  <c r="AL10" i="1" s="1"/>
  <c r="AJ11" i="1"/>
  <c r="AK11" i="1" s="1"/>
  <c r="L11" i="1" s="1"/>
  <c r="AJ12" i="1"/>
  <c r="AK12" i="1" s="1"/>
  <c r="L12" i="1" s="1"/>
  <c r="AJ13" i="1"/>
  <c r="AK13" i="1" s="1"/>
  <c r="L13" i="1" s="1"/>
  <c r="M13" i="1" s="1"/>
  <c r="AL13" i="1" s="1"/>
  <c r="AJ14" i="1"/>
  <c r="AK14" i="1" s="1"/>
  <c r="L14" i="1" s="1"/>
  <c r="AL14" i="1" s="1"/>
  <c r="AJ15" i="1"/>
  <c r="AK15" i="1" s="1"/>
  <c r="L15" i="1" s="1"/>
  <c r="AL15" i="1" s="1"/>
  <c r="AJ16" i="1"/>
  <c r="AK16" i="1" s="1"/>
  <c r="L16" i="1" s="1"/>
  <c r="AL16" i="1" s="1"/>
  <c r="AJ17" i="1"/>
  <c r="AK17" i="1" s="1"/>
  <c r="L17" i="1" s="1"/>
  <c r="M17" i="1" s="1"/>
  <c r="AL17" i="1" s="1"/>
  <c r="AJ18" i="1"/>
  <c r="AK18" i="1" s="1"/>
  <c r="L18" i="1" s="1"/>
  <c r="M18" i="1" s="1"/>
  <c r="AL18" i="1" s="1"/>
  <c r="AJ19" i="1"/>
  <c r="AK19" i="1" s="1"/>
  <c r="L19" i="1" s="1"/>
  <c r="M19" i="1" s="1"/>
  <c r="AL19" i="1" s="1"/>
  <c r="AJ20" i="1"/>
  <c r="AK20" i="1" s="1"/>
  <c r="L20" i="1" s="1"/>
  <c r="M20" i="1" s="1"/>
  <c r="AL20" i="1" s="1"/>
  <c r="AJ21" i="1"/>
  <c r="AK21" i="1" s="1"/>
  <c r="L21" i="1" s="1"/>
  <c r="M21" i="1" s="1"/>
  <c r="AL21" i="1" s="1"/>
  <c r="AJ22" i="1"/>
  <c r="AK22" i="1" s="1"/>
  <c r="L22" i="1" s="1"/>
  <c r="M22" i="1" s="1"/>
  <c r="AL22" i="1" s="1"/>
  <c r="AJ23" i="1"/>
  <c r="AK23" i="1" s="1"/>
  <c r="L23" i="1" s="1"/>
  <c r="M23" i="1" s="1"/>
  <c r="AL23" i="1" s="1"/>
  <c r="BB15" i="1" l="1"/>
  <c r="BB21" i="1"/>
  <c r="BB9" i="1"/>
  <c r="BB10" i="1"/>
  <c r="BB11" i="1"/>
  <c r="BB12" i="1"/>
  <c r="BB13" i="1"/>
  <c r="BB14" i="1"/>
  <c r="BB16" i="1"/>
  <c r="BB17" i="1"/>
  <c r="BB18" i="1"/>
  <c r="BB19" i="1"/>
  <c r="BB20" i="1"/>
  <c r="BB22" i="1"/>
  <c r="BB23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X23" i="1" l="1"/>
  <c r="AS23" i="1"/>
  <c r="AT23" i="1"/>
  <c r="X22" i="1"/>
  <c r="AS22" i="1"/>
  <c r="AT22" i="1"/>
  <c r="X21" i="1"/>
  <c r="AS21" i="1"/>
  <c r="AT21" i="1"/>
  <c r="AW23" i="1" l="1"/>
  <c r="AW22" i="1"/>
  <c r="AW21" i="1"/>
  <c r="F7" i="1"/>
  <c r="G7" i="1"/>
  <c r="H7" i="1"/>
  <c r="I7" i="1"/>
  <c r="E7" i="1"/>
  <c r="X9" i="1" l="1"/>
  <c r="X10" i="1"/>
  <c r="X11" i="1"/>
  <c r="X12" i="1"/>
  <c r="X13" i="1"/>
  <c r="X14" i="1"/>
  <c r="X15" i="1"/>
  <c r="X16" i="1"/>
  <c r="X17" i="1"/>
  <c r="X18" i="1"/>
  <c r="X19" i="1"/>
  <c r="X20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Y24" i="1" l="1"/>
  <c r="Y27" i="1"/>
  <c r="Y26" i="1"/>
  <c r="Y25" i="1"/>
  <c r="Y28" i="1"/>
  <c r="Z28" i="1" s="1"/>
  <c r="AB28" i="1" s="1"/>
  <c r="AC28" i="1" s="1"/>
  <c r="AE28" i="1" s="1"/>
  <c r="AF28" i="1" s="1"/>
  <c r="AG28" i="1" s="1"/>
  <c r="T28" i="1" s="1"/>
  <c r="Y23" i="1"/>
  <c r="Y22" i="1"/>
  <c r="Y21" i="1"/>
  <c r="AW9" i="1"/>
  <c r="AW18" i="1"/>
  <c r="Y9" i="1"/>
  <c r="Y19" i="1"/>
  <c r="Y15" i="1"/>
  <c r="Y18" i="1"/>
  <c r="Y10" i="1"/>
  <c r="Y20" i="1"/>
  <c r="Y14" i="1"/>
  <c r="Y17" i="1"/>
  <c r="Y11" i="1"/>
  <c r="Y12" i="1"/>
  <c r="Y13" i="1"/>
  <c r="Y16" i="1"/>
  <c r="AW11" i="1"/>
  <c r="AW12" i="1"/>
  <c r="AW19" i="1"/>
  <c r="AW10" i="1"/>
  <c r="AW17" i="1"/>
  <c r="AW20" i="1"/>
  <c r="AW13" i="1"/>
  <c r="AW14" i="1"/>
  <c r="AW16" i="1"/>
  <c r="AW15" i="1"/>
  <c r="X7" i="1"/>
  <c r="Y7" i="1"/>
  <c r="W7" i="1"/>
  <c r="AX23" i="1" l="1"/>
  <c r="AX21" i="1"/>
  <c r="AR7" i="1"/>
  <c r="AA7" i="1"/>
  <c r="Z7" i="1"/>
  <c r="AX16" i="1"/>
  <c r="AX17" i="1"/>
  <c r="AX14" i="1"/>
  <c r="AX15" i="1"/>
  <c r="AX18" i="1"/>
  <c r="AX10" i="1"/>
  <c r="AX20" i="1"/>
  <c r="AX9" i="1"/>
  <c r="AX12" i="1"/>
  <c r="AX13" i="1"/>
  <c r="AX19" i="1"/>
  <c r="AX11" i="1"/>
  <c r="AA28" i="1"/>
  <c r="AX22" i="1"/>
  <c r="AU25" i="1"/>
  <c r="U25" i="1"/>
  <c r="Z25" i="1"/>
  <c r="AQ25" i="1" s="1"/>
  <c r="AV25" i="1"/>
  <c r="Z26" i="1"/>
  <c r="AQ26" i="1" s="1"/>
  <c r="U26" i="1"/>
  <c r="AV26" i="1"/>
  <c r="AU26" i="1"/>
  <c r="AQ24" i="1"/>
  <c r="AU24" i="1"/>
  <c r="U24" i="1"/>
  <c r="Z24" i="1"/>
  <c r="AV24" i="1"/>
  <c r="Z23" i="1"/>
  <c r="AQ23" i="1" s="1"/>
  <c r="U23" i="1"/>
  <c r="AV23" i="1"/>
  <c r="AU23" i="1"/>
  <c r="AV9" i="1"/>
  <c r="AU9" i="1"/>
  <c r="U9" i="1"/>
  <c r="AU12" i="1"/>
  <c r="AV12" i="1"/>
  <c r="U12" i="1"/>
  <c r="Z12" i="1"/>
  <c r="AQ12" i="1" s="1"/>
  <c r="AU14" i="1"/>
  <c r="Z14" i="1"/>
  <c r="U14" i="1"/>
  <c r="AV14" i="1"/>
  <c r="U10" i="1"/>
  <c r="AV10" i="1"/>
  <c r="Z10" i="1"/>
  <c r="AQ10" i="1" s="1"/>
  <c r="AU10" i="1"/>
  <c r="AU13" i="1"/>
  <c r="AV13" i="1"/>
  <c r="U13" i="1"/>
  <c r="Z13" i="1"/>
  <c r="AQ13" i="1" s="1"/>
  <c r="AV16" i="1"/>
  <c r="U16" i="1"/>
  <c r="AU16" i="1"/>
  <c r="Z16" i="1"/>
  <c r="AQ16" i="1" s="1"/>
  <c r="AU22" i="1"/>
  <c r="U22" i="1"/>
  <c r="AV22" i="1"/>
  <c r="Z22" i="1"/>
  <c r="AQ22" i="1" s="1"/>
  <c r="Z18" i="1"/>
  <c r="AQ18" i="1" s="1"/>
  <c r="AU18" i="1"/>
  <c r="AV18" i="1"/>
  <c r="U18" i="1"/>
  <c r="U27" i="1"/>
  <c r="AV27" i="1"/>
  <c r="AU27" i="1"/>
  <c r="Z27" i="1"/>
  <c r="AQ27" i="1" s="1"/>
  <c r="U21" i="1"/>
  <c r="AV21" i="1"/>
  <c r="Z21" i="1"/>
  <c r="AQ21" i="1" s="1"/>
  <c r="AU21" i="1"/>
  <c r="U15" i="1"/>
  <c r="AV15" i="1"/>
  <c r="AU15" i="1"/>
  <c r="Z15" i="1"/>
  <c r="AQ15" i="1" s="1"/>
  <c r="Z20" i="1"/>
  <c r="AQ20" i="1" s="1"/>
  <c r="U20" i="1"/>
  <c r="AU20" i="1"/>
  <c r="AV20" i="1"/>
  <c r="AV17" i="1"/>
  <c r="Z17" i="1"/>
  <c r="AQ17" i="1" s="1"/>
  <c r="AU17" i="1"/>
  <c r="U17" i="1"/>
  <c r="AV19" i="1"/>
  <c r="Z19" i="1"/>
  <c r="AQ19" i="1" s="1"/>
  <c r="U19" i="1"/>
  <c r="AU19" i="1"/>
  <c r="Z9" i="1"/>
  <c r="AQ9" i="1" s="1"/>
  <c r="AD23" i="1"/>
  <c r="AD15" i="1"/>
  <c r="AD18" i="1"/>
  <c r="AD27" i="1"/>
  <c r="AD13" i="1"/>
  <c r="AD16" i="1"/>
  <c r="AD12" i="1"/>
  <c r="AD21" i="1"/>
  <c r="AD20" i="1"/>
  <c r="AD19" i="1"/>
  <c r="AD22" i="1"/>
  <c r="AD24" i="1"/>
  <c r="AD17" i="1"/>
  <c r="AD9" i="1"/>
  <c r="AD26" i="1"/>
  <c r="AD25" i="1"/>
  <c r="AD10" i="1"/>
  <c r="AD14" i="1"/>
  <c r="AU11" i="1"/>
  <c r="V7" i="1"/>
  <c r="AV11" i="1"/>
  <c r="U11" i="1"/>
  <c r="W28" i="1"/>
  <c r="Z11" i="1"/>
  <c r="AQ11" i="1" s="1"/>
  <c r="W25" i="1"/>
  <c r="AA25" i="1" s="1"/>
  <c r="W9" i="1"/>
  <c r="AA9" i="1" s="1"/>
  <c r="W16" i="1"/>
  <c r="AA16" i="1" s="1"/>
  <c r="W17" i="1"/>
  <c r="AA17" i="1" s="1"/>
  <c r="W12" i="1"/>
  <c r="AA12" i="1" s="1"/>
  <c r="W24" i="1"/>
  <c r="AA24" i="1" s="1"/>
  <c r="W27" i="1"/>
  <c r="AA27" i="1" s="1"/>
  <c r="W15" i="1"/>
  <c r="AA15" i="1" s="1"/>
  <c r="W21" i="1"/>
  <c r="AA21" i="1" s="1"/>
  <c r="W10" i="1"/>
  <c r="AA10" i="1" s="1"/>
  <c r="W11" i="1"/>
  <c r="AA11" i="1" s="1"/>
  <c r="W19" i="1"/>
  <c r="AA19" i="1" s="1"/>
  <c r="W20" i="1"/>
  <c r="AA20" i="1" s="1"/>
  <c r="W13" i="1"/>
  <c r="AA13" i="1" s="1"/>
  <c r="AR13" i="1" s="1"/>
  <c r="W18" i="1"/>
  <c r="AA18" i="1" s="1"/>
  <c r="W22" i="1"/>
  <c r="AA22" i="1" s="1"/>
  <c r="AR22" i="1" s="1"/>
  <c r="W23" i="1"/>
  <c r="AA23" i="1" s="1"/>
  <c r="W26" i="1"/>
  <c r="AA26" i="1" s="1"/>
  <c r="AD11" i="1"/>
  <c r="W14" i="1"/>
  <c r="AA14" i="1" s="1"/>
  <c r="AR14" i="1" s="1"/>
  <c r="AB25" i="1" l="1"/>
  <c r="AB14" i="1"/>
  <c r="AC14" i="1" s="1"/>
  <c r="AE14" i="1" s="1"/>
  <c r="AF14" i="1" s="1"/>
  <c r="AG14" i="1" s="1"/>
  <c r="T14" i="1" s="1"/>
  <c r="AQ14" i="1"/>
  <c r="AB19" i="1"/>
  <c r="AC19" i="1" s="1"/>
  <c r="AE19" i="1" s="1"/>
  <c r="AF19" i="1" s="1"/>
  <c r="AG19" i="1" s="1"/>
  <c r="T19" i="1" s="1"/>
  <c r="AB27" i="1"/>
  <c r="AC27" i="1" s="1"/>
  <c r="AE27" i="1" s="1"/>
  <c r="AF27" i="1" s="1"/>
  <c r="AG27" i="1" s="1"/>
  <c r="T27" i="1" s="1"/>
  <c r="AR11" i="1"/>
  <c r="AB11" i="1"/>
  <c r="AC11" i="1" s="1"/>
  <c r="AE11" i="1" s="1"/>
  <c r="AF11" i="1" s="1"/>
  <c r="AG11" i="1" s="1"/>
  <c r="T11" i="1" s="1"/>
  <c r="AB12" i="1"/>
  <c r="AC12" i="1" s="1"/>
  <c r="AE12" i="1" s="1"/>
  <c r="AF12" i="1" s="1"/>
  <c r="AG12" i="1" s="1"/>
  <c r="T12" i="1" s="1"/>
  <c r="AR12" i="1"/>
  <c r="AR17" i="1"/>
  <c r="AB17" i="1"/>
  <c r="AC17" i="1" s="1"/>
  <c r="AE17" i="1" s="1"/>
  <c r="AF17" i="1" s="1"/>
  <c r="AG17" i="1" s="1"/>
  <c r="T17" i="1" s="1"/>
  <c r="AB13" i="1"/>
  <c r="AC13" i="1" s="1"/>
  <c r="AE13" i="1" s="1"/>
  <c r="AF13" i="1" s="1"/>
  <c r="AG13" i="1" s="1"/>
  <c r="T13" i="1" s="1"/>
  <c r="AS7" i="1"/>
  <c r="AC25" i="1"/>
  <c r="AE25" i="1" s="1"/>
  <c r="AF25" i="1" s="1"/>
  <c r="AG25" i="1" s="1"/>
  <c r="T25" i="1" s="1"/>
  <c r="AB23" i="1"/>
  <c r="AR23" i="1"/>
  <c r="AB24" i="1"/>
  <c r="AR24" i="1"/>
  <c r="AB18" i="1"/>
  <c r="AR18" i="1"/>
  <c r="AR26" i="1"/>
  <c r="AB26" i="1"/>
  <c r="AB16" i="1"/>
  <c r="AR16" i="1"/>
  <c r="AB15" i="1"/>
  <c r="AR15" i="1"/>
  <c r="AB10" i="1"/>
  <c r="AR10" i="1"/>
  <c r="AB20" i="1"/>
  <c r="AR20" i="1"/>
  <c r="AB21" i="1"/>
  <c r="AR21" i="1"/>
  <c r="AT7" i="1"/>
  <c r="AB9" i="1"/>
  <c r="AR9" i="1"/>
  <c r="AB22" i="1"/>
  <c r="AR27" i="1"/>
  <c r="AR19" i="1"/>
  <c r="AQ7" i="1"/>
  <c r="AR25" i="1"/>
  <c r="AP12" i="1" l="1"/>
  <c r="AP14" i="1"/>
  <c r="AP18" i="1"/>
  <c r="AC18" i="1"/>
  <c r="AE18" i="1" s="1"/>
  <c r="AF18" i="1" s="1"/>
  <c r="AG18" i="1" s="1"/>
  <c r="T18" i="1" s="1"/>
  <c r="AP25" i="1"/>
  <c r="AC10" i="1"/>
  <c r="AE10" i="1" s="1"/>
  <c r="AF10" i="1" s="1"/>
  <c r="AG10" i="1" s="1"/>
  <c r="T10" i="1" s="1"/>
  <c r="AP10" i="1"/>
  <c r="AP26" i="1"/>
  <c r="AC26" i="1"/>
  <c r="AE26" i="1" s="1"/>
  <c r="AF26" i="1" s="1"/>
  <c r="AG26" i="1" s="1"/>
  <c r="T26" i="1" s="1"/>
  <c r="AP13" i="1"/>
  <c r="AP16" i="1"/>
  <c r="AC16" i="1"/>
  <c r="AE16" i="1" s="1"/>
  <c r="AF16" i="1" s="1"/>
  <c r="AG16" i="1" s="1"/>
  <c r="T16" i="1" s="1"/>
  <c r="AP17" i="1"/>
  <c r="AC24" i="1"/>
  <c r="AE24" i="1" s="1"/>
  <c r="AF24" i="1" s="1"/>
  <c r="AG24" i="1" s="1"/>
  <c r="T24" i="1" s="1"/>
  <c r="AP24" i="1"/>
  <c r="AP19" i="1"/>
  <c r="AP20" i="1"/>
  <c r="AC20" i="1"/>
  <c r="AE20" i="1" s="1"/>
  <c r="AF20" i="1" s="1"/>
  <c r="AG20" i="1" s="1"/>
  <c r="T20" i="1" s="1"/>
  <c r="AP9" i="1"/>
  <c r="AC9" i="1"/>
  <c r="AE9" i="1" s="1"/>
  <c r="AF9" i="1" s="1"/>
  <c r="AG9" i="1" s="1"/>
  <c r="T9" i="1" s="1"/>
  <c r="AC21" i="1"/>
  <c r="AE21" i="1" s="1"/>
  <c r="AF21" i="1" s="1"/>
  <c r="AG21" i="1" s="1"/>
  <c r="T21" i="1" s="1"/>
  <c r="AP21" i="1"/>
  <c r="AP27" i="1"/>
  <c r="AC22" i="1"/>
  <c r="AE22" i="1" s="1"/>
  <c r="AF22" i="1" s="1"/>
  <c r="AG22" i="1" s="1"/>
  <c r="T22" i="1" s="1"/>
  <c r="AP22" i="1"/>
  <c r="AC15" i="1"/>
  <c r="AE15" i="1" s="1"/>
  <c r="AF15" i="1" s="1"/>
  <c r="AG15" i="1" s="1"/>
  <c r="T15" i="1" s="1"/>
  <c r="AP15" i="1"/>
  <c r="AP23" i="1"/>
  <c r="AC23" i="1"/>
  <c r="AE23" i="1" s="1"/>
  <c r="AF23" i="1" s="1"/>
  <c r="AG23" i="1" s="1"/>
  <c r="T23" i="1" s="1"/>
  <c r="A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Musielski</author>
  </authors>
  <commentList>
    <comment ref="V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W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X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Y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S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T8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powanie" type="4" refreshedVersion="0" background="1">
    <webPr xml="1" sourceData="1" url="C:\Users\piotr\Desktop\mapowanie.xml" htmlTables="1" htmlFormat="all"/>
  </connection>
  <connection id="2" xr16:uid="{2F99B80A-63D8-4C7E-AB01-3D92D4F0793C}" name="Units" type="4" refreshedVersion="0" background="1">
    <webPr xml="1" sourceData="1" url="C:\Users\Wojtek\Desktop\GitHub\TArenaUnity3D\TArenaUnity3D\Assets\Resources\Data\Units.xml" htmlTables="1" htmlFormat="all"/>
  </connection>
  <connection id="3" xr16:uid="{00000000-0015-0000-FFFF-FFFF01000000}" name="Units_Map" type="4" refreshedVersion="0" background="1">
    <webPr xml="1" sourceData="1" url="C:\Users\piotr\Desktop\Units_Map.xml" htmlTables="1" htmlFormat="all"/>
  </connection>
  <connection id="4" xr16:uid="{00000000-0015-0000-FFFF-FFFF02000000}" name="Units_Map1" type="4" refreshedVersion="0" background="1">
    <webPr xml="1" sourceData="1" url="C:\Users\piotr\Desktop\Units_Map.xml" htmlTables="1" htmlFormat="all"/>
  </connection>
  <connection id="5" xr16:uid="{00000000-0015-0000-FFFF-FFFF03000000}" name="Units_Mapping" type="4" refreshedVersion="0" background="1">
    <webPr xml="1" sourceData="1" url="C:\Users\piotr\Desktop\Units_Mapping.xml" htmlTables="1" htmlFormat="all"/>
  </connection>
  <connection id="6" xr16:uid="{00000000-0015-0000-FFFF-FFFF04000000}" name="Units_Mapping_Template" type="4" refreshedVersion="0" background="1">
    <webPr xml="1" sourceData="1" url="C:\Users\piotr\Desktop\Units_Mapping_Template.xml" htmlTables="1" htmlFormat="all"/>
  </connection>
  <connection id="7" xr16:uid="{00000000-0015-0000-FFFF-FFFF05000000}" name="Units_Mapping_Template1" type="4" refreshedVersion="0" background="1">
    <webPr xml="1" sourceData="1" url="C:\Users\piotr\Desktop\Units_Mapping_Template.xml" htmlTables="1" htmlFormat="all"/>
  </connection>
  <connection id="8" xr16:uid="{00000000-0015-0000-FFFF-FFFF06000000}" name="Units_Mapping_Template2" type="4" refreshedVersion="0" background="1">
    <webPr xml="1" sourceData="1" url="D:\Projekty\Unity\TArena\TArenaUnity3D\TArenaUnity3D\Assets\Resources\Data\Units_Mapping_Template.xml" htmlTables="1" htmlFormat="all"/>
  </connection>
  <connection id="9" xr16:uid="{00000000-0015-0000-FFFF-FFFF07000000}" name="Units_Mapping_Template3" type="4" refreshedVersion="0" background="1">
    <webPr xml="1" sourceData="1" url="D:\Projekty\Unity\TArena\TArenaUnity3D\TArenaUnity3D\Assets\Resources\Data\Units_Mapping_Template.xml" htmlTables="1" htmlFormat="all"/>
  </connection>
  <connection id="10" xr16:uid="{88D63113-D6D9-43FB-A469-DD07CEF15EBB}" name="Units_Mapping_Template4" type="4" refreshedVersion="0" background="1">
    <webPr xml="1" sourceData="1" url="C:\Users\Wojtek\Desktop\GitHub\TArenaUnity3D\TArenaUnity3D\Assets\Resources\Data\Units_Mapping_Template.xml" htmlTables="1" htmlFormat="all"/>
  </connection>
  <connection id="11" xr16:uid="{00000000-0015-0000-FFFF-FFFF08000000}" name="Units_Mapping1" type="4" refreshedVersion="0" background="1">
    <webPr xml="1" sourceData="1" url="C:\Users\piotr\Desktop\Units_Mapping.xml" htmlTables="1" htmlFormat="all"/>
  </connection>
  <connection id="12" xr16:uid="{00000000-0015-0000-FFFF-FFFF09000000}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<sst xmlns="http://schemas.openxmlformats.org/spreadsheetml/2006/main" count="504" uniqueCount="328">
  <si>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</si>
  <si>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</si>
  <si>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</si>
  <si>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</si>
  <si>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</si>
  <si>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</si>
  <si>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</si>
  <si>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</si>
  <si>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</si>
  <si>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</si>
  <si>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</si>
  <si>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</si>
  <si>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</si>
  <si>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</si>
  <si>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</si>
  <si>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</si>
  <si>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</si>
  <si>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</si>
  <si>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</si>
  <si>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</si>
  <si>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</si>
  <si>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</si>
  <si>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</si>
  <si>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</si>
  <si>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</si>
  <si>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</si>
  <si>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</si>
  <si>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</si>
  <si>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</si>
  <si>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</si>
  <si>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</si>
  <si>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</si>
  <si>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</si>
  <si>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</si>
  <si>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</si>
  <si>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</si>
  <si>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</si>
  <si>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</si>
  <si>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</si>
  <si>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</si>
  <si>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</si>
  <si>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</si>
  <si>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</si>
  <si>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</si>
  <si>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</si>
  <si>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</si>
  <si>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</si>
  <si>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</si>
  <si>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</si>
  <si>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</si>
  <si>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</si>
  <si>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</si>
  <si>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</si>
  <si>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</si>
  <si>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</si>
  <si>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</si>
  <si>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</si>
  <si>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</si>
  <si>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</si>
  <si>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</si>
  <si>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</si>
  <si>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</si>
  <si>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</si>
  <si>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</si>
  <si>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</si>
  <si>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</si>
  <si>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</si>
  <si>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</si>
  <si>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</si>
  <si>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</si>
  <si>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</si>
  <si>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</si>
  <si>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</si>
  <si>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</si>
  <si>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</si>
  <si>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</si>
  <si>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</si>
  <si>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</si>
  <si>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</si>
  <si>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</si>
  <si>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</si>
  <si>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</si>
  <si>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</si>
  <si>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</si>
  <si>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</si>
  <si>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</si>
  <si>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</si>
  <si>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</si>
  <si>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</si>
  <si>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</si>
  <si>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</si>
  <si>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</si>
  <si>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</si>
  <si>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</si>
  <si>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</si>
  <si>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</si>
  <si>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</si>
  <si>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</si>
  <si>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</si>
  <si>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</si>
  <si>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</si>
  <si>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</si>
  <si>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</si>
  <si>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</si>
  <si>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</si>
  <si>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</si>
  <si>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</si>
  <si>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</si>
  <si>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</si>
  <si>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</si>
  <si>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</si>
  <si>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</si>
  <si>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</si>
  <si>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</si>
  <si>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</si>
  <si>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</si>
  <si>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</si>
  <si>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</si>
  <si>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</si>
  <si>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</si>
  <si>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</si>
  <si>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</si>
  <si>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</si>
  <si>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</si>
  <si>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</si>
  <si>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</si>
  <si>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</si>
  <si>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</si>
  <si>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</si>
  <si>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</si>
  <si>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</si>
  <si>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</si>
  <si>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</si>
  <si>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</si>
  <si>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</si>
  <si>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</si>
  <si>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</si>
  <si>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</si>
  <si>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</si>
  <si>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</si>
  <si>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</si>
  <si>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</si>
  <si>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</si>
  <si>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</si>
  <si>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</si>
  <si>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</si>
  <si>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</si>
  <si>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</si>
  <si>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</si>
  <si>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</si>
  <si>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</si>
  <si>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</si>
  <si>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</si>
  <si>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</si>
  <si>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</si>
  <si>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</si>
  <si>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</si>
  <si>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</si>
  <si>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</si>
  <si>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</si>
  <si>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</si>
  <si>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</si>
  <si>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</si>
  <si>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</si>
  <si>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</si>
  <si>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</si>
  <si>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</si>
  <si>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</si>
  <si>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</si>
  <si>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</si>
  <si>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</si>
  <si>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</si>
  <si>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</si>
  <si>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</si>
  <si>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</si>
  <si>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</si>
  <si>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Skill1</t>
  </si>
  <si>
    <t>Skill2</t>
  </si>
  <si>
    <t>Skill3</t>
  </si>
  <si>
    <t>Skill4</t>
  </si>
  <si>
    <t>TosterDPS</t>
  </si>
  <si>
    <t>TosterTANK</t>
  </si>
  <si>
    <t>TosterHEAL</t>
  </si>
  <si>
    <t>Szaman</t>
  </si>
  <si>
    <t>axe1</t>
  </si>
  <si>
    <t>Lizard</t>
  </si>
  <si>
    <t>Sprites/redT2</t>
  </si>
  <si>
    <t>Sprites/wT1</t>
  </si>
  <si>
    <t>Sprites/gT2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</si>
  <si>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</si>
  <si>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</si>
  <si>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</si>
  <si>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</si>
  <si>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</si>
  <si>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</si>
  <si>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</si>
  <si>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</si>
  <si>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</si>
  <si>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</si>
  <si>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</si>
  <si>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</si>
  <si>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Tank</t>
  </si>
  <si>
    <t>Specialist</t>
  </si>
  <si>
    <t>Healer</t>
  </si>
  <si>
    <t>Trapper</t>
  </si>
  <si>
    <t>Rusher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</si>
  <si>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</si>
  <si>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</si>
  <si>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</si>
  <si>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</si>
  <si>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</si>
  <si>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</si>
  <si>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</si>
  <si>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</si>
  <si>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</si>
  <si>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</si>
  <si>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</si>
  <si>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</si>
  <si>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</si>
  <si>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</si>
  <si>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</si>
  <si>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</si>
  <si>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</si>
  <si>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</si>
  <si>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</si>
  <si>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</si>
  <si>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</si>
  <si>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</si>
  <si>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</si>
  <si>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</si>
  <si>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!ŚREDNIA</t>
  </si>
  <si>
    <t>Średnia V (bez sensu)</t>
  </si>
  <si>
    <t>Odchyłka</t>
  </si>
  <si>
    <t>!Odchyłka</t>
  </si>
  <si>
    <t>Tankowatość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</si>
  <si>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</si>
  <si>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</si>
  <si>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</si>
  <si>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</si>
  <si>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</si>
  <si>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</si>
  <si>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</si>
  <si>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</si>
  <si>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</si>
  <si>
    <t>ZBALANSOWANA ILOSC</t>
  </si>
  <si>
    <t>SuperLizard</t>
  </si>
  <si>
    <t>Toughnessness</t>
  </si>
  <si>
    <t>FixedAmountAfterSearching</t>
  </si>
  <si>
    <t xml:space="preserve"> w porównaniu do TosterHEAL</t>
  </si>
  <si>
    <t>Ilość jednostki znaleziona przez symulator</t>
  </si>
  <si>
    <t xml:space="preserve"> w porównaniu do SuperLizard</t>
  </si>
  <si>
    <t>FixedAmountAfterSearchingFixedAmountAfterSearching</t>
  </si>
  <si>
    <t>ŚREDNIA</t>
  </si>
  <si>
    <t>FixedAmountAfterSearchingFixedAmountAfterSearching2</t>
  </si>
  <si>
    <t>Ilość</t>
  </si>
  <si>
    <t>HeavyHitter</t>
  </si>
  <si>
    <t>Statystyki</t>
  </si>
  <si>
    <t>Wskaźniki</t>
  </si>
  <si>
    <t>Wsk</t>
  </si>
  <si>
    <t>Sk</t>
  </si>
  <si>
    <t>Skile</t>
  </si>
  <si>
    <t>Kolumna22</t>
  </si>
  <si>
    <t>SIM</t>
  </si>
  <si>
    <t>Stat</t>
  </si>
  <si>
    <t>Symula</t>
  </si>
  <si>
    <t>Zbalansowana ilośc względem DPS</t>
  </si>
  <si>
    <t>Zrównane do 1 lizarda</t>
  </si>
  <si>
    <t xml:space="preserve">AMT </t>
  </si>
  <si>
    <t>Cena SIM</t>
  </si>
  <si>
    <t>Zrównane do 1000/ lizarda</t>
  </si>
  <si>
    <t>Ilość za gold</t>
  </si>
  <si>
    <t>NIE UŻYWANE</t>
  </si>
  <si>
    <t>Zrównane do lziarda</t>
  </si>
  <si>
    <t>V/HP</t>
  </si>
  <si>
    <t>Data</t>
  </si>
  <si>
    <t>Tank_Skill1</t>
  </si>
  <si>
    <t>Tank_Skill2</t>
  </si>
  <si>
    <t>TeleportOT</t>
  </si>
  <si>
    <t>TosterTemplate</t>
  </si>
  <si>
    <t>Sprites/superL</t>
  </si>
  <si>
    <t>Spprites/Szaman1</t>
  </si>
  <si>
    <t>Sprites/Brb_Axeman_sprite</t>
  </si>
  <si>
    <t>Sprites/Brb_Thrower_sprite</t>
  </si>
  <si>
    <t>Sprites/Brb_Rusher_sprite</t>
  </si>
  <si>
    <t>Sprites/Brb_HeavyHitter_sprite</t>
  </si>
  <si>
    <t>Sprites/Liz_Healer_sprite</t>
  </si>
  <si>
    <t>Sprites/Liz_Trapper_sprite</t>
  </si>
  <si>
    <t>Sprites/Liz_Specialist_sprite</t>
  </si>
  <si>
    <t>Sprites/Liz_Tank_sprite</t>
  </si>
  <si>
    <t>Wisp</t>
  </si>
  <si>
    <t>StoneGolem</t>
  </si>
  <si>
    <t>FireElemental</t>
  </si>
  <si>
    <t>FleshGolem</t>
  </si>
  <si>
    <t>Blind_by_light</t>
  </si>
  <si>
    <t>Unstoppable_Light</t>
  </si>
  <si>
    <t>Stone_Throw</t>
  </si>
  <si>
    <t>Stone_Skin</t>
  </si>
  <si>
    <t>Fire_Movement</t>
  </si>
  <si>
    <t>Fire_ball</t>
  </si>
  <si>
    <t>Fire_Skin</t>
  </si>
  <si>
    <t>Heavy_Fists</t>
  </si>
  <si>
    <t>Terrifying_Presence</t>
  </si>
  <si>
    <t>Rotting</t>
  </si>
  <si>
    <t>Chope</t>
  </si>
  <si>
    <t>Rush</t>
  </si>
  <si>
    <t>Range_Stance</t>
  </si>
  <si>
    <t>Double_Throw</t>
  </si>
  <si>
    <t>Axe_Rain</t>
  </si>
  <si>
    <t>Slash</t>
  </si>
  <si>
    <t>Hate</t>
  </si>
  <si>
    <t>Cold_Blood</t>
  </si>
  <si>
    <t>Insult</t>
  </si>
  <si>
    <t>Rage</t>
  </si>
  <si>
    <t>Massochism</t>
  </si>
  <si>
    <t>Spike_Trap</t>
  </si>
  <si>
    <t>Rope_Trap</t>
  </si>
  <si>
    <t>Tough_Skin</t>
  </si>
  <si>
    <t>Defence_Ritual</t>
  </si>
  <si>
    <t>Force_Pull</t>
  </si>
  <si>
    <t>Stone_Stance</t>
  </si>
  <si>
    <t>Toxic_Fume</t>
  </si>
  <si>
    <t>Shapeshift</t>
  </si>
  <si>
    <t>Long_Lick</t>
  </si>
  <si>
    <t>Kolumna2</t>
  </si>
  <si>
    <t>Sprites/Gol_W_sprite</t>
  </si>
  <si>
    <t>Sprites/Gol_SG_sprite</t>
  </si>
  <si>
    <t>Sprites/Gol_FE_sprite</t>
  </si>
  <si>
    <t>Sprites/Gol_FG_sprite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</si>
</sst>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</fonts>
  <fills count="12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0" tint="-0.14999847407452621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94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4" xfId="0" applyBorder="1"/>
    <xf numFmtId="1" fontId="0" fillId="0" borderId="4" xfId="0" applyNumberFormat="1" applyBorder="1"/>
    <xf numFmtId="1" fontId="0" fillId="0" borderId="0" xfId="0" applyNumberFormat="1" applyBorder="1"/>
    <xf numFmtId="1" fontId="0" fillId="102" borderId="6" xfId="0" applyNumberFormat="1" applyFill="1" applyBorder="1"/>
    <xf numFmtId="0" fontId="0" fillId="0" borderId="6" xfId="0" applyFill="1" applyBorder="1"/>
    <xf numFmtId="1" fontId="0" fillId="0" borderId="6" xfId="0" applyNumberFormat="1" applyFill="1" applyBorder="1"/>
    <xf numFmtId="0" fontId="0" fillId="0" borderId="0" xfId="0" applyFill="1"/>
    <xf numFmtId="1" fontId="0" fillId="103" borderId="4" xfId="0" applyNumberFormat="1" applyFill="1" applyBorder="1"/>
    <xf numFmtId="0" fontId="2" fillId="101" borderId="5" xfId="0" applyFont="1" applyFill="1" applyBorder="1" applyAlignment="1">
      <alignment horizontal="left" vertical="top" wrapText="1"/>
    </xf>
    <xf numFmtId="1" fontId="0" fillId="0" borderId="4" xfId="0" applyNumberFormat="1" applyFill="1" applyBorder="1"/>
    <xf numFmtId="0" fontId="0" fillId="104" borderId="0" xfId="0" applyFill="1" applyBorder="1"/>
    <xf numFmtId="0" fontId="1" fillId="104" borderId="0" xfId="0" applyFont="1" applyFill="1" applyBorder="1" applyAlignment="1"/>
    <xf numFmtId="1" fontId="0" fillId="104" borderId="0" xfId="0" applyNumberFormat="1" applyFill="1" applyBorder="1"/>
    <xf numFmtId="0" fontId="0" fillId="104" borderId="0" xfId="0" applyFill="1"/>
    <xf numFmtId="1" fontId="0" fillId="104" borderId="0" xfId="0" applyNumberFormat="1" applyFill="1" applyBorder="1" applyAlignment="1">
      <alignment wrapText="1"/>
    </xf>
    <xf numFmtId="1" fontId="0" fillId="104" borderId="0" xfId="0" applyNumberFormat="1" applyFill="1" applyBorder="1" applyAlignment="1">
      <alignment horizontal="center" vertical="center" wrapText="1"/>
    </xf>
    <xf numFmtId="164" fontId="0" fillId="104" borderId="0" xfId="0" applyNumberFormat="1" applyFill="1" applyBorder="1" applyAlignment="1">
      <alignment horizontal="center" vertical="center" wrapText="1"/>
    </xf>
    <xf numFmtId="0" fontId="0" fillId="106" borderId="0" xfId="0" applyFill="1"/>
    <xf numFmtId="0" fontId="0" fillId="104" borderId="0" xfId="0" applyFill="1" applyBorder="1" applyAlignment="1">
      <alignment horizontal="center" vertical="center" wrapText="1"/>
    </xf>
    <xf numFmtId="1" fontId="0" fillId="104" borderId="0" xfId="0" applyNumberFormat="1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3" borderId="4" xfId="0" applyFill="1" applyBorder="1" applyAlignment="1">
      <alignment horizontal="center" wrapText="1"/>
    </xf>
    <xf numFmtId="0" fontId="0" fillId="110" borderId="0" xfId="0" applyFill="1"/>
    <xf numFmtId="0" fontId="0" fillId="104" borderId="7" xfId="0" applyFill="1" applyBorder="1" applyAlignment="1">
      <alignment horizontal="left" vertical="center"/>
    </xf>
    <xf numFmtId="1" fontId="0" fillId="104" borderId="7" xfId="0" applyNumberFormat="1" applyFill="1" applyBorder="1" applyAlignment="1">
      <alignment horizontal="left" vertical="center" wrapText="1"/>
    </xf>
    <xf numFmtId="0" fontId="2" fillId="101" borderId="10" xfId="0" applyFont="1" applyFill="1" applyBorder="1" applyAlignment="1">
      <alignment horizontal="left" vertical="top" wrapText="1"/>
    </xf>
    <xf numFmtId="1" fontId="0" fillId="102" borderId="11" xfId="0" applyNumberFormat="1" applyFill="1" applyBorder="1"/>
    <xf numFmtId="1" fontId="0" fillId="103" borderId="9" xfId="0" applyNumberFormat="1" applyFill="1" applyBorder="1"/>
    <xf numFmtId="2" fontId="0" fillId="110" borderId="9" xfId="0" applyNumberFormat="1" applyFill="1" applyBorder="1"/>
    <xf numFmtId="2" fontId="0" fillId="104" borderId="7" xfId="0" applyNumberFormat="1" applyFill="1" applyBorder="1" applyAlignment="1">
      <alignment horizontal="left" vertical="center"/>
    </xf>
    <xf numFmtId="0" fontId="2" fillId="101" borderId="13" xfId="0" applyFont="1" applyFill="1" applyBorder="1" applyAlignment="1">
      <alignment horizontal="left" vertical="top" wrapText="1"/>
    </xf>
    <xf numFmtId="2" fontId="0" fillId="109" borderId="7" xfId="0" applyNumberFormat="1" applyFill="1" applyBorder="1"/>
    <xf numFmtId="0" fontId="2" fillId="101" borderId="15" xfId="0" applyFont="1" applyFill="1" applyBorder="1" applyAlignment="1">
      <alignment horizontal="left" vertical="top" wrapText="1"/>
    </xf>
    <xf numFmtId="1" fontId="0" fillId="102" borderId="8" xfId="0" applyNumberFormat="1" applyFill="1" applyBorder="1"/>
    <xf numFmtId="1" fontId="0" fillId="103" borderId="7" xfId="0" applyNumberFormat="1" applyFill="1" applyBorder="1"/>
    <xf numFmtId="0" fontId="0" fillId="107" borderId="7" xfId="0" applyFill="1" applyBorder="1"/>
    <xf numFmtId="2" fontId="0" fillId="107" borderId="7" xfId="0" applyNumberFormat="1" applyFill="1" applyBorder="1"/>
    <xf numFmtId="2" fontId="0" fillId="106" borderId="7" xfId="0" applyNumberFormat="1" applyFill="1" applyBorder="1"/>
    <xf numFmtId="0" fontId="0" fillId="106" borderId="7" xfId="0" applyFill="1" applyBorder="1"/>
    <xf numFmtId="165" fontId="0" fillId="104" borderId="7" xfId="0" applyNumberFormat="1" applyFill="1" applyBorder="1" applyAlignment="1">
      <alignment horizontal="left" vertical="center"/>
    </xf>
    <xf numFmtId="2" fontId="0" fillId="108" borderId="7" xfId="0" applyNumberFormat="1" applyFill="1" applyBorder="1"/>
    <xf numFmtId="165" fontId="0" fillId="108" borderId="7" xfId="0" applyNumberFormat="1" applyFill="1" applyBorder="1"/>
    <xf numFmtId="2" fontId="0" fillId="105" borderId="7" xfId="0" applyNumberFormat="1" applyFill="1" applyBorder="1"/>
    <xf numFmtId="0" fontId="0" fillId="105" borderId="7" xfId="0" applyFill="1" applyBorder="1"/>
    <xf numFmtId="0" fontId="0" fillId="104" borderId="7" xfId="0" applyFill="1" applyBorder="1"/>
    <xf numFmtId="2" fontId="0" fillId="0" borderId="8" xfId="0" applyNumberFormat="1" applyFill="1" applyBorder="1"/>
    <xf numFmtId="2" fontId="0" fillId="0" borderId="7" xfId="0" applyNumberFormat="1" applyFill="1" applyBorder="1"/>
    <xf numFmtId="0" fontId="0" fillId="0" borderId="7" xfId="0" applyBorder="1"/>
    <xf numFmtId="2" fontId="0" fillId="0" borderId="12" xfId="0" applyNumberFormat="1" applyFill="1" applyBorder="1"/>
    <xf numFmtId="2" fontId="18" fillId="0" borderId="14" xfId="1" applyNumberFormat="1" applyFill="1" applyBorder="1"/>
    <xf numFmtId="2" fontId="0" fillId="110" borderId="4" xfId="0" applyNumberFormat="1" applyFill="1" applyBorder="1"/>
    <xf numFmtId="0" fontId="0" fillId="0" borderId="17" xfId="0" applyFill="1" applyBorder="1"/>
    <xf numFmtId="0" fontId="0" fillId="111" borderId="0" xfId="0" applyFill="1"/>
    <xf numFmtId="0" fontId="2" fillId="111" borderId="5" xfId="0" applyFont="1" applyFill="1" applyBorder="1" applyAlignment="1">
      <alignment horizontal="left" vertical="top" wrapText="1"/>
    </xf>
    <xf numFmtId="2" fontId="0" fillId="111" borderId="6" xfId="0" applyNumberFormat="1" applyFill="1" applyBorder="1"/>
    <xf numFmtId="2" fontId="0" fillId="111" borderId="4" xfId="0" applyNumberFormat="1" applyFill="1" applyBorder="1"/>
    <xf numFmtId="2" fontId="0" fillId="111" borderId="0" xfId="0" applyNumberFormat="1" applyFill="1"/>
    <xf numFmtId="2" fontId="0" fillId="111" borderId="0" xfId="0" applyNumberFormat="1" applyFill="1" applyBorder="1"/>
    <xf numFmtId="1" fontId="0" fillId="104" borderId="0" xfId="0" applyNumberFormat="1" applyFill="1" applyBorder="1" applyAlignment="1">
      <alignment horizontal="center" vertical="center" wrapText="1"/>
    </xf>
    <xf numFmtId="0" fontId="0" fillId="104" borderId="18" xfId="0" applyFill="1" applyBorder="1"/>
    <xf numFmtId="1" fontId="0" fillId="0" borderId="0" xfId="0" applyNumberFormat="1" applyFill="1"/>
    <xf numFmtId="1" fontId="0" fillId="0" borderId="0" xfId="0" applyNumberFormat="1" applyFill="1" applyBorder="1"/>
    <xf numFmtId="49" fontId="0" fillId="102" borderId="6" xfId="0" applyNumberFormat="1" applyFill="1" applyBorder="1"/>
    <xf numFmtId="49" fontId="0" fillId="103" borderId="4" xfId="0" applyNumberFormat="1" applyFill="1" applyBorder="1"/>
    <xf numFmtId="49" fontId="0" fillId="0" borderId="6" xfId="0" applyNumberFormat="1" applyFill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1" fontId="0" fillId="113" borderId="0" xfId="0" applyNumberFormat="1" applyFill="1" applyBorder="1"/>
    <xf numFmtId="1" fontId="0" fillId="113" borderId="0" xfId="0" applyNumberFormat="1" applyFill="1" applyBorder="1" applyAlignment="1">
      <alignment horizontal="center" vertical="center" wrapText="1"/>
    </xf>
    <xf numFmtId="0" fontId="0" fillId="113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wrapText="1"/>
    </xf>
    <xf numFmtId="0" fontId="2" fillId="113" borderId="5" xfId="0" applyFont="1" applyFill="1" applyBorder="1" applyAlignment="1">
      <alignment horizontal="left" vertical="top" wrapText="1"/>
    </xf>
    <xf numFmtId="0" fontId="0" fillId="113" borderId="0" xfId="0" applyFill="1" applyBorder="1"/>
    <xf numFmtId="1" fontId="0" fillId="113" borderId="6" xfId="0" applyNumberFormat="1" applyFill="1" applyBorder="1"/>
    <xf numFmtId="1" fontId="0" fillId="113" borderId="4" xfId="0" applyNumberFormat="1" applyFill="1" applyBorder="1"/>
    <xf numFmtId="0" fontId="0" fillId="112" borderId="4" xfId="0" applyFill="1" applyBorder="1" applyAlignment="1">
      <alignment horizontal="center" wrapText="1"/>
    </xf>
    <xf numFmtId="0" fontId="13" fillId="113" borderId="0" xfId="0" applyFont="1" applyFill="1" applyBorder="1" applyAlignment="1">
      <alignment horizontal="center" vertical="center"/>
    </xf>
    <xf numFmtId="0" fontId="13" fillId="112" borderId="0" xfId="0" applyFont="1" applyFill="1" applyBorder="1"/>
    <xf numFmtId="0" fontId="13" fillId="112" borderId="0" xfId="0" applyFont="1" applyFill="1" applyBorder="1" applyAlignment="1">
      <alignment horizontal="center" vertical="center" wrapText="1"/>
    </xf>
    <xf numFmtId="0" fontId="13" fillId="112" borderId="0" xfId="0" applyFont="1" applyFill="1" applyBorder="1" applyAlignment="1">
      <alignment horizontal="center" vertical="center"/>
    </xf>
    <xf numFmtId="0" fontId="19" fillId="112" borderId="5" xfId="0" applyFont="1" applyFill="1" applyBorder="1" applyAlignment="1">
      <alignment horizontal="left" vertical="top" wrapText="1"/>
    </xf>
    <xf numFmtId="1" fontId="13" fillId="112" borderId="6" xfId="0" applyNumberFormat="1" applyFont="1" applyFill="1" applyBorder="1"/>
    <xf numFmtId="1" fontId="13" fillId="112" borderId="4" xfId="0" applyNumberFormat="1" applyFont="1" applyFill="1" applyBorder="1"/>
    <xf numFmtId="0" fontId="13" fillId="112" borderId="6" xfId="0" applyFont="1" applyFill="1" applyBorder="1"/>
    <xf numFmtId="0" fontId="13" fillId="112" borderId="4" xfId="0" applyFont="1" applyFill="1" applyBorder="1"/>
    <xf numFmtId="1" fontId="0" fillId="114" borderId="0" xfId="0" applyNumberFormat="1" applyFill="1" applyBorder="1"/>
    <xf numFmtId="1" fontId="0" fillId="114" borderId="0" xfId="0" applyNumberFormat="1" applyFill="1" applyBorder="1" applyAlignment="1">
      <alignment horizontal="center" vertical="center" wrapText="1"/>
    </xf>
    <xf numFmtId="0" fontId="0" fillId="114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wrapText="1"/>
    </xf>
    <xf numFmtId="0" fontId="2" fillId="114" borderId="5" xfId="0" applyFont="1" applyFill="1" applyBorder="1" applyAlignment="1">
      <alignment horizontal="left" vertical="top" wrapText="1"/>
    </xf>
    <xf numFmtId="49" fontId="0" fillId="114" borderId="6" xfId="0" applyNumberFormat="1" applyFill="1" applyBorder="1"/>
    <xf numFmtId="49" fontId="0" fillId="114" borderId="4" xfId="0" applyNumberFormat="1" applyFill="1" applyBorder="1"/>
    <xf numFmtId="49" fontId="0" fillId="114" borderId="0" xfId="0" applyNumberFormat="1" applyFill="1" applyBorder="1"/>
    <xf numFmtId="0" fontId="0" fillId="114" borderId="0" xfId="0" applyFill="1" applyBorder="1"/>
    <xf numFmtId="1" fontId="0" fillId="0" borderId="0" xfId="0" applyNumberFormat="1"/>
    <xf numFmtId="1" fontId="0" fillId="111" borderId="6" xfId="0" applyNumberFormat="1" applyFill="1" applyBorder="1"/>
    <xf numFmtId="1" fontId="0" fillId="111" borderId="4" xfId="0" applyNumberFormat="1" applyFill="1" applyBorder="1"/>
    <xf numFmtId="2" fontId="0" fillId="115" borderId="0" xfId="0" applyNumberFormat="1" applyFill="1"/>
    <xf numFmtId="0" fontId="0" fillId="115" borderId="0" xfId="0" applyFill="1"/>
    <xf numFmtId="0" fontId="0" fillId="115" borderId="16" xfId="0" applyFill="1" applyBorder="1"/>
    <xf numFmtId="0" fontId="0" fillId="115" borderId="18" xfId="0" applyFill="1" applyBorder="1"/>
    <xf numFmtId="0" fontId="17" fillId="115" borderId="5" xfId="0" applyFont="1" applyFill="1" applyBorder="1" applyAlignment="1">
      <alignment horizontal="left" vertical="top" wrapText="1"/>
    </xf>
    <xf numFmtId="0" fontId="2" fillId="115" borderId="5" xfId="0" applyFont="1" applyFill="1" applyBorder="1" applyAlignment="1">
      <alignment horizontal="left" vertical="top" wrapText="1"/>
    </xf>
    <xf numFmtId="1" fontId="0" fillId="115" borderId="6" xfId="0" applyNumberFormat="1" applyFill="1" applyBorder="1"/>
    <xf numFmtId="1" fontId="0" fillId="115" borderId="4" xfId="0" applyNumberFormat="1" applyFill="1" applyBorder="1"/>
    <xf numFmtId="2" fontId="0" fillId="115" borderId="4" xfId="0" applyNumberFormat="1" applyFill="1" applyBorder="1"/>
    <xf numFmtId="1" fontId="0" fillId="115" borderId="0" xfId="0" applyNumberFormat="1" applyFill="1"/>
    <xf numFmtId="0" fontId="20" fillId="114" borderId="0" xfId="0" applyFont="1" applyFill="1" applyBorder="1" applyAlignment="1">
      <alignment horizontal="center" vertical="center"/>
    </xf>
    <xf numFmtId="0" fontId="13" fillId="111" borderId="0" xfId="0" applyFont="1" applyFill="1"/>
    <xf numFmtId="0" fontId="0" fillId="116" borderId="0" xfId="0" applyFill="1"/>
    <xf numFmtId="0" fontId="13" fillId="116" borderId="0" xfId="0" applyFont="1" applyFill="1"/>
    <xf numFmtId="0" fontId="2" fillId="116" borderId="5" xfId="0" applyFont="1" applyFill="1" applyBorder="1" applyAlignment="1">
      <alignment horizontal="left" vertical="top" wrapText="1"/>
    </xf>
    <xf numFmtId="1" fontId="0" fillId="116" borderId="6" xfId="0" applyNumberFormat="1" applyFill="1" applyBorder="1"/>
    <xf numFmtId="1" fontId="0" fillId="116" borderId="4" xfId="0" applyNumberFormat="1" applyFill="1" applyBorder="1"/>
    <xf numFmtId="2" fontId="13" fillId="115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1" fontId="0" fillId="117" borderId="19" xfId="0" applyNumberFormat="1" applyFont="1" applyFill="1" applyBorder="1"/>
    <xf numFmtId="0" fontId="13" fillId="112" borderId="19" xfId="0" applyFont="1" applyFill="1" applyBorder="1"/>
    <xf numFmtId="2" fontId="0" fillId="117" borderId="21" xfId="0" applyNumberFormat="1" applyFont="1" applyFill="1" applyBorder="1"/>
    <xf numFmtId="1" fontId="0" fillId="113" borderId="22" xfId="0" applyNumberFormat="1" applyFont="1" applyFill="1" applyBorder="1"/>
    <xf numFmtId="49" fontId="0" fillId="114" borderId="22" xfId="0" applyNumberFormat="1" applyFont="1" applyFill="1" applyBorder="1"/>
    <xf numFmtId="2" fontId="0" fillId="111" borderId="22" xfId="0" applyNumberFormat="1" applyFont="1" applyFill="1" applyBorder="1"/>
    <xf numFmtId="2" fontId="0" fillId="109" borderId="21" xfId="0" applyNumberFormat="1" applyFont="1" applyFill="1" applyBorder="1"/>
    <xf numFmtId="2" fontId="0" fillId="107" borderId="21" xfId="0" applyNumberFormat="1" applyFont="1" applyFill="1" applyBorder="1"/>
    <xf numFmtId="2" fontId="0" fillId="106" borderId="21" xfId="0" applyNumberFormat="1" applyFont="1" applyFill="1" applyBorder="1"/>
    <xf numFmtId="1" fontId="0" fillId="117" borderId="22" xfId="0" applyNumberFormat="1" applyFont="1" applyFill="1" applyBorder="1"/>
    <xf numFmtId="2" fontId="0" fillId="117" borderId="22" xfId="0" applyNumberFormat="1" applyFont="1" applyFill="1" applyBorder="1"/>
    <xf numFmtId="0" fontId="0" fillId="117" borderId="19" xfId="0" applyFont="1" applyFill="1" applyBorder="1"/>
    <xf numFmtId="1" fontId="0" fillId="117" borderId="23" xfId="0" applyNumberFormat="1" applyFont="1" applyFill="1" applyBorder="1"/>
    <xf numFmtId="2" fontId="0" fillId="110" borderId="19" xfId="0" applyNumberFormat="1" applyFont="1" applyFill="1" applyBorder="1"/>
    <xf numFmtId="1" fontId="0" fillId="117" borderId="24" xfId="0" applyNumberFormat="1" applyFont="1" applyFill="1" applyBorder="1"/>
    <xf numFmtId="0" fontId="0" fillId="117" borderId="24" xfId="0" applyFont="1" applyFill="1" applyBorder="1"/>
    <xf numFmtId="2" fontId="0" fillId="117" borderId="25" xfId="0" applyNumberFormat="1" applyFont="1" applyFill="1" applyBorder="1"/>
    <xf numFmtId="1" fontId="0" fillId="111" borderId="24" xfId="0" applyNumberFormat="1" applyFont="1" applyFill="1" applyBorder="1"/>
    <xf numFmtId="0" fontId="0" fillId="116" borderId="22" xfId="0" applyFont="1" applyFill="1" applyBorder="1"/>
    <xf numFmtId="0" fontId="0" fillId="117" borderId="22" xfId="0" applyFont="1" applyFill="1" applyBorder="1"/>
    <xf numFmtId="1" fontId="0" fillId="118" borderId="4" xfId="0" applyNumberFormat="1" applyFill="1" applyBorder="1"/>
    <xf numFmtId="49" fontId="0" fillId="103" borderId="0" xfId="0" applyNumberFormat="1" applyFill="1"/>
    <xf numFmtId="2" fontId="0" fillId="103" borderId="0" xfId="0" applyNumberFormat="1" applyFill="1"/>
    <xf numFmtId="2" fontId="0" fillId="103" borderId="4" xfId="0" applyNumberFormat="1" applyFill="1" applyBorder="1"/>
    <xf numFmtId="1" fontId="0" fillId="103" borderId="6" xfId="0" applyNumberFormat="1" applyFill="1" applyBorder="1"/>
    <xf numFmtId="1" fontId="0" fillId="103" borderId="0" xfId="0" applyNumberFormat="1" applyFill="1"/>
    <xf numFmtId="0" fontId="0" fillId="103" borderId="0" xfId="0" applyFill="1"/>
    <xf numFmtId="2" fontId="0" fillId="103" borderId="9" xfId="0" applyNumberFormat="1" applyFill="1" applyBorder="1"/>
    <xf numFmtId="2" fontId="0" fillId="103" borderId="7" xfId="0" applyNumberFormat="1" applyFill="1" applyBorder="1"/>
    <xf numFmtId="49" fontId="0" fillId="103" borderId="0" xfId="0" applyNumberFormat="1" applyFill="1" applyBorder="1"/>
    <xf numFmtId="0" fontId="0" fillId="103" borderId="6" xfId="0" applyFill="1" applyBorder="1"/>
    <xf numFmtId="1" fontId="0" fillId="103" borderId="0" xfId="0" applyNumberFormat="1" applyFill="1" applyBorder="1"/>
    <xf numFmtId="49" fontId="0" fillId="103" borderId="6" xfId="0" applyNumberFormat="1" applyFill="1" applyBorder="1"/>
    <xf numFmtId="1" fontId="0" fillId="104" borderId="0" xfId="0" applyNumberFormat="1" applyFill="1" applyBorder="1" applyAlignment="1">
      <alignment horizontal="center" vertical="center" wrapText="1"/>
    </xf>
    <xf numFmtId="1" fontId="0" fillId="104" borderId="0" xfId="0" applyNumberFormat="1" applyFill="1" applyBorder="1" applyAlignment="1">
      <alignment horizontal="center" vertical="center" wrapText="1"/>
    </xf>
    <xf numFmtId="0" fontId="0" fillId="119" borderId="0" xfId="0" applyFill="1"/>
    <xf numFmtId="0" fontId="0" fillId="119" borderId="0" xfId="0" applyFill="1" applyBorder="1" applyAlignment="1">
      <alignment horizontal="center" vertical="center"/>
    </xf>
    <xf numFmtId="0" fontId="2" fillId="119" borderId="5" xfId="0" applyFont="1" applyFill="1" applyBorder="1" applyAlignment="1">
      <alignment horizontal="left" vertical="top" wrapText="1"/>
    </xf>
    <xf numFmtId="2" fontId="0" fillId="119" borderId="6" xfId="0" applyNumberFormat="1" applyFill="1" applyBorder="1"/>
    <xf numFmtId="2" fontId="0" fillId="119" borderId="4" xfId="0" applyNumberFormat="1" applyFill="1" applyBorder="1"/>
    <xf numFmtId="2" fontId="0" fillId="119" borderId="0" xfId="0" applyNumberFormat="1" applyFill="1"/>
    <xf numFmtId="2" fontId="0" fillId="119" borderId="0" xfId="0" applyNumberFormat="1" applyFill="1" applyBorder="1"/>
    <xf numFmtId="2" fontId="0" fillId="119" borderId="9" xfId="0" applyNumberFormat="1" applyFill="1" applyBorder="1"/>
    <xf numFmtId="2" fontId="0" fillId="120" borderId="20" xfId="0" applyNumberFormat="1" applyFont="1" applyFill="1" applyBorder="1"/>
    <xf numFmtId="0" fontId="0" fillId="119" borderId="7" xfId="0" applyFill="1" applyBorder="1"/>
    <xf numFmtId="0" fontId="0" fillId="103" borderId="0" xfId="0" applyFill="1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6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theme="5" tint="-0.249977111117893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C000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rgb="FFC00000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rgb="FFFFC000"/>
        </patternFill>
      </fill>
    </dxf>
    <dxf>
      <numFmt numFmtId="30" formatCode="@"/>
      <fill>
        <patternFill>
          <fgColor indexed="64"/>
          <bgColor rgb="FF7030A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>
          <fgColor indexed="64"/>
          <bgColor rgb="FF0070C0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font>
        <b/>
      </font>
      <fill>
        <patternFill>
          <fgColor indexed="64"/>
          <bgColor rgb="FF00B05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integer" name="Cost" form="unqualified"/>
                </xsd:sequence>
              </xsd:complexType>
            </xsd:element>
          </xsd:sequence>
        </xsd:complexType>
      </xsd:element>
    </xsd:schema>
  </Schema>
  <Map ID="12" Name="Units_mapa1" RootElement="Units" SchemaID="Schema3" ShowImportExportValidationErrors="false" AutoFit="true" Append="false" PreserveSortAFLayout="true" PreserveFormat="true">
    <DataBinding FileBinding="true" ConnectionID="1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8:AN27" tableType="xml" totalsRowShown="0" headerRowDxfId="42" headerRowBorderDxfId="40" tableBorderDxfId="41" connectionId="10">
  <autoFilter ref="A8:AN27" xr:uid="{00000000-0009-0000-0100-000002000000}">
    <filterColumn colId="1">
      <filters>
        <filter val="Barbarians"/>
        <filter val="Lizardman"/>
        <filter val="Mage"/>
      </filters>
    </filterColumn>
  </autoFilter>
  <tableColumns count="40">
    <tableColumn id="3" xr3:uid="{00000000-0010-0000-0000-000003000000}" uniqueName="Name" name="Name" dataDxfId="39">
      <xmlColumnPr mapId="12" xpath="/Units/Unit/Name" xmlDataType="string"/>
    </tableColumn>
    <tableColumn id="4" xr3:uid="{00000000-0010-0000-0000-000004000000}" uniqueName="0" name="Fraction" dataDxfId="38"/>
    <tableColumn id="46" xr3:uid="{00000000-0010-0000-0000-00002E000000}" uniqueName="46" name="Stat" dataDxfId="37"/>
    <tableColumn id="5" xr3:uid="{00000000-0010-0000-0000-000005000000}" uniqueName="0" name="Level" dataDxfId="36"/>
    <tableColumn id="10" xr3:uid="{00000000-0010-0000-0000-00000A000000}" uniqueName="HP" name="Health" dataDxfId="35">
      <xmlColumnPr mapId="12" xpath="/Units/Unit/HP" xmlDataType="integer"/>
    </tableColumn>
    <tableColumn id="6" xr3:uid="{00000000-0010-0000-0000-000006000000}" uniqueName="Attack" name="Attack" dataDxfId="34">
      <xmlColumnPr mapId="12" xpath="/Units/Unit/Attack" xmlDataType="integer"/>
    </tableColumn>
    <tableColumn id="7" xr3:uid="{00000000-0010-0000-0000-000007000000}" uniqueName="Defense" name="Defence" dataDxfId="33">
      <xmlColumnPr mapId="12" xpath="/Units/Unit/Defense" xmlDataType="integer"/>
    </tableColumn>
    <tableColumn id="8" xr3:uid="{00000000-0010-0000-0000-000008000000}" uniqueName="DamageMinimum" name="Damage min" dataDxfId="32">
      <xmlColumnPr mapId="12" xpath="/Units/Unit/DamageMinimum" xmlDataType="integer"/>
    </tableColumn>
    <tableColumn id="9" xr3:uid="{00000000-0010-0000-0000-000009000000}" uniqueName="DamageMaximum" name="Damage max" dataDxfId="31">
      <xmlColumnPr mapId="12" xpath="/Units/Unit/DamageMaximum" xmlDataType="integer"/>
    </tableColumn>
    <tableColumn id="1" xr3:uid="{00000000-0010-0000-0000-000001000000}" uniqueName="Speed" name="S" dataDxfId="30">
      <xmlColumnPr mapId="12" xpath="/Units/Unit/Speed" xmlDataType="integer"/>
    </tableColumn>
    <tableColumn id="2" xr3:uid="{00000000-0010-0000-0000-000002000000}" uniqueName="Initiative" name="I" dataDxfId="29">
      <xmlColumnPr mapId="12" xpath="/Units/Unit/Initiative" xmlDataType="integer"/>
    </tableColumn>
    <tableColumn id="52" xr3:uid="{00000000-0010-0000-0000-000034000000}" uniqueName="Cost" name="Cena" dataDxfId="28">
      <calculatedColumnFormula>INT(Tabela2[[#This Row],[Cena SIM]])</calculatedColumnFormula>
    </tableColumn>
    <tableColumn id="19" xr3:uid="{7273346A-DF02-485E-A166-B5DCC2C677BF}" uniqueName="Cost" name="Kolumna2" dataDxfId="27">
      <calculatedColumnFormula>Tabela2[[#This Row],[Cena]]*1</calculatedColumnFormula>
      <xmlColumnPr mapId="12" xpath="/Units/Unit/Cost" xmlDataType="integer"/>
    </tableColumn>
    <tableColumn id="44" xr3:uid="{00000000-0010-0000-0000-00002C000000}" uniqueName="44" name="Sk" dataDxfId="26"/>
    <tableColumn id="42" xr3:uid="{00000000-0010-0000-0000-00002A000000}" uniqueName="Skill1" name="Skill1" dataDxfId="25">
      <xmlColumnPr mapId="12" xpath="/Units/Unit/Skills/Skill1" xmlDataType="string"/>
    </tableColumn>
    <tableColumn id="40" xr3:uid="{00000000-0010-0000-0000-000028000000}" uniqueName="Skill2" name="Skill2" dataDxfId="24">
      <xmlColumnPr mapId="12" xpath="/Units/Unit/Skills/Skill2" xmlDataType="string"/>
    </tableColumn>
    <tableColumn id="36" xr3:uid="{00000000-0010-0000-0000-000024000000}" uniqueName="Skill3" name="Skill3" dataDxfId="23">
      <xmlColumnPr mapId="12" xpath="/Units/Unit/Skills/Skill3" xmlDataType="string"/>
    </tableColumn>
    <tableColumn id="34" xr3:uid="{00000000-0010-0000-0000-000022000000}" uniqueName="Skill4" name="Skill4" dataDxfId="22">
      <xmlColumnPr mapId="12" xpath="/Units/Unit/Skills/Skill4" xmlDataType="string"/>
    </tableColumn>
    <tableColumn id="48" xr3:uid="{00000000-0010-0000-0000-000030000000}" uniqueName="48" name="Wsk" dataDxfId="21"/>
    <tableColumn id="29" xr3:uid="{00000000-0010-0000-0000-00001D000000}" uniqueName="0" name="ZBALANSOWANA ILOSC" dataDxfId="20">
      <calculatedColumnFormula>AG9*Tabela2[[#This Row],[Odchyłka]]</calculatedColumnFormula>
    </tableColumn>
    <tableColumn id="27" xr3:uid="{00000000-0010-0000-0000-00001B000000}" uniqueName="0" name="Toughnessness" dataDxfId="19">
      <calculatedColumnFormula>Tabela2[[#This Row],[VWD]]/Tabela2[[#This Row],[VWO]]</calculatedColumnFormula>
    </tableColumn>
    <tableColumn id="17" xr3:uid="{00000000-0010-0000-0000-000011000000}" uniqueName="0" name="VWO" dataDxfId="18">
      <calculatedColumnFormula>AVERAGE((Tabela2[[#This Row],[Damage max]],Tabela2[[#This Row],[Damage min]]))*(1+(Tabela2[[#This Row],[Attack]]-$G$10)*IF(Tabela2[[#This Row],[Attack]]-$G$10 = 0, 1, IF(Tabela2[[#This Row],[Attack]]-$G$10 &gt; 0, $G$4,-$J$4)))/$E$10</calculatedColumnFormula>
    </tableColumn>
    <tableColumn id="28" xr3:uid="{00000000-0010-0000-0000-00001C000000}" uniqueName="0" name="VWO_R" dataDxfId="17">
      <calculatedColumnFormula>MAX(Tabela2[VWO])/Tabela2[[#This Row],[VWO]]</calculatedColumnFormula>
    </tableColumn>
    <tableColumn id="18" xr3:uid="{00000000-0010-0000-0000-000012000000}" uniqueName="0" name="VWD" dataDxfId="16">
      <calculatedColumnFormula>Tabela2[[#This Row],[Health]]/(AVERAGE($H$10,$I$10)*(1+($F$10-Tabela2[[#This Row],[Defence]])*IF($F$10-Tabela2[[#This Row],[Defence]] = 0, 1, IF($F$10-Tabela2[[#This Row],[Defence]] &gt; 0, $G$4,$J$4))))</calculatedColumnFormula>
    </tableColumn>
    <tableColumn id="14" xr3:uid="{00000000-0010-0000-0000-00000E000000}" uniqueName="0" name="VWD_R" dataDxfId="15">
      <calculatedColumnFormula>MAX(Tabela2[VWD])/Tabela2[[#This Row],[VWD]]</calculatedColumnFormula>
    </tableColumn>
    <tableColumn id="15" xr3:uid="{00000000-0010-0000-0000-00000F000000}" uniqueName="0" name="V_Off" dataDxfId="14">
      <calculatedColumnFormula>Tabela2[[#This Row],[VWO]]*Tabela2[[#This Row],[VWD_R]]</calculatedColumnFormula>
    </tableColumn>
    <tableColumn id="16" xr3:uid="{00000000-0010-0000-0000-000010000000}" uniqueName="0" name="V_Def" dataDxfId="13">
      <calculatedColumnFormula>Tabela2[[#This Row],[VWO_R]]*Tabela2[[#This Row],[VWD]]</calculatedColumnFormula>
    </tableColumn>
    <tableColumn id="33" xr3:uid="{00000000-0010-0000-0000-000021000000}" uniqueName="0" name="!ŚREDNIA" dataDxfId="12">
      <calculatedColumnFormula>(Tabela2[[#This Row],[V_Def]]+Tabela2[[#This Row],[V_Off]])/2</calculatedColumnFormula>
    </tableColumn>
    <tableColumn id="35" xr3:uid="{00000000-0010-0000-0000-000023000000}" uniqueName="0" name="Odchyłka" dataDxfId="11">
      <calculatedColumnFormula>472.09/Tabela2[[#This Row],[!ŚREDNIA]]</calculatedColumnFormula>
    </tableColumn>
    <tableColumn id="38" xr3:uid="{00000000-0010-0000-0000-000026000000}" uniqueName="0" name="Suma VW" dataDxfId="10">
      <calculatedColumnFormula>Tabela2[[#This Row],[VWO]]+Tabela2[[#This Row],[VWD]]</calculatedColumnFormula>
    </tableColumn>
    <tableColumn id="39" xr3:uid="{00000000-0010-0000-0000-000027000000}" uniqueName="0" name="Suma*Odchyłka" dataDxfId="9">
      <calculatedColumnFormula>Tabela2[[#This Row],[Suma VW]]*Tabela2[[#This Row],[Odchyłka]]</calculatedColumnFormula>
    </tableColumn>
    <tableColumn id="37" xr3:uid="{00000000-0010-0000-0000-000025000000}" uniqueName="0" name="V/HP" dataDxfId="8">
      <calculatedColumnFormula>Tabela2[[#This Row],[Suma*Odchyłka]]/2*1.17</calculatedColumnFormula>
    </tableColumn>
    <tableColumn id="70" xr3:uid="{00000000-0010-0000-0000-000046000000}" uniqueName="70" name="Kolumna1" dataDxfId="7">
      <calculatedColumnFormula>15000/Tabela2[[#This Row],[V/HP]]/27.17</calculatedColumnFormula>
    </tableColumn>
    <tableColumn id="11" xr3:uid="{00000000-0010-0000-0000-00000B000000}" uniqueName="0" name="SIM" dataDxfId="6"/>
    <tableColumn id="13" xr3:uid="{00000000-0010-0000-0000-00000D000000}" uniqueName="0" name="FixedAmountAfterSearching" dataDxfId="5"/>
    <tableColumn id="31" xr3:uid="{00000000-0010-0000-0000-00001F000000}" uniqueName="0" name="AMT " dataDxfId="4">
      <calculatedColumnFormula>Tabela2[[#This Row],[FixedAmountAfterSearching]]/136</calculatedColumnFormula>
    </tableColumn>
    <tableColumn id="53" xr3:uid="{00000000-0010-0000-0000-000035000000}" uniqueName="53" name="Cena SIM" dataDxfId="3">
      <calculatedColumnFormula>1000/Tabela2[[#This Row],[AMT ]]</calculatedColumnFormula>
    </tableColumn>
    <tableColumn id="54" xr3:uid="{00000000-0010-0000-0000-000036000000}" uniqueName="54" name="Ilość" dataDxfId="2">
      <calculatedColumnFormula>$AL$7/Tabela2[[#This Row],[Kolumna2]]</calculatedColumnFormula>
    </tableColumn>
    <tableColumn id="72" xr3:uid="{00000000-0010-0000-0000-000048000000}" uniqueName="72" name="Data" dataDxfId="1"/>
    <tableColumn id="73" xr3:uid="{00000000-0010-0000-0000-000049000000}" uniqueName="Sprite" name="Sprite" dataDxfId="0">
      <xmlColumnPr mapId="12" xpath="/Units/Unit/Sprite" xmlDataType="string"/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"/>
  <sheetViews>
    <sheetView tabSelected="1" zoomScale="120" zoomScaleNormal="120" workbookViewId="0">
      <pane xSplit="1" ySplit="10" topLeftCell="E11" activePane="bottomRight" state="frozen"/>
      <selection pane="topRight" activeCell="B1" sqref="B1"/>
      <selection pane="bottomLeft" activeCell="A11" sqref="A11"/>
      <selection pane="bottomRight" activeCell="A9" sqref="A9:A27"/>
    </sheetView>
  </sheetViews>
  <sheetFormatPr defaultRowHeight="15" outlineLevelCol="1" x14ac:dyDescent="0.25"/>
  <cols>
    <col min="1" max="1" width="12.7109375" style="130" customWidth="1"/>
    <col min="2" max="2" width="10.42578125" style="139" customWidth="1"/>
    <col min="3" max="3" width="10.42578125" style="215" customWidth="1"/>
    <col min="4" max="6" width="7" style="130" customWidth="1"/>
    <col min="7" max="11" width="7" style="131" customWidth="1"/>
    <col min="12" max="13" width="7" style="132" customWidth="1"/>
    <col min="14" max="14" width="5.28515625" style="198" bestFit="1" customWidth="1"/>
    <col min="15" max="18" width="10.42578125" style="132" customWidth="1" outlineLevel="1"/>
    <col min="19" max="19" width="9.42578125" style="216" customWidth="1"/>
    <col min="20" max="20" width="8.7109375" style="152" customWidth="1"/>
    <col min="21" max="21" width="8.7109375" style="292" customWidth="1"/>
    <col min="22" max="22" width="8.7109375" style="165" hidden="1" customWidth="1"/>
    <col min="23" max="23" width="8.7109375" style="168" hidden="1" customWidth="1"/>
    <col min="24" max="24" width="8.7109375" style="171" hidden="1" customWidth="1"/>
    <col min="25" max="25" width="8.7109375" style="173" hidden="1" customWidth="1"/>
    <col min="26" max="26" width="8.7109375" style="129" hidden="1" customWidth="1"/>
    <col min="27" max="33" width="8.7109375" style="177" hidden="1" customWidth="1"/>
    <col min="34" max="34" width="9.5703125" style="182" customWidth="1"/>
    <col min="35" max="35" width="9.42578125" style="136" customWidth="1"/>
    <col min="36" max="38" width="9.140625" customWidth="1"/>
    <col min="39" max="39" width="7.28515625" style="240" customWidth="1"/>
    <col min="40" max="40" width="8.5703125" customWidth="1"/>
    <col min="41" max="41" width="13.28515625" style="228" bestFit="1" customWidth="1"/>
    <col min="42" max="42" width="14" style="228" hidden="1" customWidth="1"/>
    <col min="43" max="48" width="3.7109375" style="228" hidden="1" customWidth="1"/>
    <col min="49" max="49" width="3.28515625" style="228" hidden="1" customWidth="1"/>
    <col min="50" max="50" width="9.140625" style="229" hidden="1" customWidth="1"/>
    <col min="51" max="51" width="12.42578125" style="229" hidden="1" customWidth="1"/>
    <col min="52" max="52" width="39" style="229" hidden="1" customWidth="1"/>
    <col min="53" max="53" width="27.85546875" style="229" hidden="1" customWidth="1"/>
    <col min="54" max="54" width="11" style="229" hidden="1" customWidth="1"/>
  </cols>
  <sheetData>
    <row r="1" spans="1:54" s="143" customFormat="1" ht="17.25" x14ac:dyDescent="0.3">
      <c r="A1" s="140"/>
      <c r="B1" s="139"/>
      <c r="C1" s="208"/>
      <c r="D1" s="141" t="s">
        <v>0</v>
      </c>
      <c r="E1" s="141"/>
      <c r="F1" s="144"/>
      <c r="G1" s="144"/>
      <c r="H1" s="144"/>
      <c r="I1" s="144"/>
      <c r="J1" s="142"/>
      <c r="K1" s="142"/>
      <c r="L1" s="142"/>
      <c r="M1" s="142"/>
      <c r="N1" s="198"/>
      <c r="O1" s="142"/>
      <c r="P1" s="142"/>
      <c r="Q1" s="142"/>
      <c r="R1" s="142"/>
      <c r="S1" s="216"/>
      <c r="U1" s="283"/>
      <c r="V1" s="153" t="s">
        <v>225</v>
      </c>
      <c r="W1" s="153"/>
      <c r="X1" s="153"/>
      <c r="Y1" s="153"/>
      <c r="Z1" s="169"/>
      <c r="AA1" s="153"/>
      <c r="AB1" s="174" t="s">
        <v>231</v>
      </c>
      <c r="AC1" s="174"/>
      <c r="AD1" s="174"/>
      <c r="AE1" s="174"/>
      <c r="AF1" s="174"/>
      <c r="AG1" s="174"/>
      <c r="AH1" s="182"/>
      <c r="AI1" s="143" t="s">
        <v>265</v>
      </c>
      <c r="AK1" s="189"/>
      <c r="AL1" s="140"/>
      <c r="AM1" s="240"/>
      <c r="AO1" s="228"/>
      <c r="AP1" s="228"/>
      <c r="AQ1" s="228"/>
      <c r="AR1" s="228"/>
      <c r="AS1" s="228"/>
      <c r="AT1" s="228" t="s">
        <v>196</v>
      </c>
      <c r="AU1" s="228"/>
      <c r="AV1" s="228"/>
      <c r="AW1" s="228"/>
      <c r="AX1" s="229"/>
      <c r="AY1" s="229"/>
      <c r="AZ1" s="230" t="s">
        <v>249</v>
      </c>
      <c r="BA1" s="231"/>
      <c r="BB1" s="231"/>
    </row>
    <row r="2" spans="1:54" s="143" customFormat="1" ht="15" customHeight="1" x14ac:dyDescent="0.25">
      <c r="A2" s="148"/>
      <c r="B2" s="139"/>
      <c r="C2" s="209"/>
      <c r="D2" s="148"/>
      <c r="E2" s="148"/>
      <c r="F2" s="145"/>
      <c r="G2" s="145"/>
      <c r="H2" s="145"/>
      <c r="I2" s="145"/>
      <c r="J2" s="145"/>
      <c r="K2" s="145"/>
      <c r="L2" s="188"/>
      <c r="M2" s="281"/>
      <c r="N2" s="199"/>
      <c r="O2" s="188"/>
      <c r="P2" s="188"/>
      <c r="Q2" s="188"/>
      <c r="R2" s="188"/>
      <c r="S2" s="217"/>
      <c r="U2" s="283" t="s">
        <v>234</v>
      </c>
      <c r="V2" s="153"/>
      <c r="W2" s="159" t="s">
        <v>219</v>
      </c>
      <c r="X2" s="153"/>
      <c r="Y2" s="153"/>
      <c r="Z2" s="169"/>
      <c r="AA2" s="153"/>
      <c r="AB2" s="174"/>
      <c r="AC2" s="174" t="s">
        <v>235</v>
      </c>
      <c r="AD2" s="174"/>
      <c r="AE2" s="174"/>
      <c r="AF2" s="174"/>
      <c r="AG2" s="174"/>
      <c r="AH2" s="182"/>
      <c r="AJ2" s="143" t="s">
        <v>266</v>
      </c>
      <c r="AK2" s="189"/>
      <c r="AL2" s="140"/>
      <c r="AM2" s="240"/>
      <c r="AO2" s="228"/>
      <c r="AP2" s="228"/>
      <c r="AQ2" s="228"/>
      <c r="AR2" s="228"/>
      <c r="AS2" s="228"/>
      <c r="AT2" s="228" t="s">
        <v>197</v>
      </c>
      <c r="AU2" s="228"/>
      <c r="AV2" s="228"/>
      <c r="AW2" s="228"/>
      <c r="AX2" s="229"/>
      <c r="AY2" s="229"/>
      <c r="AZ2" s="230"/>
      <c r="BA2" s="231"/>
      <c r="BB2" s="231"/>
    </row>
    <row r="3" spans="1:54" s="143" customFormat="1" ht="15" customHeight="1" x14ac:dyDescent="0.25">
      <c r="A3" s="148"/>
      <c r="B3" s="139"/>
      <c r="C3" s="209"/>
      <c r="D3" s="148"/>
      <c r="E3" s="148"/>
      <c r="F3" s="282" t="s">
        <v>210</v>
      </c>
      <c r="G3" s="282"/>
      <c r="H3" s="282"/>
      <c r="I3" s="282" t="s">
        <v>211</v>
      </c>
      <c r="J3" s="282"/>
      <c r="K3" s="282"/>
      <c r="L3" s="188"/>
      <c r="M3" s="281"/>
      <c r="N3" s="199"/>
      <c r="O3" s="188"/>
      <c r="P3" s="188"/>
      <c r="Q3" s="188"/>
      <c r="R3" s="188"/>
      <c r="S3" s="217"/>
      <c r="U3" s="283"/>
      <c r="V3" s="154"/>
      <c r="W3" s="153"/>
      <c r="X3" s="153" t="s">
        <v>224</v>
      </c>
      <c r="Y3" s="153"/>
      <c r="Z3" s="169"/>
      <c r="AA3" s="153"/>
      <c r="AB3" s="174"/>
      <c r="AC3" s="174"/>
      <c r="AD3" s="174" t="s">
        <v>236</v>
      </c>
      <c r="AE3" s="174"/>
      <c r="AF3" s="174"/>
      <c r="AG3" s="174"/>
      <c r="AH3" s="182"/>
      <c r="AK3" s="189" t="s">
        <v>269</v>
      </c>
      <c r="AL3" s="140"/>
      <c r="AM3" s="240"/>
      <c r="AO3" s="228"/>
      <c r="AP3" s="228"/>
      <c r="AQ3" s="228"/>
      <c r="AR3" s="228"/>
      <c r="AS3" s="228"/>
      <c r="AT3" s="228"/>
      <c r="AU3" s="228"/>
      <c r="AV3" s="228"/>
      <c r="AW3" s="228"/>
      <c r="AX3" s="229"/>
      <c r="AY3" s="229"/>
      <c r="AZ3" s="230" t="s">
        <v>250</v>
      </c>
      <c r="BA3" s="231"/>
      <c r="BB3" s="231"/>
    </row>
    <row r="4" spans="1:54" s="143" customFormat="1" x14ac:dyDescent="0.25">
      <c r="A4" s="148"/>
      <c r="B4" s="139"/>
      <c r="C4" s="209" t="s">
        <v>256</v>
      </c>
      <c r="D4" s="148"/>
      <c r="E4" s="148"/>
      <c r="F4" s="148"/>
      <c r="G4" s="146">
        <v>0.04</v>
      </c>
      <c r="H4" s="149"/>
      <c r="I4" s="150"/>
      <c r="J4" s="150">
        <v>1.4E-2</v>
      </c>
      <c r="K4" s="150"/>
      <c r="L4" s="150"/>
      <c r="M4" s="150"/>
      <c r="N4" s="207" t="s">
        <v>260</v>
      </c>
      <c r="O4" s="150"/>
      <c r="P4" s="150"/>
      <c r="Q4" s="150"/>
      <c r="R4" s="150"/>
      <c r="S4" s="238" t="s">
        <v>257</v>
      </c>
      <c r="U4" s="283"/>
      <c r="V4" s="153"/>
      <c r="W4" s="153"/>
      <c r="X4" s="153"/>
      <c r="Y4" s="159" t="s">
        <v>218</v>
      </c>
      <c r="Z4" s="169"/>
      <c r="AA4" s="153"/>
      <c r="AB4" s="174"/>
      <c r="AC4" s="174"/>
      <c r="AD4" s="174"/>
      <c r="AE4" s="174" t="s">
        <v>241</v>
      </c>
      <c r="AF4" s="140"/>
      <c r="AG4" s="140"/>
      <c r="AH4" s="239" t="s">
        <v>264</v>
      </c>
      <c r="AK4" s="189"/>
      <c r="AL4" s="140" t="s">
        <v>270</v>
      </c>
      <c r="AM4" s="241" t="s">
        <v>274</v>
      </c>
      <c r="AO4" s="245" t="s">
        <v>271</v>
      </c>
      <c r="AP4" s="228"/>
      <c r="AQ4" s="228"/>
      <c r="AR4" s="228"/>
      <c r="AS4" s="228"/>
      <c r="AT4" s="228"/>
      <c r="AU4" s="228"/>
      <c r="AV4" s="228"/>
      <c r="AW4" s="228"/>
      <c r="AX4" s="229"/>
      <c r="AY4" s="229"/>
      <c r="AZ4" s="230"/>
      <c r="BA4" s="231" t="s">
        <v>248</v>
      </c>
      <c r="BB4" s="231"/>
    </row>
    <row r="5" spans="1:54" s="143" customFormat="1" ht="15" customHeight="1" x14ac:dyDescent="0.25">
      <c r="A5" s="150"/>
      <c r="B5" s="139"/>
      <c r="C5" s="21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200"/>
      <c r="O5" s="150"/>
      <c r="P5" s="150"/>
      <c r="Q5" s="150"/>
      <c r="R5" s="150"/>
      <c r="S5" s="218"/>
      <c r="U5" s="283"/>
      <c r="V5" s="153"/>
      <c r="W5" s="153"/>
      <c r="X5" s="153"/>
      <c r="Y5" s="153"/>
      <c r="Z5" s="153" t="s">
        <v>220</v>
      </c>
      <c r="AA5" s="153"/>
      <c r="AB5" s="174"/>
      <c r="AC5" s="174"/>
      <c r="AD5" s="174"/>
      <c r="AE5" s="174"/>
      <c r="AF5" s="174" t="s">
        <v>243</v>
      </c>
      <c r="AG5" s="174"/>
      <c r="AH5" s="182"/>
      <c r="AK5" s="189"/>
      <c r="AL5" s="140"/>
      <c r="AM5" s="240"/>
      <c r="AO5" s="228"/>
      <c r="AP5" s="228"/>
      <c r="AQ5" s="228"/>
      <c r="AR5" s="228"/>
      <c r="AS5" s="228"/>
      <c r="AT5" s="228"/>
      <c r="AU5" s="228"/>
      <c r="AV5" s="228"/>
      <c r="AW5" s="228"/>
      <c r="AX5" s="229"/>
      <c r="AY5" s="229"/>
      <c r="AZ5" s="230"/>
      <c r="BA5" s="231"/>
      <c r="BB5" s="231"/>
    </row>
    <row r="6" spans="1:54" s="143" customFormat="1" x14ac:dyDescent="0.25">
      <c r="A6" s="150"/>
      <c r="B6" s="139"/>
      <c r="C6" s="21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200"/>
      <c r="O6" s="150"/>
      <c r="P6" s="150"/>
      <c r="Q6" s="150"/>
      <c r="R6" s="150"/>
      <c r="S6" s="218"/>
      <c r="U6" s="283"/>
      <c r="V6" s="153"/>
      <c r="W6" s="153"/>
      <c r="X6" s="153"/>
      <c r="Y6" s="153"/>
      <c r="Z6" s="169"/>
      <c r="AA6" s="153" t="s">
        <v>223</v>
      </c>
      <c r="AB6" s="174"/>
      <c r="AC6" s="174"/>
      <c r="AD6" s="174"/>
      <c r="AE6" s="174"/>
      <c r="AF6" s="174"/>
      <c r="AG6" s="174" t="s">
        <v>272</v>
      </c>
      <c r="AH6" s="182"/>
      <c r="AK6" s="189"/>
      <c r="AL6" s="140"/>
      <c r="AM6" s="240"/>
      <c r="AO6" s="228"/>
      <c r="AP6" s="228"/>
      <c r="AQ6" s="228"/>
      <c r="AR6" s="228"/>
      <c r="AS6" s="228"/>
      <c r="AT6" s="228"/>
      <c r="AU6" s="228"/>
      <c r="AV6" s="228"/>
      <c r="AW6" s="228"/>
      <c r="AX6" s="229"/>
      <c r="AY6" s="229"/>
      <c r="AZ6" s="230"/>
      <c r="BA6" s="231"/>
      <c r="BB6" s="231" t="s">
        <v>252</v>
      </c>
    </row>
    <row r="7" spans="1:54" s="147" customFormat="1" x14ac:dyDescent="0.25">
      <c r="A7" s="150"/>
      <c r="B7" s="139"/>
      <c r="C7" s="210"/>
      <c r="D7" s="206" t="s">
        <v>212</v>
      </c>
      <c r="E7" s="206">
        <f>MAX(Tabela2[Attack])</f>
        <v>50</v>
      </c>
      <c r="F7" s="206">
        <f>MAX(Tabela2[Defence])</f>
        <v>50</v>
      </c>
      <c r="G7" s="206">
        <f>MAX(Tabela2[Damage min])</f>
        <v>50</v>
      </c>
      <c r="H7" s="206">
        <f>MAX(Tabela2[Damage max])</f>
        <v>50</v>
      </c>
      <c r="I7" s="206">
        <f>MAX(Tabela2[Health])</f>
        <v>200</v>
      </c>
      <c r="J7" s="206">
        <f>MAX(Tabela2[Attack])</f>
        <v>50</v>
      </c>
      <c r="K7" s="206">
        <f>MAX(Tabela2[Defence])</f>
        <v>50</v>
      </c>
      <c r="L7" s="151">
        <f>MAX(Tabela2[Damage min])</f>
        <v>50</v>
      </c>
      <c r="M7" s="293"/>
      <c r="N7" s="201"/>
      <c r="O7" s="201"/>
      <c r="P7" s="201"/>
      <c r="Q7" s="201"/>
      <c r="R7" s="201"/>
      <c r="S7" s="219"/>
      <c r="T7" s="218"/>
      <c r="U7" s="284"/>
      <c r="V7" s="218">
        <f>MAX(Tabela2[VWO])</f>
        <v>148</v>
      </c>
      <c r="W7" s="218">
        <f>MAX(Tabela2[VWD])</f>
        <v>547.77070063694282</v>
      </c>
      <c r="X7" s="218" t="e">
        <f>MAX(#REF!)</f>
        <v>#REF!</v>
      </c>
      <c r="Y7" s="218" t="e">
        <f>MAX(#REF!)</f>
        <v>#REF!</v>
      </c>
      <c r="Z7" s="218" t="e">
        <f>MAX(#REF!)</f>
        <v>#REF!</v>
      </c>
      <c r="AA7" s="218" t="e">
        <f>MAX(#REF!)</f>
        <v>#REF!</v>
      </c>
      <c r="AB7" s="218"/>
      <c r="AC7" s="218"/>
      <c r="AD7" s="218"/>
      <c r="AE7" s="218"/>
      <c r="AF7" s="218"/>
      <c r="AG7" s="218"/>
      <c r="AH7" s="182"/>
      <c r="AI7" s="182">
        <v>387</v>
      </c>
      <c r="AJ7" s="182"/>
      <c r="AK7" s="182"/>
      <c r="AL7" s="182">
        <v>15000</v>
      </c>
      <c r="AM7" s="240"/>
      <c r="AO7" s="228"/>
      <c r="AP7" s="228" t="e">
        <f>MAX(#REF!)</f>
        <v>#REF!</v>
      </c>
      <c r="AQ7" s="228">
        <f>MAX(Tabela2[VWO_R])</f>
        <v>148</v>
      </c>
      <c r="AR7" s="228">
        <f>MAX(Tabela2[VWD_R])</f>
        <v>547.77070063694282</v>
      </c>
      <c r="AS7" s="228">
        <f>MAX(Tabela2[V_Off])</f>
        <v>611.31210191082823</v>
      </c>
      <c r="AT7" s="228">
        <f>MAX(Tabela2[V_Def])</f>
        <v>9426.7515923566898</v>
      </c>
      <c r="AU7" s="228"/>
      <c r="AV7" s="228">
        <v>5000</v>
      </c>
      <c r="AW7" s="228"/>
      <c r="AX7" s="229"/>
      <c r="AY7" s="229"/>
      <c r="AZ7" s="230">
        <v>136</v>
      </c>
      <c r="BA7" s="231">
        <v>34550</v>
      </c>
      <c r="BB7" s="229"/>
    </row>
    <row r="8" spans="1:54" s="138" customFormat="1" ht="14.25" customHeight="1" thickBot="1" x14ac:dyDescent="0.3">
      <c r="A8" s="138" t="s">
        <v>1</v>
      </c>
      <c r="B8" s="139" t="s">
        <v>13</v>
      </c>
      <c r="C8" s="211" t="s">
        <v>263</v>
      </c>
      <c r="D8" s="138" t="s">
        <v>3</v>
      </c>
      <c r="E8" s="138" t="s">
        <v>8</v>
      </c>
      <c r="F8" s="138" t="s">
        <v>4</v>
      </c>
      <c r="G8" s="138" t="s">
        <v>14</v>
      </c>
      <c r="H8" s="138" t="s">
        <v>15</v>
      </c>
      <c r="I8" s="138" t="s">
        <v>16</v>
      </c>
      <c r="J8" s="138" t="s">
        <v>18</v>
      </c>
      <c r="K8" s="138" t="s">
        <v>19</v>
      </c>
      <c r="L8" s="138" t="s">
        <v>168</v>
      </c>
      <c r="M8" s="138" t="s">
        <v>323</v>
      </c>
      <c r="N8" s="202" t="s">
        <v>259</v>
      </c>
      <c r="O8" s="138" t="s">
        <v>176</v>
      </c>
      <c r="P8" s="138" t="s">
        <v>177</v>
      </c>
      <c r="Q8" s="138" t="s">
        <v>178</v>
      </c>
      <c r="R8" s="138" t="s">
        <v>179</v>
      </c>
      <c r="S8" s="220" t="s">
        <v>258</v>
      </c>
      <c r="T8" s="183" t="s">
        <v>244</v>
      </c>
      <c r="U8" s="285" t="s">
        <v>246</v>
      </c>
      <c r="V8" s="155" t="s">
        <v>237</v>
      </c>
      <c r="W8" s="162" t="s">
        <v>240</v>
      </c>
      <c r="X8" s="162" t="s">
        <v>238</v>
      </c>
      <c r="Y8" s="162" t="s">
        <v>239</v>
      </c>
      <c r="Z8" s="162" t="s">
        <v>221</v>
      </c>
      <c r="AA8" s="162" t="s">
        <v>222</v>
      </c>
      <c r="AB8" s="162" t="s">
        <v>230</v>
      </c>
      <c r="AC8" s="162" t="s">
        <v>232</v>
      </c>
      <c r="AD8" s="162" t="s">
        <v>236</v>
      </c>
      <c r="AE8" s="162" t="s">
        <v>242</v>
      </c>
      <c r="AF8" s="160" t="s">
        <v>273</v>
      </c>
      <c r="AG8" s="160" t="s">
        <v>214</v>
      </c>
      <c r="AH8" s="183" t="s">
        <v>262</v>
      </c>
      <c r="AI8" s="138" t="s">
        <v>247</v>
      </c>
      <c r="AJ8" s="138" t="s">
        <v>267</v>
      </c>
      <c r="AK8" s="138" t="s">
        <v>268</v>
      </c>
      <c r="AL8" s="138" t="s">
        <v>254</v>
      </c>
      <c r="AM8" s="242" t="s">
        <v>274</v>
      </c>
      <c r="AN8" s="138" t="s">
        <v>69</v>
      </c>
      <c r="AO8" s="228" t="s">
        <v>261</v>
      </c>
      <c r="AP8" s="228" t="s">
        <v>233</v>
      </c>
      <c r="AQ8" s="228" t="s">
        <v>226</v>
      </c>
      <c r="AR8" s="228" t="s">
        <v>227</v>
      </c>
      <c r="AS8" s="228" t="s">
        <v>209</v>
      </c>
      <c r="AT8" s="228" t="s">
        <v>215</v>
      </c>
      <c r="AU8" s="228" t="s">
        <v>213</v>
      </c>
      <c r="AV8" s="228" t="s">
        <v>216</v>
      </c>
      <c r="AW8" s="228" t="s">
        <v>217</v>
      </c>
      <c r="AX8" s="232" t="s">
        <v>228</v>
      </c>
      <c r="AY8" s="232" t="s">
        <v>229</v>
      </c>
      <c r="AZ8" s="233" t="s">
        <v>251</v>
      </c>
      <c r="BA8" s="233" t="s">
        <v>253</v>
      </c>
      <c r="BB8" s="233" t="s">
        <v>252</v>
      </c>
    </row>
    <row r="9" spans="1:54" s="133" customFormat="1" hidden="1" x14ac:dyDescent="0.25">
      <c r="A9" s="192" t="s">
        <v>245</v>
      </c>
      <c r="B9" s="139" t="s">
        <v>208</v>
      </c>
      <c r="C9" s="212"/>
      <c r="E9" s="133">
        <v>172</v>
      </c>
      <c r="F9" s="133">
        <v>50</v>
      </c>
      <c r="G9" s="133">
        <v>50</v>
      </c>
      <c r="H9" s="133">
        <v>50</v>
      </c>
      <c r="I9" s="133">
        <v>50</v>
      </c>
      <c r="J9" s="133">
        <v>4</v>
      </c>
      <c r="K9" s="133">
        <v>5</v>
      </c>
      <c r="L9" s="133">
        <f>INT(Tabela2[[#This Row],[Cena SIM]])</f>
        <v>1000</v>
      </c>
      <c r="M9" s="133">
        <f>Tabela2[[#This Row],[Cena]]*1</f>
        <v>1000</v>
      </c>
      <c r="N9" s="204"/>
      <c r="O9" s="192" t="s">
        <v>275</v>
      </c>
      <c r="P9" s="192" t="s">
        <v>276</v>
      </c>
      <c r="Q9" s="192" t="s">
        <v>277</v>
      </c>
      <c r="R9" s="192"/>
      <c r="S9" s="221"/>
      <c r="T9" s="184">
        <f>AG9*Tabela2[[#This Row],[Odchyłka]]</f>
        <v>1.3563745055921186</v>
      </c>
      <c r="U9" s="286">
        <f>Tabela2[[#This Row],[VWD]]/Tabela2[[#This Row],[VWO]]</f>
        <v>3.7011533826820462</v>
      </c>
      <c r="V9" s="156">
        <f>AVERAGE((Tabela2[[#This Row],[Damage max]],Tabela2[[#This Row],[Damage min]]))*(1+(Tabela2[[#This Row],[Attack]]-$G$10)*IF(Tabela2[[#This Row],[Attack]]-$G$10 = 0, 1, IF(Tabela2[[#This Row],[Attack]]-$G$10 &gt; 0, $G$4,-$J$4)))/$E$10</f>
        <v>148</v>
      </c>
      <c r="W9" s="163">
        <f>MAX(Tabela2[VWO])/Tabela2[[#This Row],[VWO]]</f>
        <v>1</v>
      </c>
      <c r="X9" s="163">
        <f>Tabela2[[#This Row],[Health]]/(AVERAGE($H$10,$I$10)*(1+($F$10-Tabela2[[#This Row],[Defence]])*IF($F$10-Tabela2[[#This Row],[Defence]] = 0, 1, IF($F$10-Tabela2[[#This Row],[Defence]] &gt; 0, $G$4,$J$4))))</f>
        <v>547.77070063694282</v>
      </c>
      <c r="Y9" s="163">
        <f>MAX(Tabela2[VWD])/Tabela2[[#This Row],[VWD]]</f>
        <v>1</v>
      </c>
      <c r="Z9" s="163">
        <f>Tabela2[[#This Row],[VWO]]*Tabela2[[#This Row],[VWD_R]]</f>
        <v>148</v>
      </c>
      <c r="AA9" s="163">
        <f>Tabela2[[#This Row],[VWO_R]]*Tabela2[[#This Row],[VWD]]</f>
        <v>547.77070063694282</v>
      </c>
      <c r="AB9" s="175">
        <f>(Tabela2[[#This Row],[V_Def]]+Tabela2[[#This Row],[V_Off]])/2</f>
        <v>347.88535031847141</v>
      </c>
      <c r="AC9" s="175">
        <f>472.09/Tabela2[[#This Row],[!ŚREDNIA]]</f>
        <v>1.3570275367095093</v>
      </c>
      <c r="AD9" s="175">
        <f>Tabela2[[#This Row],[VWO]]+Tabela2[[#This Row],[VWD]]</f>
        <v>695.77070063694282</v>
      </c>
      <c r="AE9" s="175">
        <f>Tabela2[[#This Row],[Suma VW]]*Tabela2[[#This Row],[Odchyłka]]</f>
        <v>944.18</v>
      </c>
      <c r="AF9" s="179">
        <f>Tabela2[[#This Row],[Suma*Odchyłka]]/2*1.17</f>
        <v>552.34529999999995</v>
      </c>
      <c r="AG9" s="179">
        <f>15000/Tabela2[[#This Row],[V/HP]]/27.17</f>
        <v>0.99951877828583047</v>
      </c>
      <c r="AH9" s="226"/>
      <c r="AI9" s="133">
        <v>136</v>
      </c>
      <c r="AJ9" s="133">
        <f>Tabela2[[#This Row],[FixedAmountAfterSearching]]/136</f>
        <v>1</v>
      </c>
      <c r="AK9" s="133">
        <f>1000/Tabela2[[#This Row],[AMT ]]</f>
        <v>1000</v>
      </c>
      <c r="AL9" s="133">
        <f>$AL$7/Tabela2[[#This Row],[Kolumna2]]</f>
        <v>15</v>
      </c>
      <c r="AM9" s="243"/>
      <c r="AN9" s="197" t="s">
        <v>279</v>
      </c>
      <c r="AO9" s="228"/>
      <c r="AP9" s="228">
        <f>Tabela2[[#This Row],[!ŚREDNIA]]/MAX(Tabela2[!ŚREDNIA])</f>
        <v>7.3740834544053113E-2</v>
      </c>
      <c r="AQ9" s="228">
        <f>Tabela2[[#This Row],[VWO]]/Tabela2[[#This Row],[V_Off]]*1000</f>
        <v>1000</v>
      </c>
      <c r="AR9" s="228">
        <f>Tabela2[[#This Row],[VWD]]/Tabela2[[#This Row],[V_Def]]*1000</f>
        <v>1000</v>
      </c>
      <c r="AS9" s="228">
        <f>1/(AVERAGE((Tabela2[[#This Row],[Damage max]],Tabela2[[#This Row],[Damage min]]))*(1+(Tabela2[[#This Row],[Attack]]-$G$9)*IF(Tabela2[[#This Row],[Attack]]-$G$9 = 0, 1, IF(Tabela2[[#This Row],[Attack]]-$G$9 &gt; 0,$G$4,$J$4)))/$E$9)</f>
        <v>3.44</v>
      </c>
      <c r="AT9" s="228">
        <f>(AVERAGE($H$9,$I$9))*(1+(($F$9-Tabela2[[#This Row],[Defence]])*IF($F$9-Tabela2[[#This Row],[Defence]] = 0, 1, IF($F$9-Tabela2[[#This Row],[Defence]] &gt; 0, $G$4,$J$4))))/Tabela2[[#This Row],[Health]]</f>
        <v>0.29069767441860467</v>
      </c>
      <c r="AU9" s="228">
        <f>INT(SQRT(((Tabela2[[#This Row],[VWO]])*Tabela2[[#This Row],[VWD]])))</f>
        <v>284</v>
      </c>
      <c r="AV9" s="228">
        <f>Tabela2[[#This Row],[VWD]]/Tabela2[[#This Row],[VWO]]</f>
        <v>3.7011533826820462</v>
      </c>
      <c r="AW9" s="228" t="e">
        <f>#REF!/#REF!</f>
        <v>#REF!</v>
      </c>
      <c r="AX9" s="234" t="e">
        <f>SUM(#REF!)</f>
        <v>#REF!</v>
      </c>
      <c r="AY9" s="234" t="e">
        <f>300*#REF!</f>
        <v>#REF!</v>
      </c>
      <c r="AZ9" s="234">
        <v>136</v>
      </c>
      <c r="BA9" s="234">
        <v>136</v>
      </c>
      <c r="BB9" s="234" t="e">
        <f>(#REF!+Tabela2[[#This Row],[SIM]]+Tabela2[[#This Row],[FixedAmountAfterSearching]])/3</f>
        <v>#REF!</v>
      </c>
    </row>
    <row r="10" spans="1:54" s="137" customFormat="1" ht="13.5" hidden="1" customHeight="1" x14ac:dyDescent="0.25">
      <c r="A10" s="193" t="s">
        <v>182</v>
      </c>
      <c r="B10" s="139" t="s">
        <v>208</v>
      </c>
      <c r="C10" s="213"/>
      <c r="E10" s="137">
        <v>1</v>
      </c>
      <c r="F10" s="137">
        <v>1</v>
      </c>
      <c r="G10" s="137">
        <v>1</v>
      </c>
      <c r="H10" s="137">
        <v>1</v>
      </c>
      <c r="I10" s="137">
        <v>1</v>
      </c>
      <c r="J10" s="137">
        <v>1</v>
      </c>
      <c r="K10" s="137">
        <v>1</v>
      </c>
      <c r="L10" s="137">
        <f>INT(Tabela2[[#This Row],[Cena SIM]])</f>
        <v>4</v>
      </c>
      <c r="M10" s="137">
        <f>Tabela2[[#This Row],[Cena]]*1</f>
        <v>4</v>
      </c>
      <c r="N10" s="205"/>
      <c r="O10" s="193"/>
      <c r="P10" s="193"/>
      <c r="Q10" s="193" t="s">
        <v>178</v>
      </c>
      <c r="R10" s="193"/>
      <c r="S10" s="222"/>
      <c r="T10" s="185">
        <f>AG10*Tabela2[[#This Row],[Odchyłka]]</f>
        <v>471.86282004095767</v>
      </c>
      <c r="U10" s="287">
        <f>Tabela2[[#This Row],[VWD]]/Tabela2[[#This Row],[VWO]]</f>
        <v>1</v>
      </c>
      <c r="V10" s="157">
        <f>AVERAGE((Tabela2[[#This Row],[Damage max]],Tabela2[[#This Row],[Damage min]]))*(1+(Tabela2[[#This Row],[Attack]]-$G$10)*IF(Tabela2[[#This Row],[Attack]]-$G$10 = 0, 1, IF(Tabela2[[#This Row],[Attack]]-$G$10 &gt; 0, $G$4,-$J$4)))/$E$10</f>
        <v>1</v>
      </c>
      <c r="W10" s="164">
        <f>MAX(Tabela2[VWO])/Tabela2[[#This Row],[VWO]]</f>
        <v>148</v>
      </c>
      <c r="X10" s="164">
        <f>Tabela2[[#This Row],[Health]]/(AVERAGE($H$10,$I$10)*(1+($F$10-Tabela2[[#This Row],[Defence]])*IF($F$10-Tabela2[[#This Row],[Defence]] = 0, 1, IF($F$10-Tabela2[[#This Row],[Defence]] &gt; 0, $G$4,$J$4))))</f>
        <v>1</v>
      </c>
      <c r="Y10" s="164">
        <f>MAX(Tabela2[VWD])/Tabela2[[#This Row],[VWD]]</f>
        <v>547.77070063694282</v>
      </c>
      <c r="Z10" s="164">
        <f>Tabela2[[#This Row],[VWO]]*Tabela2[[#This Row],[VWD_R]]</f>
        <v>547.77070063694282</v>
      </c>
      <c r="AA10" s="164">
        <f>Tabela2[[#This Row],[VWO_R]]*Tabela2[[#This Row],[VWD]]</f>
        <v>148</v>
      </c>
      <c r="AB10" s="176">
        <f>(Tabela2[[#This Row],[V_Def]]+Tabela2[[#This Row],[V_Off]])/2</f>
        <v>347.88535031847141</v>
      </c>
      <c r="AC10" s="176">
        <f>472.09/Tabela2[[#This Row],[!ŚREDNIA]]</f>
        <v>1.3570275367095093</v>
      </c>
      <c r="AD10" s="176">
        <f>Tabela2[[#This Row],[VWO]]+Tabela2[[#This Row],[VWD]]</f>
        <v>2</v>
      </c>
      <c r="AE10" s="176">
        <f>Tabela2[[#This Row],[Suma VW]]*Tabela2[[#This Row],[Odchyłka]]</f>
        <v>2.7140550734190185</v>
      </c>
      <c r="AF10" s="178">
        <f>Tabela2[[#This Row],[Suma*Odchyłka]]/2*1.17</f>
        <v>1.5877222179501258</v>
      </c>
      <c r="AG10" s="178">
        <f>15000/Tabela2[[#This Row],[V/HP]]/27.17</f>
        <v>347.71794033385669</v>
      </c>
      <c r="AH10" s="227"/>
      <c r="AI10" s="137">
        <v>33308</v>
      </c>
      <c r="AJ10" s="137">
        <f>Tabela2[[#This Row],[FixedAmountAfterSearching]]/136</f>
        <v>244.91176470588235</v>
      </c>
      <c r="AK10" s="137">
        <f>1000/Tabela2[[#This Row],[AMT ]]</f>
        <v>4.0831031584003847</v>
      </c>
      <c r="AL10" s="137">
        <f>$AL$7/Tabela2[[#This Row],[Kolumna2]]</f>
        <v>3750</v>
      </c>
      <c r="AM10" s="244"/>
      <c r="AN10" s="193" t="s">
        <v>188</v>
      </c>
      <c r="AO10" s="228"/>
      <c r="AP10" s="228">
        <f>Tabela2[[#This Row],[!ŚREDNIA]]/MAX(Tabela2[!ŚREDNIA])</f>
        <v>7.3740834544053113E-2</v>
      </c>
      <c r="AQ10" s="228">
        <f>Tabela2[[#This Row],[VWO]]/Tabela2[[#This Row],[V_Off]]*1000</f>
        <v>1.8255813953488367</v>
      </c>
      <c r="AR10" s="228">
        <f>Tabela2[[#This Row],[VWD]]/Tabela2[[#This Row],[V_Def]]*1000</f>
        <v>6.756756756756757</v>
      </c>
      <c r="AS10" s="228">
        <f>1/(AVERAGE((Tabela2[[#This Row],[Damage max]],Tabela2[[#This Row],[Damage min]]))*(1+(Tabela2[[#This Row],[Attack]]-$G$9)*IF(Tabela2[[#This Row],[Attack]]-$G$9 = 0, 1, IF(Tabela2[[#This Row],[Attack]]-$G$9 &gt; 0,$G$4,$J$4)))/$E$9)</f>
        <v>547.77070063694271</v>
      </c>
      <c r="AT10" s="228">
        <f>(AVERAGE($H$9,$I$9))*(1+(($F$9-Tabela2[[#This Row],[Defence]])*IF($F$9-Tabela2[[#This Row],[Defence]] = 0, 1, IF($F$9-Tabela2[[#This Row],[Defence]] &gt; 0, $G$4,$J$4))))/Tabela2[[#This Row],[Health]]</f>
        <v>148</v>
      </c>
      <c r="AU10" s="228">
        <f>INT(SQRT(((Tabela2[[#This Row],[VWO]])*Tabela2[[#This Row],[VWD]])))</f>
        <v>1</v>
      </c>
      <c r="AV10" s="228">
        <f>Tabela2[[#This Row],[VWD]]/Tabela2[[#This Row],[VWO]]</f>
        <v>1</v>
      </c>
      <c r="AW10" s="228" t="e">
        <f>#REF!/#REF!</f>
        <v>#REF!</v>
      </c>
      <c r="AX10" s="235" t="e">
        <f>SUM(#REF!)</f>
        <v>#REF!</v>
      </c>
      <c r="AY10" s="235" t="e">
        <f>300*#REF!</f>
        <v>#REF!</v>
      </c>
      <c r="AZ10" s="234">
        <v>34550</v>
      </c>
      <c r="BA10" s="234">
        <v>34550</v>
      </c>
      <c r="BB10" s="234" t="e">
        <f>(#REF!+Tabela2[[#This Row],[SIM]]+Tabela2[[#This Row],[FixedAmountAfterSearching]])/3</f>
        <v>#REF!</v>
      </c>
    </row>
    <row r="11" spans="1:54" s="136" customFormat="1" x14ac:dyDescent="0.25">
      <c r="A11" s="194" t="s">
        <v>205</v>
      </c>
      <c r="B11" s="139" t="s">
        <v>17</v>
      </c>
      <c r="C11" s="214"/>
      <c r="D11" s="134" t="s">
        <v>19</v>
      </c>
      <c r="E11" s="135">
        <v>7</v>
      </c>
      <c r="F11" s="135">
        <v>6</v>
      </c>
      <c r="G11" s="135">
        <v>6</v>
      </c>
      <c r="H11" s="135">
        <v>7</v>
      </c>
      <c r="I11" s="135">
        <v>7</v>
      </c>
      <c r="J11" s="134">
        <v>7</v>
      </c>
      <c r="K11" s="134">
        <v>4</v>
      </c>
      <c r="L11" s="191">
        <f>INT(Tabela2[[#This Row],[Cena SIM]])</f>
        <v>31</v>
      </c>
      <c r="M11" s="191">
        <v>31</v>
      </c>
      <c r="N11" s="198"/>
      <c r="O11" s="197" t="s">
        <v>303</v>
      </c>
      <c r="P11" s="197" t="s">
        <v>304</v>
      </c>
      <c r="Q11" s="197"/>
      <c r="R11" s="197"/>
      <c r="S11" s="223"/>
      <c r="T11" s="186">
        <f>AG11*Tabela2[[#This Row],[Odchyłka]]</f>
        <v>59.253635246839139</v>
      </c>
      <c r="U11" s="288">
        <f>Tabela2[[#This Row],[VWD]]/Tabela2[[#This Row],[VWO]]</f>
        <v>0.89605734767025091</v>
      </c>
      <c r="V11" s="158">
        <f>AVERAGE((Tabela2[[#This Row],[Damage max]],Tabela2[[#This Row],[Damage min]]))*(1+(Tabela2[[#This Row],[Attack]]-$G$10)*IF(Tabela2[[#This Row],[Attack]]-$G$10 = 0, 1, IF(Tabela2[[#This Row],[Attack]]-$G$10 &gt; 0, $G$4,-$J$4)))/$E$10</f>
        <v>8.4</v>
      </c>
      <c r="W11" s="161">
        <f>MAX(Tabela2[VWO])/Tabela2[[#This Row],[VWO]]</f>
        <v>17.619047619047617</v>
      </c>
      <c r="X11" s="166">
        <f>Tabela2[[#This Row],[Health]]/(AVERAGE($H$10,$I$10)*(1+($F$10-Tabela2[[#This Row],[Defence]])*IF($F$10-Tabela2[[#This Row],[Defence]] = 0, 1, IF($F$10-Tabela2[[#This Row],[Defence]] &gt; 0, $G$4,$J$4))))</f>
        <v>7.5268817204301079</v>
      </c>
      <c r="Y11" s="167">
        <f>MAX(Tabela2[VWD])/Tabela2[[#This Row],[VWD]]</f>
        <v>72.775250227479546</v>
      </c>
      <c r="Z11" s="170">
        <f>Tabela2[[#This Row],[VWO]]*Tabela2[[#This Row],[VWD_R]]</f>
        <v>611.31210191082823</v>
      </c>
      <c r="AA11" s="172">
        <f>Tabela2[[#This Row],[VWO_R]]*Tabela2[[#This Row],[VWD]]</f>
        <v>132.61648745519713</v>
      </c>
      <c r="AB11" s="176">
        <f>(Tabela2[[#This Row],[V_Def]]+Tabela2[[#This Row],[V_Off]])/2</f>
        <v>371.96429468301267</v>
      </c>
      <c r="AC11" s="176">
        <f>472.09/Tabela2[[#This Row],[!ŚREDNIA]]</f>
        <v>1.269180958356001</v>
      </c>
      <c r="AD11" s="176">
        <f>Tabela2[[#This Row],[VWO]]+Tabela2[[#This Row],[VWD]]</f>
        <v>15.926881720430108</v>
      </c>
      <c r="AE11" s="176">
        <f>Tabela2[[#This Row],[Suma VW]]*Tabela2[[#This Row],[Odchyłka]]</f>
        <v>20.214095005558157</v>
      </c>
      <c r="AF11" s="176">
        <f>Tabela2[[#This Row],[Suma*Odchyłka]]/2*1.17</f>
        <v>11.82524557825152</v>
      </c>
      <c r="AG11" s="176">
        <f>15000/Tabela2[[#This Row],[V/HP]]/27.17</f>
        <v>46.686514524762273</v>
      </c>
      <c r="AH11" s="182"/>
      <c r="AI11" s="135">
        <v>4282</v>
      </c>
      <c r="AJ11" s="190">
        <f>Tabela2[[#This Row],[FixedAmountAfterSearching]]/136</f>
        <v>31.485294117647058</v>
      </c>
      <c r="AK11" s="190">
        <f>1000/Tabela2[[#This Row],[AMT ]]</f>
        <v>31.76085941148996</v>
      </c>
      <c r="AL11" s="190">
        <f>$AL$7/Tabela2[[#This Row],[Kolumna2]]</f>
        <v>483.87096774193549</v>
      </c>
      <c r="AM11" s="240"/>
      <c r="AN11" s="246" t="s">
        <v>283</v>
      </c>
      <c r="AO11" s="228"/>
      <c r="AP11" s="228">
        <f>Tabela2[[#This Row],[!ŚREDNIA]]/MAX(Tabela2[!ŚREDNIA])</f>
        <v>7.8844819091708332E-2</v>
      </c>
      <c r="AQ11" s="228">
        <f>Tabela2[[#This Row],[VWO]]/Tabela2[[#This Row],[V_Off]]*1000</f>
        <v>13.740935233808447</v>
      </c>
      <c r="AR11" s="228">
        <f>Tabela2[[#This Row],[VWD]]/Tabela2[[#This Row],[V_Def]]*1000</f>
        <v>56.756756756756758</v>
      </c>
      <c r="AS11" s="228">
        <f>1/(AVERAGE((Tabela2[[#This Row],[Damage max]],Tabela2[[#This Row],[Damage min]]))*(1+(Tabela2[[#This Row],[Attack]]-$G$9)*IF(Tabela2[[#This Row],[Attack]]-$G$9 = 0, 1, IF(Tabela2[[#This Row],[Attack]]-$G$9 &gt; 0,$G$4,$J$4)))/$E$9)</f>
        <v>63.988095238095241</v>
      </c>
      <c r="AT11" s="228">
        <f>(AVERAGE($H$9,$I$9))*(1+(($F$9-Tabela2[[#This Row],[Defence]])*IF($F$9-Tabela2[[#This Row],[Defence]] = 0, 1, IF($F$9-Tabela2[[#This Row],[Defence]] &gt; 0, $G$4,$J$4))))/Tabela2[[#This Row],[Health]]</f>
        <v>19.714285714285715</v>
      </c>
      <c r="AU11" s="228">
        <f>INT(SQRT(((Tabela2[[#This Row],[VWO]])*Tabela2[[#This Row],[VWD]])))</f>
        <v>7</v>
      </c>
      <c r="AV11" s="228">
        <f>Tabela2[[#This Row],[VWD]]/Tabela2[[#This Row],[VWO]]</f>
        <v>0.89605734767025091</v>
      </c>
      <c r="AW11" s="228" t="e">
        <f>#REF!/#REF!</f>
        <v>#REF!</v>
      </c>
      <c r="AX11" s="236" t="e">
        <f>SUM(#REF!)</f>
        <v>#REF!</v>
      </c>
      <c r="AY11" s="236" t="e">
        <f>300*#REF!</f>
        <v>#REF!</v>
      </c>
      <c r="AZ11" s="234">
        <v>9030</v>
      </c>
      <c r="BA11" s="234">
        <v>7472</v>
      </c>
      <c r="BB11" s="237" t="e">
        <f>(#REF!+Tabela2[[#This Row],[SIM]]+Tabela2[[#This Row],[FixedAmountAfterSearching]])/3</f>
        <v>#REF!</v>
      </c>
    </row>
    <row r="12" spans="1:54" s="136" customFormat="1" x14ac:dyDescent="0.25">
      <c r="A12" s="194" t="s">
        <v>206</v>
      </c>
      <c r="B12" s="139" t="s">
        <v>17</v>
      </c>
      <c r="C12" s="215"/>
      <c r="D12" s="134" t="s">
        <v>198</v>
      </c>
      <c r="E12" s="139">
        <v>15</v>
      </c>
      <c r="F12" s="139">
        <v>5</v>
      </c>
      <c r="G12" s="139">
        <v>8</v>
      </c>
      <c r="H12" s="139">
        <v>5</v>
      </c>
      <c r="I12" s="139">
        <v>5</v>
      </c>
      <c r="J12" s="134">
        <v>3</v>
      </c>
      <c r="K12" s="134">
        <v>6</v>
      </c>
      <c r="L12" s="191">
        <f>INT(Tabela2[[#This Row],[Cena SIM]])</f>
        <v>36</v>
      </c>
      <c r="M12" s="191">
        <v>60</v>
      </c>
      <c r="N12" s="198"/>
      <c r="O12" s="197" t="s">
        <v>305</v>
      </c>
      <c r="P12" s="197" t="s">
        <v>306</v>
      </c>
      <c r="Q12" s="197" t="s">
        <v>307</v>
      </c>
      <c r="R12" s="197"/>
      <c r="S12" s="223"/>
      <c r="T12" s="186">
        <f>AG12*Tabela2[[#This Row],[Odchyłka]]</f>
        <v>42.074800181591556</v>
      </c>
      <c r="U12" s="289">
        <f>Tabela2[[#This Row],[VWD]]/Tabela2[[#This Row],[VWO]]</f>
        <v>2.8671916813212017</v>
      </c>
      <c r="V12" s="158">
        <f>AVERAGE((Tabela2[[#This Row],[Damage max]],Tabela2[[#This Row],[Damage min]]))*(1+(Tabela2[[#This Row],[Attack]]-$G$10)*IF(Tabela2[[#This Row],[Attack]]-$G$10 = 0, 1, IF(Tabela2[[#This Row],[Attack]]-$G$10 &gt; 0, $G$4,-$J$4)))/$E$10</f>
        <v>5.8</v>
      </c>
      <c r="W12" s="161">
        <f>MAX(Tabela2[VWO])/Tabela2[[#This Row],[VWO]]</f>
        <v>25.517241379310345</v>
      </c>
      <c r="X12" s="166">
        <f>Tabela2[[#This Row],[Health]]/(AVERAGE($H$10,$I$10)*(1+($F$10-Tabela2[[#This Row],[Defence]])*IF($F$10-Tabela2[[#This Row],[Defence]] = 0, 1, IF($F$10-Tabela2[[#This Row],[Defence]] &gt; 0, $G$4,$J$4))))</f>
        <v>16.62971175166297</v>
      </c>
      <c r="Y12" s="167">
        <f>MAX(Tabela2[VWD])/Tabela2[[#This Row],[VWD]]</f>
        <v>32.939278131634829</v>
      </c>
      <c r="Z12" s="170">
        <f>Tabela2[[#This Row],[VWO]]*Tabela2[[#This Row],[VWD_R]]</f>
        <v>191.047813163482</v>
      </c>
      <c r="AA12" s="172">
        <f>Tabela2[[#This Row],[VWO_R]]*Tabela2[[#This Row],[VWD]]</f>
        <v>424.34436883553786</v>
      </c>
      <c r="AB12" s="176">
        <f>(Tabela2[[#This Row],[V_Def]]+Tabela2[[#This Row],[V_Off]])/2</f>
        <v>307.69609099950992</v>
      </c>
      <c r="AC12" s="176">
        <f>472.09/Tabela2[[#This Row],[!ŚREDNIA]]</f>
        <v>1.5342736349573967</v>
      </c>
      <c r="AD12" s="176">
        <f>Tabela2[[#This Row],[VWO]]+Tabela2[[#This Row],[VWD]]</f>
        <v>22.429711751662971</v>
      </c>
      <c r="AE12" s="176">
        <f>Tabela2[[#This Row],[Suma VW]]*Tabela2[[#This Row],[Odchyłka]]</f>
        <v>34.413315380270582</v>
      </c>
      <c r="AF12" s="176">
        <f>Tabela2[[#This Row],[Suma*Odchyłka]]/2*1.17</f>
        <v>20.131789497458289</v>
      </c>
      <c r="AG12" s="176">
        <f>15000/Tabela2[[#This Row],[V/HP]]/27.17</f>
        <v>27.423270023642086</v>
      </c>
      <c r="AH12" s="182"/>
      <c r="AI12" s="135">
        <v>3732</v>
      </c>
      <c r="AJ12" s="190">
        <f>Tabela2[[#This Row],[FixedAmountAfterSearching]]/136</f>
        <v>27.441176470588236</v>
      </c>
      <c r="AK12" s="190">
        <f>1000/Tabela2[[#This Row],[AMT ]]</f>
        <v>36.441586280814576</v>
      </c>
      <c r="AL12" s="190">
        <f>$AL$7/Tabela2[[#This Row],[Kolumna2]]</f>
        <v>250</v>
      </c>
      <c r="AM12" s="240"/>
      <c r="AN12" s="246" t="s">
        <v>282</v>
      </c>
      <c r="AO12" s="228"/>
      <c r="AP12" s="228">
        <f>Tabela2[[#This Row],[!ŚREDNIA]]/MAX(Tabela2[!ŚREDNIA])</f>
        <v>6.5221966131874892E-2</v>
      </c>
      <c r="AQ12" s="228">
        <f>Tabela2[[#This Row],[VWO]]/Tabela2[[#This Row],[V_Off]]*1000</f>
        <v>30.358892383849831</v>
      </c>
      <c r="AR12" s="228">
        <f>Tabela2[[#This Row],[VWD]]/Tabela2[[#This Row],[V_Def]]*1000</f>
        <v>39.189189189189193</v>
      </c>
      <c r="AS12" s="228">
        <f>1/(AVERAGE((Tabela2[[#This Row],[Damage max]],Tabela2[[#This Row],[Damage min]]))*(1+(Tabela2[[#This Row],[Attack]]-$G$9)*IF(Tabela2[[#This Row],[Attack]]-$G$9 = 0, 1, IF(Tabela2[[#This Row],[Attack]]-$G$9 &gt; 0,$G$4,$J$4)))/$E$9)</f>
        <v>92.972972972972968</v>
      </c>
      <c r="AT12" s="228">
        <f>(AVERAGE($H$9,$I$9))*(1+(($F$9-Tabela2[[#This Row],[Defence]])*IF($F$9-Tabela2[[#This Row],[Defence]] = 0, 1, IF($F$9-Tabela2[[#This Row],[Defence]] &gt; 0, $G$4,$J$4))))/Tabela2[[#This Row],[Health]]</f>
        <v>8.9333333333333336</v>
      </c>
      <c r="AU12" s="228">
        <f>INT(SQRT(((Tabela2[[#This Row],[VWO]])*Tabela2[[#This Row],[VWD]])))</f>
        <v>9</v>
      </c>
      <c r="AV12" s="228">
        <f>Tabela2[[#This Row],[VWD]]/Tabela2[[#This Row],[VWO]]</f>
        <v>2.8671916813212017</v>
      </c>
      <c r="AW12" s="228" t="e">
        <f>#REF!/#REF!</f>
        <v>#REF!</v>
      </c>
      <c r="AX12" s="236" t="e">
        <f>SUM(#REF!)</f>
        <v>#REF!</v>
      </c>
      <c r="AY12" s="236" t="e">
        <f>300*#REF!</f>
        <v>#REF!</v>
      </c>
      <c r="AZ12" s="234">
        <v>4421</v>
      </c>
      <c r="BA12" s="234">
        <v>3619</v>
      </c>
      <c r="BB12" s="237" t="e">
        <f>(#REF!+Tabela2[[#This Row],[SIM]]+Tabela2[[#This Row],[FixedAmountAfterSearching]])/3</f>
        <v>#REF!</v>
      </c>
    </row>
    <row r="13" spans="1:54" s="136" customFormat="1" x14ac:dyDescent="0.25">
      <c r="A13" s="194" t="s">
        <v>207</v>
      </c>
      <c r="B13" s="139" t="s">
        <v>17</v>
      </c>
      <c r="C13" s="214"/>
      <c r="D13" s="134" t="s">
        <v>199</v>
      </c>
      <c r="E13" s="135">
        <v>80</v>
      </c>
      <c r="F13" s="135">
        <v>20</v>
      </c>
      <c r="G13" s="135">
        <v>20</v>
      </c>
      <c r="H13" s="135">
        <v>15</v>
      </c>
      <c r="I13" s="135">
        <v>15</v>
      </c>
      <c r="J13" s="134">
        <v>6</v>
      </c>
      <c r="K13" s="134">
        <v>5</v>
      </c>
      <c r="L13" s="191">
        <f>INT(Tabela2[[#This Row],[Cena SIM]])</f>
        <v>192</v>
      </c>
      <c r="M13" s="191">
        <f>Tabela2[[#This Row],[Cena]]*1</f>
        <v>192</v>
      </c>
      <c r="N13" s="198"/>
      <c r="O13" s="197" t="s">
        <v>308</v>
      </c>
      <c r="P13" s="197" t="s">
        <v>309</v>
      </c>
      <c r="Q13" s="197" t="s">
        <v>310</v>
      </c>
      <c r="R13" s="197"/>
      <c r="S13" s="223"/>
      <c r="T13" s="186">
        <f>AG13*Tabela2[[#This Row],[Odchyłka]]</f>
        <v>6.970329529190944</v>
      </c>
      <c r="U13" s="289">
        <f>Tabela2[[#This Row],[VWD]]/Tabela2[[#This Row],[VWO]]</f>
        <v>4.1284782429196598</v>
      </c>
      <c r="V13" s="158">
        <f>AVERAGE((Tabela2[[#This Row],[Damage max]],Tabela2[[#This Row],[Damage min]]))*(1+(Tabela2[[#This Row],[Attack]]-$G$10)*IF(Tabela2[[#This Row],[Attack]]-$G$10 = 0, 1, IF(Tabela2[[#This Row],[Attack]]-$G$10 &gt; 0, $G$4,-$J$4)))/$E$10</f>
        <v>26.4</v>
      </c>
      <c r="W13" s="161">
        <f>MAX(Tabela2[VWO])/Tabela2[[#This Row],[VWO]]</f>
        <v>5.6060606060606064</v>
      </c>
      <c r="X13" s="166">
        <f>Tabela2[[#This Row],[Health]]/(AVERAGE($H$10,$I$10)*(1+($F$10-Tabela2[[#This Row],[Defence]])*IF($F$10-Tabela2[[#This Row],[Defence]] = 0, 1, IF($F$10-Tabela2[[#This Row],[Defence]] &gt; 0, $G$4,$J$4))))</f>
        <v>108.99182561307902</v>
      </c>
      <c r="Y13" s="167">
        <f>MAX(Tabela2[VWD])/Tabela2[[#This Row],[VWD]]</f>
        <v>5.0257961783439509</v>
      </c>
      <c r="Z13" s="170">
        <f>Tabela2[[#This Row],[VWO]]*Tabela2[[#This Row],[VWD_R]]</f>
        <v>132.68101910828028</v>
      </c>
      <c r="AA13" s="172">
        <f>Tabela2[[#This Row],[VWO_R]]*Tabela2[[#This Row],[VWD]]</f>
        <v>611.01477995210962</v>
      </c>
      <c r="AB13" s="176">
        <f>(Tabela2[[#This Row],[V_Def]]+Tabela2[[#This Row],[V_Off]])/2</f>
        <v>371.84789953019492</v>
      </c>
      <c r="AC13" s="176">
        <f>472.09/Tabela2[[#This Row],[!ŚREDNIA]]</f>
        <v>1.2695782350699152</v>
      </c>
      <c r="AD13" s="176">
        <f>Tabela2[[#This Row],[VWO]]+Tabela2[[#This Row],[VWD]]</f>
        <v>135.39182561307902</v>
      </c>
      <c r="AE13" s="176">
        <f>Tabela2[[#This Row],[Suma VW]]*Tabela2[[#This Row],[Odchyłka]]</f>
        <v>171.89051500474659</v>
      </c>
      <c r="AF13" s="176">
        <f>Tabela2[[#This Row],[Suma*Odchyłka]]/2*1.17</f>
        <v>100.55595127777674</v>
      </c>
      <c r="AG13" s="176">
        <f>15000/Tabela2[[#This Row],[V/HP]]/27.17</f>
        <v>5.4902717584844947</v>
      </c>
      <c r="AH13" s="182"/>
      <c r="AI13" s="135">
        <v>708</v>
      </c>
      <c r="AJ13" s="190">
        <f>Tabela2[[#This Row],[FixedAmountAfterSearching]]/136</f>
        <v>5.2058823529411766</v>
      </c>
      <c r="AK13" s="190">
        <f>1000/Tabela2[[#This Row],[AMT ]]</f>
        <v>192.09039548022599</v>
      </c>
      <c r="AL13" s="190">
        <f>$AL$7/Tabela2[[#This Row],[Kolumna2]]</f>
        <v>78.125</v>
      </c>
      <c r="AM13" s="240"/>
      <c r="AN13" s="246" t="s">
        <v>281</v>
      </c>
      <c r="AO13" s="228"/>
      <c r="AP13" s="228">
        <f>Tabela2[[#This Row],[!ŚREDNIA]]/MAX(Tabela2[!ŚREDNIA])</f>
        <v>7.8820146952747014E-2</v>
      </c>
      <c r="AQ13" s="228">
        <f>Tabela2[[#This Row],[VWO]]/Tabela2[[#This Row],[V_Off]]*1000</f>
        <v>198.97344908434189</v>
      </c>
      <c r="AR13" s="228">
        <f>Tabela2[[#This Row],[VWD]]/Tabela2[[#This Row],[V_Def]]*1000</f>
        <v>178.37837837837839</v>
      </c>
      <c r="AS13" s="228">
        <f>1/(AVERAGE((Tabela2[[#This Row],[Damage max]],Tabela2[[#This Row],[Damage min]]))*(1+(Tabela2[[#This Row],[Attack]]-$G$9)*IF(Tabela2[[#This Row],[Attack]]-$G$9 = 0, 1, IF(Tabela2[[#This Row],[Attack]]-$G$9 &gt; 0,$G$4,$J$4)))/$E$9)</f>
        <v>19.770114942528732</v>
      </c>
      <c r="AT13" s="228">
        <f>(AVERAGE($H$9,$I$9))*(1+(($F$9-Tabela2[[#This Row],[Defence]])*IF($F$9-Tabela2[[#This Row],[Defence]] = 0, 1, IF($F$9-Tabela2[[#This Row],[Defence]] &gt; 0, $G$4,$J$4))))/Tabela2[[#This Row],[Health]]</f>
        <v>1.3750000000000002</v>
      </c>
      <c r="AU13" s="228">
        <f>INT(SQRT(((Tabela2[[#This Row],[VWO]])*Tabela2[[#This Row],[VWD]])))</f>
        <v>53</v>
      </c>
      <c r="AV13" s="228">
        <f>Tabela2[[#This Row],[VWD]]/Tabela2[[#This Row],[VWO]]</f>
        <v>4.1284782429196598</v>
      </c>
      <c r="AW13" s="228" t="e">
        <f>#REF!/#REF!</f>
        <v>#REF!</v>
      </c>
      <c r="AX13" s="236" t="e">
        <f>SUM(#REF!)</f>
        <v>#REF!</v>
      </c>
      <c r="AY13" s="236" t="e">
        <f>300*#REF!</f>
        <v>#REF!</v>
      </c>
      <c r="AZ13" s="234">
        <v>1237</v>
      </c>
      <c r="BA13" s="234">
        <v>1035</v>
      </c>
      <c r="BB13" s="237" t="e">
        <f>(#REF!+Tabela2[[#This Row],[SIM]]+Tabela2[[#This Row],[FixedAmountAfterSearching]])/3</f>
        <v>#REF!</v>
      </c>
    </row>
    <row r="14" spans="1:54" s="136" customFormat="1" x14ac:dyDescent="0.25">
      <c r="A14" s="194" t="s">
        <v>255</v>
      </c>
      <c r="B14" s="139" t="s">
        <v>17</v>
      </c>
      <c r="C14" s="215"/>
      <c r="D14" s="134" t="s">
        <v>200</v>
      </c>
      <c r="E14" s="139">
        <v>145</v>
      </c>
      <c r="F14" s="139">
        <v>28</v>
      </c>
      <c r="G14" s="139">
        <v>30</v>
      </c>
      <c r="H14" s="139">
        <v>36</v>
      </c>
      <c r="I14" s="139">
        <v>36</v>
      </c>
      <c r="J14" s="134">
        <v>7</v>
      </c>
      <c r="K14" s="134">
        <v>4</v>
      </c>
      <c r="L14" s="191">
        <f>INT(Tabela2[[#This Row],[Cena SIM]])</f>
        <v>501</v>
      </c>
      <c r="M14" s="191">
        <v>500</v>
      </c>
      <c r="N14" s="198"/>
      <c r="O14" s="197" t="s">
        <v>311</v>
      </c>
      <c r="P14" s="197" t="s">
        <v>312</v>
      </c>
      <c r="Q14" s="197" t="s">
        <v>313</v>
      </c>
      <c r="R14" s="197"/>
      <c r="S14" s="223"/>
      <c r="T14" s="186">
        <f>AG14*Tabela2[[#This Row],[Odchyłka]]</f>
        <v>2.9585012512679931</v>
      </c>
      <c r="U14" s="289">
        <f>Tabela2[[#This Row],[VWD]]/Tabela2[[#This Row],[VWO]]</f>
        <v>3.2599858988747878</v>
      </c>
      <c r="V14" s="158">
        <f>AVERAGE((Tabela2[[#This Row],[Damage max]],Tabela2[[#This Row],[Damage min]]))*(1+(Tabela2[[#This Row],[Attack]]-$G$10)*IF(Tabela2[[#This Row],[Attack]]-$G$10 = 0, 1, IF(Tabela2[[#This Row],[Attack]]-$G$10 &gt; 0, $G$4,-$J$4)))/$E$10</f>
        <v>74.88</v>
      </c>
      <c r="W14" s="161">
        <f>MAX(Tabela2[VWO])/Tabela2[[#This Row],[VWO]]</f>
        <v>1.9764957264957266</v>
      </c>
      <c r="X14" s="166">
        <f>Tabela2[[#This Row],[Health]]/(AVERAGE($H$10,$I$10)*(1+($F$10-Tabela2[[#This Row],[Defence]])*IF($F$10-Tabela2[[#This Row],[Defence]] = 0, 1, IF($F$10-Tabela2[[#This Row],[Defence]] &gt; 0, $G$4,$J$4))))</f>
        <v>244.10774410774411</v>
      </c>
      <c r="Y14" s="167">
        <f>MAX(Tabela2[VWD])/Tabela2[[#This Row],[VWD]]</f>
        <v>2.2439710081265107</v>
      </c>
      <c r="Z14" s="170">
        <f>Tabela2[[#This Row],[VWO]]*Tabela2[[#This Row],[VWD_R]]</f>
        <v>168.0285490885131</v>
      </c>
      <c r="AA14" s="172">
        <f>Tabela2[[#This Row],[VWO_R]]*Tabela2[[#This Row],[VWD]]</f>
        <v>482.47791303346861</v>
      </c>
      <c r="AB14" s="176">
        <f>(Tabela2[[#This Row],[V_Def]]+Tabela2[[#This Row],[V_Off]])/2</f>
        <v>325.25323106099086</v>
      </c>
      <c r="AC14" s="176">
        <f>472.09/Tabela2[[#This Row],[!ŚREDNIA]]</f>
        <v>1.451453682596852</v>
      </c>
      <c r="AD14" s="176">
        <f>Tabela2[[#This Row],[VWO]]+Tabela2[[#This Row],[VWD]]</f>
        <v>318.98774410774411</v>
      </c>
      <c r="AE14" s="176">
        <f>Tabela2[[#This Row],[Suma VW]]*Tabela2[[#This Row],[Odchyłka]]</f>
        <v>462.99593588844749</v>
      </c>
      <c r="AF14" s="176">
        <f>Tabela2[[#This Row],[Suma*Odchyłka]]/2*1.17</f>
        <v>270.85262249474175</v>
      </c>
      <c r="AG14" s="176">
        <f>15000/Tabela2[[#This Row],[V/HP]]/27.17</f>
        <v>2.0383022115971512</v>
      </c>
      <c r="AH14" s="182"/>
      <c r="AI14" s="135">
        <v>271</v>
      </c>
      <c r="AJ14" s="190">
        <f>Tabela2[[#This Row],[FixedAmountAfterSearching]]/136</f>
        <v>1.9926470588235294</v>
      </c>
      <c r="AK14" s="190">
        <f>1000/Tabela2[[#This Row],[AMT ]]</f>
        <v>501.84501845018451</v>
      </c>
      <c r="AL14" s="190">
        <f>$AL$7/Tabela2[[#This Row],[Kolumna2]]</f>
        <v>30</v>
      </c>
      <c r="AM14" s="240"/>
      <c r="AN14" s="246" t="s">
        <v>284</v>
      </c>
      <c r="AO14" s="228"/>
      <c r="AP14" s="228">
        <f>Tabela2[[#This Row],[!ŚREDNIA]]/MAX(Tabela2[!ŚREDNIA])</f>
        <v>6.8943531754443413E-2</v>
      </c>
      <c r="AQ14" s="228">
        <f>Tabela2[[#This Row],[VWO]]/Tabela2[[#This Row],[V_Off]]*1000</f>
        <v>445.63855610367227</v>
      </c>
      <c r="AR14" s="228">
        <f>Tabela2[[#This Row],[VWD]]/Tabela2[[#This Row],[V_Def]]*1000</f>
        <v>505.94594594594588</v>
      </c>
      <c r="AS14" s="228">
        <f>1/(AVERAGE((Tabela2[[#This Row],[Damage max]],Tabela2[[#This Row],[Damage min]]))*(1+(Tabela2[[#This Row],[Attack]]-$G$9)*IF(Tabela2[[#This Row],[Attack]]-$G$9 = 0, 1, IF(Tabela2[[#This Row],[Attack]]-$G$9 &gt; 0,$G$4,$J$4)))/$E$9)</f>
        <v>6.9043031470777141</v>
      </c>
      <c r="AT14" s="228">
        <f>(AVERAGE($H$9,$I$9))*(1+(($F$9-Tabela2[[#This Row],[Defence]])*IF($F$9-Tabela2[[#This Row],[Defence]] = 0, 1, IF($F$9-Tabela2[[#This Row],[Defence]] &gt; 0, $G$4,$J$4))))/Tabela2[[#This Row],[Health]]</f>
        <v>0.62068965517241381</v>
      </c>
      <c r="AU14" s="228">
        <f>INT(SQRT(((Tabela2[[#This Row],[VWO]])*Tabela2[[#This Row],[VWD]])))</f>
        <v>135</v>
      </c>
      <c r="AV14" s="228">
        <f>Tabela2[[#This Row],[VWD]]/Tabela2[[#This Row],[VWO]]</f>
        <v>3.2599858988747878</v>
      </c>
      <c r="AW14" s="228" t="e">
        <f>#REF!/#REF!</f>
        <v>#REF!</v>
      </c>
      <c r="AX14" s="236" t="e">
        <f>SUM(#REF!)</f>
        <v>#REF!</v>
      </c>
      <c r="AY14" s="236" t="e">
        <f>300*#REF!</f>
        <v>#REF!</v>
      </c>
      <c r="AZ14" s="234">
        <v>385</v>
      </c>
      <c r="BA14" s="234">
        <v>326</v>
      </c>
      <c r="BB14" s="237" t="e">
        <f>(#REF!+Tabela2[[#This Row],[SIM]]+Tabela2[[#This Row],[FixedAmountAfterSearching]])/3</f>
        <v>#REF!</v>
      </c>
    </row>
    <row r="15" spans="1:54" s="136" customFormat="1" x14ac:dyDescent="0.25">
      <c r="A15" s="194" t="s">
        <v>204</v>
      </c>
      <c r="B15" s="139" t="s">
        <v>100</v>
      </c>
      <c r="C15" s="214"/>
      <c r="D15" s="134" t="s">
        <v>19</v>
      </c>
      <c r="E15" s="135">
        <v>8</v>
      </c>
      <c r="F15" s="135">
        <v>3</v>
      </c>
      <c r="G15" s="135">
        <v>4</v>
      </c>
      <c r="H15" s="135">
        <v>5</v>
      </c>
      <c r="I15" s="135">
        <v>5</v>
      </c>
      <c r="J15" s="134">
        <v>4</v>
      </c>
      <c r="K15" s="134">
        <v>7</v>
      </c>
      <c r="L15" s="191">
        <f>INT(Tabela2[[#This Row],[Cena SIM]])</f>
        <v>25</v>
      </c>
      <c r="M15" s="191">
        <v>45</v>
      </c>
      <c r="N15" s="198"/>
      <c r="O15" s="197" t="s">
        <v>305</v>
      </c>
      <c r="P15" s="197" t="s">
        <v>314</v>
      </c>
      <c r="Q15" s="197" t="s">
        <v>315</v>
      </c>
      <c r="R15" s="197"/>
      <c r="S15" s="223"/>
      <c r="T15" s="186">
        <f>AG15*Tabela2[[#This Row],[Odchyłka]]</f>
        <v>68.630944887990381</v>
      </c>
      <c r="U15" s="288">
        <f>Tabela2[[#This Row],[VWD]]/Tabela2[[#This Row],[VWO]]</f>
        <v>1.5464316090620893</v>
      </c>
      <c r="V15" s="158">
        <f>AVERAGE((Tabela2[[#This Row],[Damage max]],Tabela2[[#This Row],[Damage min]]))*(1+(Tabela2[[#This Row],[Attack]]-$G$10)*IF(Tabela2[[#This Row],[Attack]]-$G$10 = 0, 1, IF(Tabela2[[#This Row],[Attack]]-$G$10 &gt; 0, $G$4,-$J$4)))/$E$10</f>
        <v>5.4</v>
      </c>
      <c r="W15" s="161">
        <f>MAX(Tabela2[VWO])/Tabela2[[#This Row],[VWO]]</f>
        <v>27.407407407407405</v>
      </c>
      <c r="X15" s="166">
        <f>Tabela2[[#This Row],[Health]]/(AVERAGE($H$10,$I$10)*(1+($F$10-Tabela2[[#This Row],[Defence]])*IF($F$10-Tabela2[[#This Row],[Defence]] = 0, 1, IF($F$10-Tabela2[[#This Row],[Defence]] &gt; 0, $G$4,$J$4))))</f>
        <v>8.3507306889352826</v>
      </c>
      <c r="Y15" s="167">
        <f>MAX(Tabela2[VWD])/Tabela2[[#This Row],[VWD]]</f>
        <v>65.595541401273891</v>
      </c>
      <c r="Z15" s="170">
        <f>Tabela2[[#This Row],[VWO]]*Tabela2[[#This Row],[VWD_R]]</f>
        <v>354.21592356687904</v>
      </c>
      <c r="AA15" s="172">
        <f>Tabela2[[#This Row],[VWO_R]]*Tabela2[[#This Row],[VWD]]</f>
        <v>228.8718781411892</v>
      </c>
      <c r="AB15" s="176">
        <f>(Tabela2[[#This Row],[V_Def]]+Tabela2[[#This Row],[V_Off]])/2</f>
        <v>291.54390085403412</v>
      </c>
      <c r="AC15" s="176">
        <f>472.09/Tabela2[[#This Row],[!ŚREDNIA]]</f>
        <v>1.619275857313712</v>
      </c>
      <c r="AD15" s="176">
        <f>Tabela2[[#This Row],[VWO]]+Tabela2[[#This Row],[VWD]]</f>
        <v>13.750730688935283</v>
      </c>
      <c r="AE15" s="176">
        <f>Tabela2[[#This Row],[Suma VW]]*Tabela2[[#This Row],[Odchyłka]]</f>
        <v>22.26622622501565</v>
      </c>
      <c r="AF15" s="176">
        <f>Tabela2[[#This Row],[Suma*Odchyłka]]/2*1.17</f>
        <v>13.025742341634155</v>
      </c>
      <c r="AG15" s="176">
        <f>15000/Tabela2[[#This Row],[V/HP]]/27.17</f>
        <v>42.383726391033377</v>
      </c>
      <c r="AH15" s="182"/>
      <c r="AI15" s="190">
        <v>5260</v>
      </c>
      <c r="AJ15" s="190">
        <f>Tabela2[[#This Row],[FixedAmountAfterSearching]]/136</f>
        <v>38.676470588235297</v>
      </c>
      <c r="AK15" s="190">
        <f>1000/Tabela2[[#This Row],[AMT ]]</f>
        <v>25.85551330798479</v>
      </c>
      <c r="AL15" s="190">
        <f>$AL$7/Tabela2[[#This Row],[Kolumna2]]</f>
        <v>333.33333333333331</v>
      </c>
      <c r="AM15" s="240"/>
      <c r="AN15" s="246" t="s">
        <v>286</v>
      </c>
      <c r="AO15" s="228"/>
      <c r="AP15" s="228">
        <f>Tabela2[[#This Row],[!ŚREDNIA]]/MAX(Tabela2[!ŚREDNIA])</f>
        <v>6.1798206034040223E-2</v>
      </c>
      <c r="AQ15" s="228">
        <f>Tabela2[[#This Row],[VWO]]/Tabela2[[#This Row],[V_Off]]*1000</f>
        <v>15.244938583288826</v>
      </c>
      <c r="AR15" s="228">
        <f>Tabela2[[#This Row],[VWD]]/Tabela2[[#This Row],[V_Def]]*1000</f>
        <v>36.486486486486491</v>
      </c>
      <c r="AS15" s="228">
        <f>1/(AVERAGE((Tabela2[[#This Row],[Damage max]],Tabela2[[#This Row],[Damage min]]))*(1+(Tabela2[[#This Row],[Attack]]-$G$9)*IF(Tabela2[[#This Row],[Attack]]-$G$9 = 0, 1, IF(Tabela2[[#This Row],[Attack]]-$G$9 &gt; 0,$G$4,$J$4)))/$E$9)</f>
        <v>100.58479532163743</v>
      </c>
      <c r="AT15" s="228">
        <f>(AVERAGE($H$9,$I$9))*(1+(($F$9-Tabela2[[#This Row],[Defence]])*IF($F$9-Tabela2[[#This Row],[Defence]] = 0, 1, IF($F$9-Tabela2[[#This Row],[Defence]] &gt; 0, $G$4,$J$4))))/Tabela2[[#This Row],[Health]]</f>
        <v>17.75</v>
      </c>
      <c r="AU15" s="228">
        <f>INT(SQRT(((Tabela2[[#This Row],[VWO]])*Tabela2[[#This Row],[VWD]])))</f>
        <v>6</v>
      </c>
      <c r="AV15" s="228">
        <f>Tabela2[[#This Row],[VWD]]/Tabela2[[#This Row],[VWO]]</f>
        <v>1.5464316090620893</v>
      </c>
      <c r="AW15" s="228" t="e">
        <f>#REF!/#REF!</f>
        <v>#REF!</v>
      </c>
      <c r="AX15" s="236" t="e">
        <f>SUM(#REF!)</f>
        <v>#REF!</v>
      </c>
      <c r="AY15" s="236" t="e">
        <f>300*#REF!</f>
        <v>#REF!</v>
      </c>
      <c r="AZ15" s="234">
        <v>8939</v>
      </c>
      <c r="BA15" s="234">
        <v>7332</v>
      </c>
      <c r="BB15" s="237" t="e">
        <f>(#REF!+Tabela2[[#This Row],[SIM]]+Tabela2[[#This Row],[FixedAmountAfterSearching]])/3</f>
        <v>#REF!</v>
      </c>
    </row>
    <row r="16" spans="1:54" s="136" customFormat="1" x14ac:dyDescent="0.25">
      <c r="A16" s="194" t="s">
        <v>203</v>
      </c>
      <c r="B16" s="139" t="s">
        <v>100</v>
      </c>
      <c r="C16" s="215"/>
      <c r="D16" s="134" t="s">
        <v>198</v>
      </c>
      <c r="E16" s="135">
        <v>20</v>
      </c>
      <c r="F16" s="135">
        <v>4</v>
      </c>
      <c r="G16" s="135">
        <v>12</v>
      </c>
      <c r="H16" s="135">
        <v>6</v>
      </c>
      <c r="I16" s="135">
        <v>6</v>
      </c>
      <c r="J16" s="134">
        <v>5</v>
      </c>
      <c r="K16" s="134">
        <v>5</v>
      </c>
      <c r="L16" s="191">
        <f>INT(Tabela2[[#This Row],[Cena SIM]])</f>
        <v>47</v>
      </c>
      <c r="M16" s="191">
        <v>60</v>
      </c>
      <c r="N16" s="198"/>
      <c r="O16" s="197" t="s">
        <v>316</v>
      </c>
      <c r="P16" s="197" t="s">
        <v>317</v>
      </c>
      <c r="Q16" s="197"/>
      <c r="R16" s="197"/>
      <c r="S16" s="223"/>
      <c r="T16" s="186">
        <f>AG16*Tabela2[[#This Row],[Odchyłka]]</f>
        <v>31.083829528898459</v>
      </c>
      <c r="U16" s="288">
        <f>Tabela2[[#This Row],[VWD]]/Tabela2[[#This Row],[VWO]]</f>
        <v>3.5179556456152197</v>
      </c>
      <c r="V16" s="158">
        <f>AVERAGE((Tabela2[[#This Row],[Damage max]],Tabela2[[#This Row],[Damage min]]))*(1+(Tabela2[[#This Row],[Attack]]-$G$10)*IF(Tabela2[[#This Row],[Attack]]-$G$10 = 0, 1, IF(Tabela2[[#This Row],[Attack]]-$G$10 &gt; 0, $G$4,-$J$4)))/$E$10</f>
        <v>6.7200000000000006</v>
      </c>
      <c r="W16" s="161">
        <f>MAX(Tabela2[VWO])/Tabela2[[#This Row],[VWO]]</f>
        <v>22.023809523809522</v>
      </c>
      <c r="X16" s="166">
        <f>Tabela2[[#This Row],[Health]]/(AVERAGE($H$10,$I$10)*(1+($F$10-Tabela2[[#This Row],[Defence]])*IF($F$10-Tabela2[[#This Row],[Defence]] = 0, 1, IF($F$10-Tabela2[[#This Row],[Defence]] &gt; 0, $G$4,$J$4))))</f>
        <v>23.640661938534279</v>
      </c>
      <c r="Y16" s="167">
        <f>MAX(Tabela2[VWD])/Tabela2[[#This Row],[VWD]]</f>
        <v>23.17070063694268</v>
      </c>
      <c r="Z16" s="170">
        <f>Tabela2[[#This Row],[VWO]]*Tabela2[[#This Row],[VWD_R]]</f>
        <v>155.70710828025483</v>
      </c>
      <c r="AA16" s="172">
        <f>Tabela2[[#This Row],[VWO_R]]*Tabela2[[#This Row],[VWD]]</f>
        <v>520.65743555105257</v>
      </c>
      <c r="AB16" s="176">
        <f>(Tabela2[[#This Row],[V_Def]]+Tabela2[[#This Row],[V_Off]])/2</f>
        <v>338.1822719156537</v>
      </c>
      <c r="AC16" s="176">
        <f>472.09/Tabela2[[#This Row],[!ŚREDNIA]]</f>
        <v>1.3959631808190829</v>
      </c>
      <c r="AD16" s="176">
        <f>Tabela2[[#This Row],[VWO]]+Tabela2[[#This Row],[VWD]]</f>
        <v>30.360661938534278</v>
      </c>
      <c r="AE16" s="176">
        <f>Tabela2[[#This Row],[Suma VW]]*Tabela2[[#This Row],[Odchyłka]]</f>
        <v>42.382366211489177</v>
      </c>
      <c r="AF16" s="176">
        <f>Tabela2[[#This Row],[Suma*Odchyłka]]/2*1.17</f>
        <v>24.793684233721166</v>
      </c>
      <c r="AG16" s="176">
        <f>15000/Tabela2[[#This Row],[V/HP]]/27.17</f>
        <v>22.266940816204041</v>
      </c>
      <c r="AH16" s="182"/>
      <c r="AI16" s="135">
        <v>2845</v>
      </c>
      <c r="AJ16" s="190">
        <f>Tabela2[[#This Row],[FixedAmountAfterSearching]]/136</f>
        <v>20.919117647058822</v>
      </c>
      <c r="AK16" s="190">
        <f>1000/Tabela2[[#This Row],[AMT ]]</f>
        <v>47.803163444639722</v>
      </c>
      <c r="AL16" s="190">
        <f>$AL$7/Tabela2[[#This Row],[Kolumna2]]</f>
        <v>250</v>
      </c>
      <c r="AM16" s="240"/>
      <c r="AN16" s="246" t="s">
        <v>285</v>
      </c>
      <c r="AO16" s="228"/>
      <c r="AP16" s="228">
        <f>Tabela2[[#This Row],[!ŚREDNIA]]/MAX(Tabela2[!ŚREDNIA])</f>
        <v>7.1684084817698904E-2</v>
      </c>
      <c r="AQ16" s="228">
        <f>Tabela2[[#This Row],[VWO]]/Tabela2[[#This Row],[V_Off]]*1000</f>
        <v>43.157952608719548</v>
      </c>
      <c r="AR16" s="228">
        <f>Tabela2[[#This Row],[VWD]]/Tabela2[[#This Row],[V_Def]]*1000</f>
        <v>45.405405405405403</v>
      </c>
      <c r="AS16" s="228">
        <f>1/(AVERAGE((Tabela2[[#This Row],[Damage max]],Tabela2[[#This Row],[Damage min]]))*(1+(Tabela2[[#This Row],[Attack]]-$G$9)*IF(Tabela2[[#This Row],[Attack]]-$G$9 = 0, 1, IF(Tabela2[[#This Row],[Attack]]-$G$9 &gt; 0,$G$4,$J$4)))/$E$9)</f>
        <v>80.524344569288388</v>
      </c>
      <c r="AT16" s="228">
        <f>(AVERAGE($H$9,$I$9))*(1+(($F$9-Tabela2[[#This Row],[Defence]])*IF($F$9-Tabela2[[#This Row],[Defence]] = 0, 1, IF($F$9-Tabela2[[#This Row],[Defence]] &gt; 0, $G$4,$J$4))))/Tabela2[[#This Row],[Health]]</f>
        <v>6.3</v>
      </c>
      <c r="AU16" s="228">
        <f>INT(SQRT(((Tabela2[[#This Row],[VWO]])*Tabela2[[#This Row],[VWD]])))</f>
        <v>12</v>
      </c>
      <c r="AV16" s="228">
        <f>Tabela2[[#This Row],[VWD]]/Tabela2[[#This Row],[VWO]]</f>
        <v>3.5179556456152197</v>
      </c>
      <c r="AW16" s="228" t="e">
        <f>#REF!/#REF!</f>
        <v>#REF!</v>
      </c>
      <c r="AX16" s="236" t="e">
        <f>SUM(#REF!)</f>
        <v>#REF!</v>
      </c>
      <c r="AY16" s="236" t="e">
        <f>300*#REF!</f>
        <v>#REF!</v>
      </c>
      <c r="AZ16" s="234">
        <v>4676</v>
      </c>
      <c r="BA16" s="234">
        <v>3982</v>
      </c>
      <c r="BB16" s="237" t="e">
        <f>(#REF!+Tabela2[[#This Row],[SIM]]+Tabela2[[#This Row],[FixedAmountAfterSearching]])/3</f>
        <v>#REF!</v>
      </c>
    </row>
    <row r="17" spans="1:54" s="136" customFormat="1" x14ac:dyDescent="0.25">
      <c r="A17" s="194" t="s">
        <v>202</v>
      </c>
      <c r="B17" s="139" t="s">
        <v>100</v>
      </c>
      <c r="C17" s="214"/>
      <c r="D17" s="134" t="s">
        <v>200</v>
      </c>
      <c r="E17" s="135">
        <v>65</v>
      </c>
      <c r="F17" s="135">
        <v>12</v>
      </c>
      <c r="G17" s="135">
        <v>12</v>
      </c>
      <c r="H17" s="135">
        <v>12</v>
      </c>
      <c r="I17" s="135">
        <v>12</v>
      </c>
      <c r="J17" s="134">
        <v>4</v>
      </c>
      <c r="K17" s="134">
        <v>8</v>
      </c>
      <c r="L17" s="191">
        <f>INT(Tabela2[[#This Row],[Cena SIM]])</f>
        <v>129</v>
      </c>
      <c r="M17" s="191">
        <f>Tabela2[[#This Row],[Cena]]*1</f>
        <v>129</v>
      </c>
      <c r="N17" s="198"/>
      <c r="O17" s="197" t="s">
        <v>318</v>
      </c>
      <c r="P17" s="197" t="s">
        <v>319</v>
      </c>
      <c r="Q17" s="197"/>
      <c r="R17" s="197"/>
      <c r="S17" s="223"/>
      <c r="T17" s="186">
        <f>AG17*Tabela2[[#This Row],[Odchyłka]]</f>
        <v>10.027670465966118</v>
      </c>
      <c r="U17" s="288">
        <f>Tabela2[[#This Row],[VWD]]/Tabela2[[#This Row],[VWO]]</f>
        <v>4.4463050520970135</v>
      </c>
      <c r="V17" s="158">
        <f>AVERAGE((Tabela2[[#This Row],[Damage max]],Tabela2[[#This Row],[Damage min]]))*(1+(Tabela2[[#This Row],[Attack]]-$G$10)*IF(Tabela2[[#This Row],[Attack]]-$G$10 = 0, 1, IF(Tabela2[[#This Row],[Attack]]-$G$10 &gt; 0, $G$4,-$J$4)))/$E$10</f>
        <v>17.28</v>
      </c>
      <c r="W17" s="161">
        <f>MAX(Tabela2[VWO])/Tabela2[[#This Row],[VWO]]</f>
        <v>8.5648148148148149</v>
      </c>
      <c r="X17" s="166">
        <f>Tabela2[[#This Row],[Health]]/(AVERAGE($H$10,$I$10)*(1+($F$10-Tabela2[[#This Row],[Defence]])*IF($F$10-Tabela2[[#This Row],[Defence]] = 0, 1, IF($F$10-Tabela2[[#This Row],[Defence]] &gt; 0, $G$4,$J$4))))</f>
        <v>76.832151300236404</v>
      </c>
      <c r="Y17" s="167">
        <f>MAX(Tabela2[VWD])/Tabela2[[#This Row],[VWD]]</f>
        <v>7.1294463498285179</v>
      </c>
      <c r="Z17" s="170">
        <f>Tabela2[[#This Row],[VWO]]*Tabela2[[#This Row],[VWD_R]]</f>
        <v>123.1968329250368</v>
      </c>
      <c r="AA17" s="172">
        <f>Tabela2[[#This Row],[VWO_R]]*Tabela2[[#This Row],[VWD]]</f>
        <v>658.05314771035808</v>
      </c>
      <c r="AB17" s="176">
        <f>(Tabela2[[#This Row],[V_Def]]+Tabela2[[#This Row],[V_Off]])/2</f>
        <v>390.62499031769744</v>
      </c>
      <c r="AC17" s="176">
        <f>472.09/Tabela2[[#This Row],[!ŚREDNIA]]</f>
        <v>1.2085504299559704</v>
      </c>
      <c r="AD17" s="176">
        <f>Tabela2[[#This Row],[VWO]]+Tabela2[[#This Row],[VWD]]</f>
        <v>94.112151300236405</v>
      </c>
      <c r="AE17" s="176">
        <f>Tabela2[[#This Row],[Suma VW]]*Tabela2[[#This Row],[Odchyłka]]</f>
        <v>113.73928091798204</v>
      </c>
      <c r="AF17" s="176">
        <f>Tabela2[[#This Row],[Suma*Odchyłka]]/2*1.17</f>
        <v>66.537479337019491</v>
      </c>
      <c r="AG17" s="176">
        <f>15000/Tabela2[[#This Row],[V/HP]]/27.17</f>
        <v>8.2972710260269764</v>
      </c>
      <c r="AH17" s="182"/>
      <c r="AI17" s="135">
        <v>1050</v>
      </c>
      <c r="AJ17" s="190">
        <f>Tabela2[[#This Row],[FixedAmountAfterSearching]]/136</f>
        <v>7.7205882352941178</v>
      </c>
      <c r="AK17" s="190">
        <f>1000/Tabela2[[#This Row],[AMT ]]</f>
        <v>129.52380952380952</v>
      </c>
      <c r="AL17" s="190">
        <f>$AL$7/Tabela2[[#This Row],[Kolumna2]]</f>
        <v>116.27906976744185</v>
      </c>
      <c r="AM17" s="240"/>
      <c r="AN17" s="246" t="s">
        <v>287</v>
      </c>
      <c r="AO17" s="228"/>
      <c r="AP17" s="228">
        <f>Tabela2[[#This Row],[!ŚREDNIA]]/MAX(Tabela2[!ŚREDNIA])</f>
        <v>8.2800304046779058E-2</v>
      </c>
      <c r="AQ17" s="228">
        <f>Tabela2[[#This Row],[VWO]]/Tabela2[[#This Row],[V_Off]]*1000</f>
        <v>140.26334597833849</v>
      </c>
      <c r="AR17" s="228">
        <f>Tabela2[[#This Row],[VWD]]/Tabela2[[#This Row],[V_Def]]*1000</f>
        <v>116.75675675675676</v>
      </c>
      <c r="AS17" s="228">
        <f>1/(AVERAGE((Tabela2[[#This Row],[Damage max]],Tabela2[[#This Row],[Damage min]]))*(1+(Tabela2[[#This Row],[Attack]]-$G$9)*IF(Tabela2[[#This Row],[Attack]]-$G$9 = 0, 1, IF(Tabela2[[#This Row],[Attack]]-$G$9 &gt; 0,$G$4,$J$4)))/$E$9)</f>
        <v>30.626780626780629</v>
      </c>
      <c r="AT17" s="228">
        <f>(AVERAGE($H$9,$I$9))*(1+(($F$9-Tabela2[[#This Row],[Defence]])*IF($F$9-Tabela2[[#This Row],[Defence]] = 0, 1, IF($F$9-Tabela2[[#This Row],[Defence]] &gt; 0, $G$4,$J$4))))/Tabela2[[#This Row],[Health]]</f>
        <v>1.9384615384615385</v>
      </c>
      <c r="AU17" s="228">
        <f>INT(SQRT(((Tabela2[[#This Row],[VWO]])*Tabela2[[#This Row],[VWD]])))</f>
        <v>36</v>
      </c>
      <c r="AV17" s="228">
        <f>Tabela2[[#This Row],[VWD]]/Tabela2[[#This Row],[VWO]]</f>
        <v>4.4463050520970135</v>
      </c>
      <c r="AW17" s="228" t="e">
        <f>#REF!/#REF!</f>
        <v>#REF!</v>
      </c>
      <c r="AX17" s="236" t="e">
        <f>SUM(#REF!)</f>
        <v>#REF!</v>
      </c>
      <c r="AY17" s="236" t="e">
        <f>300*#REF!</f>
        <v>#REF!</v>
      </c>
      <c r="AZ17" s="234">
        <v>1872</v>
      </c>
      <c r="BA17" s="234">
        <v>1601</v>
      </c>
      <c r="BB17" s="237" t="e">
        <f>(#REF!+Tabela2[[#This Row],[SIM]]+Tabela2[[#This Row],[FixedAmountAfterSearching]])/3</f>
        <v>#REF!</v>
      </c>
    </row>
    <row r="18" spans="1:54" s="136" customFormat="1" ht="14.25" customHeight="1" x14ac:dyDescent="0.25">
      <c r="A18" s="194" t="s">
        <v>201</v>
      </c>
      <c r="B18" s="139" t="s">
        <v>100</v>
      </c>
      <c r="C18" s="215"/>
      <c r="D18" s="134" t="s">
        <v>200</v>
      </c>
      <c r="E18" s="139">
        <v>165</v>
      </c>
      <c r="F18" s="139">
        <v>24</v>
      </c>
      <c r="G18" s="139">
        <v>34</v>
      </c>
      <c r="H18" s="139">
        <v>30</v>
      </c>
      <c r="I18" s="139">
        <v>30</v>
      </c>
      <c r="J18" s="134">
        <v>3</v>
      </c>
      <c r="K18" s="134">
        <v>7</v>
      </c>
      <c r="L18" s="191">
        <f>INT(Tabela2[[#This Row],[Cena SIM]])</f>
        <v>472</v>
      </c>
      <c r="M18" s="191">
        <f>Tabela2[[#This Row],[Cena]]*1</f>
        <v>472</v>
      </c>
      <c r="N18" s="198"/>
      <c r="O18" s="197" t="s">
        <v>320</v>
      </c>
      <c r="P18" s="197" t="s">
        <v>321</v>
      </c>
      <c r="Q18" s="197" t="s">
        <v>322</v>
      </c>
      <c r="R18" s="197"/>
      <c r="S18" s="223"/>
      <c r="T18" s="186">
        <f>AG18*Tabela2[[#This Row],[Odchyłka]]</f>
        <v>2.5905786165539584</v>
      </c>
      <c r="U18" s="288">
        <f>Tabela2[[#This Row],[VWD]]/Tabela2[[#This Row],[VWO]]</f>
        <v>5.3245043370508052</v>
      </c>
      <c r="V18" s="158">
        <f>AVERAGE((Tabela2[[#This Row],[Damage max]],Tabela2[[#This Row],[Damage min]]))*(1+(Tabela2[[#This Row],[Attack]]-$G$10)*IF(Tabela2[[#This Row],[Attack]]-$G$10 = 0, 1, IF(Tabela2[[#This Row],[Attack]]-$G$10 &gt; 0, $G$4,-$J$4)))/$E$10</f>
        <v>57.599999999999994</v>
      </c>
      <c r="W18" s="161">
        <f>MAX(Tabela2[VWO])/Tabela2[[#This Row],[VWO]]</f>
        <v>2.5694444444444446</v>
      </c>
      <c r="X18" s="166">
        <f>Tabela2[[#This Row],[Health]]/(AVERAGE($H$10,$I$10)*(1+($F$10-Tabela2[[#This Row],[Defence]])*IF($F$10-Tabela2[[#This Row],[Defence]] = 0, 1, IF($F$10-Tabela2[[#This Row],[Defence]] &gt; 0, $G$4,$J$4))))</f>
        <v>306.69144981412637</v>
      </c>
      <c r="Y18" s="167">
        <f>MAX(Tabela2[VWD])/Tabela2[[#This Row],[VWD]]</f>
        <v>1.786064466319244</v>
      </c>
      <c r="Z18" s="170">
        <f>Tabela2[[#This Row],[VWO]]*Tabela2[[#This Row],[VWD_R]]</f>
        <v>102.87731325998844</v>
      </c>
      <c r="AA18" s="172">
        <f>Tabela2[[#This Row],[VWO_R]]*Tabela2[[#This Row],[VWD]]</f>
        <v>788.02664188351923</v>
      </c>
      <c r="AB18" s="176">
        <f>(Tabela2[[#This Row],[V_Def]]+Tabela2[[#This Row],[V_Off]])/2</f>
        <v>445.45197757175384</v>
      </c>
      <c r="AC18" s="176">
        <f>472.09/Tabela2[[#This Row],[!ŚREDNIA]]</f>
        <v>1.0597999869109465</v>
      </c>
      <c r="AD18" s="176">
        <f>Tabela2[[#This Row],[VWO]]+Tabela2[[#This Row],[VWD]]</f>
        <v>364.29144981412639</v>
      </c>
      <c r="AE18" s="176">
        <f>Tabela2[[#This Row],[Suma VW]]*Tabela2[[#This Row],[Odchyłka]]</f>
        <v>386.07607374478084</v>
      </c>
      <c r="AF18" s="176">
        <f>Tabela2[[#This Row],[Suma*Odchyłka]]/2*1.17</f>
        <v>225.85450314069678</v>
      </c>
      <c r="AG18" s="176">
        <f>15000/Tabela2[[#This Row],[V/HP]]/27.17</f>
        <v>2.4444033294479</v>
      </c>
      <c r="AH18" s="182"/>
      <c r="AI18" s="135">
        <v>288</v>
      </c>
      <c r="AJ18" s="190">
        <f>Tabela2[[#This Row],[FixedAmountAfterSearching]]/136</f>
        <v>2.1176470588235294</v>
      </c>
      <c r="AK18" s="190">
        <f>1000/Tabela2[[#This Row],[AMT ]]</f>
        <v>472.22222222222223</v>
      </c>
      <c r="AL18" s="190">
        <f>$AL$7/Tabela2[[#This Row],[Kolumna2]]</f>
        <v>31.779661016949152</v>
      </c>
      <c r="AM18" s="240"/>
      <c r="AN18" s="246" t="s">
        <v>288</v>
      </c>
      <c r="AO18" s="228"/>
      <c r="AP18" s="228">
        <f>Tabela2[[#This Row],[!ŚREDNIA]]/MAX(Tabela2[!ŚREDNIA])</f>
        <v>9.4421913844228517E-2</v>
      </c>
      <c r="AQ18" s="228">
        <f>Tabela2[[#This Row],[VWO]]/Tabela2[[#This Row],[V_Off]]*1000</f>
        <v>559.89020489323059</v>
      </c>
      <c r="AR18" s="228">
        <f>Tabela2[[#This Row],[VWD]]/Tabela2[[#This Row],[V_Def]]*1000</f>
        <v>389.18918918918916</v>
      </c>
      <c r="AS18" s="228">
        <f>1/(AVERAGE((Tabela2[[#This Row],[Damage max]],Tabela2[[#This Row],[Damage min]]))*(1+(Tabela2[[#This Row],[Attack]]-$G$9)*IF(Tabela2[[#This Row],[Attack]]-$G$9 = 0, 1, IF(Tabela2[[#This Row],[Attack]]-$G$9 &gt; 0,$G$4,$J$4)))/$E$9)</f>
        <v>9.0146750524109009</v>
      </c>
      <c r="AT18" s="228">
        <f>(AVERAGE($H$9,$I$9))*(1+(($F$9-Tabela2[[#This Row],[Defence]])*IF($F$9-Tabela2[[#This Row],[Defence]] = 0, 1, IF($F$9-Tabela2[[#This Row],[Defence]] &gt; 0, $G$4,$J$4))))/Tabela2[[#This Row],[Health]]</f>
        <v>0.49696969696969695</v>
      </c>
      <c r="AU18" s="228">
        <f>INT(SQRT(((Tabela2[[#This Row],[VWO]])*Tabela2[[#This Row],[VWD]])))</f>
        <v>132</v>
      </c>
      <c r="AV18" s="228">
        <f>Tabela2[[#This Row],[VWD]]/Tabela2[[#This Row],[VWO]]</f>
        <v>5.3245043370508052</v>
      </c>
      <c r="AW18" s="228" t="e">
        <f>#REF!/#REF!</f>
        <v>#REF!</v>
      </c>
      <c r="AX18" s="236" t="e">
        <f>SUM(#REF!)</f>
        <v>#REF!</v>
      </c>
      <c r="AY18" s="236" t="e">
        <f>300*#REF!</f>
        <v>#REF!</v>
      </c>
      <c r="AZ18" s="234">
        <v>544</v>
      </c>
      <c r="BA18" s="234">
        <v>477</v>
      </c>
      <c r="BB18" s="237" t="e">
        <f>(#REF!+Tabela2[[#This Row],[SIM]]+Tabela2[[#This Row],[FixedAmountAfterSearching]])/3</f>
        <v>#REF!</v>
      </c>
    </row>
    <row r="19" spans="1:54" s="136" customFormat="1" ht="14.25" hidden="1" customHeight="1" x14ac:dyDescent="0.25">
      <c r="A19" s="194" t="s">
        <v>183</v>
      </c>
      <c r="B19" s="139" t="s">
        <v>208</v>
      </c>
      <c r="C19" s="214"/>
      <c r="D19" s="134"/>
      <c r="E19" s="135">
        <v>40</v>
      </c>
      <c r="F19" s="135">
        <v>14</v>
      </c>
      <c r="G19" s="135">
        <v>7</v>
      </c>
      <c r="H19" s="135">
        <v>13</v>
      </c>
      <c r="I19" s="135">
        <v>13</v>
      </c>
      <c r="J19" s="134">
        <v>7</v>
      </c>
      <c r="K19" s="134">
        <v>7</v>
      </c>
      <c r="L19" s="191">
        <f>INT(Tabela2[[#This Row],[Cena SIM]])</f>
        <v>103</v>
      </c>
      <c r="M19" s="191">
        <f>Tabela2[[#This Row],[Cena]]*1</f>
        <v>103</v>
      </c>
      <c r="N19" s="198"/>
      <c r="O19" s="197"/>
      <c r="P19" s="197"/>
      <c r="Q19" s="197"/>
      <c r="R19" s="197"/>
      <c r="S19" s="223"/>
      <c r="T19" s="186">
        <f>AG19*Tabela2[[#This Row],[Odchyłka]]</f>
        <v>14.878662749208168</v>
      </c>
      <c r="U19" s="288">
        <f>Tabela2[[#This Row],[VWD]]/Tabela2[[#This Row],[VWO]]</f>
        <v>2.2099252161306859</v>
      </c>
      <c r="V19" s="158">
        <f>AVERAGE((Tabela2[[#This Row],[Damage max]],Tabela2[[#This Row],[Damage min]]))*(1+(Tabela2[[#This Row],[Attack]]-$G$10)*IF(Tabela2[[#This Row],[Attack]]-$G$10 = 0, 1, IF(Tabela2[[#This Row],[Attack]]-$G$10 &gt; 0, $G$4,-$J$4)))/$E$10</f>
        <v>19.760000000000002</v>
      </c>
      <c r="W19" s="161">
        <f>MAX(Tabela2[VWO])/Tabela2[[#This Row],[VWO]]</f>
        <v>7.4898785425101213</v>
      </c>
      <c r="X19" s="166">
        <f>Tabela2[[#This Row],[Health]]/(AVERAGE($H$10,$I$10)*(1+($F$10-Tabela2[[#This Row],[Defence]])*IF($F$10-Tabela2[[#This Row],[Defence]] = 0, 1, IF($F$10-Tabela2[[#This Row],[Defence]] &gt; 0, $G$4,$J$4))))</f>
        <v>43.668122270742359</v>
      </c>
      <c r="Y19" s="167">
        <f>MAX(Tabela2[VWD])/Tabela2[[#This Row],[VWD]]</f>
        <v>12.54394904458599</v>
      </c>
      <c r="Z19" s="170">
        <f>Tabela2[[#This Row],[VWO]]*Tabela2[[#This Row],[VWD_R]]</f>
        <v>247.86843312101917</v>
      </c>
      <c r="AA19" s="172">
        <f>Tabela2[[#This Row],[VWO_R]]*Tabela2[[#This Row],[VWD]]</f>
        <v>327.06893198734156</v>
      </c>
      <c r="AB19" s="176">
        <f>(Tabela2[[#This Row],[V_Def]]+Tabela2[[#This Row],[V_Off]])/2</f>
        <v>287.46868255418036</v>
      </c>
      <c r="AC19" s="176">
        <f>472.09/Tabela2[[#This Row],[!ŚREDNIA]]</f>
        <v>1.6422310625472161</v>
      </c>
      <c r="AD19" s="176">
        <f>Tabela2[[#This Row],[VWO]]+Tabela2[[#This Row],[VWD]]</f>
        <v>63.428122270742364</v>
      </c>
      <c r="AE19" s="176">
        <f>Tabela2[[#This Row],[Suma VW]]*Tabela2[[#This Row],[Odchyłka]]</f>
        <v>104.16363263205596</v>
      </c>
      <c r="AF19" s="176">
        <f>Tabela2[[#This Row],[Suma*Odchyłka]]/2*1.17</f>
        <v>60.935725089752736</v>
      </c>
      <c r="AG19" s="176">
        <f>15000/Tabela2[[#This Row],[V/HP]]/27.17</f>
        <v>9.060030033855476</v>
      </c>
      <c r="AH19" s="182"/>
      <c r="AI19" s="135">
        <v>1315</v>
      </c>
      <c r="AJ19" s="190">
        <f>Tabela2[[#This Row],[FixedAmountAfterSearching]]/136</f>
        <v>9.6691176470588243</v>
      </c>
      <c r="AK19" s="190">
        <f>1000/Tabela2[[#This Row],[AMT ]]</f>
        <v>103.42205323193916</v>
      </c>
      <c r="AL19" s="190">
        <f>$AL$7/Tabela2[[#This Row],[Kolumna2]]</f>
        <v>145.63106796116506</v>
      </c>
      <c r="AM19" s="240"/>
      <c r="AN19" s="246" t="s">
        <v>280</v>
      </c>
      <c r="AO19" s="228"/>
      <c r="AP19" s="228">
        <f>Tabela2[[#This Row],[!ŚREDNIA]]/MAX(Tabela2[!ŚREDNIA])</f>
        <v>6.0934386968059688E-2</v>
      </c>
      <c r="AQ19" s="228">
        <f>Tabela2[[#This Row],[VWO]]/Tabela2[[#This Row],[V_Off]]*1000</f>
        <v>79.71971158728546</v>
      </c>
      <c r="AR19" s="228">
        <f>Tabela2[[#This Row],[VWD]]/Tabela2[[#This Row],[V_Def]]*1000</f>
        <v>133.51351351351352</v>
      </c>
      <c r="AS19" s="228">
        <f>1/(AVERAGE((Tabela2[[#This Row],[Damage max]],Tabela2[[#This Row],[Damage min]]))*(1+(Tabela2[[#This Row],[Attack]]-$G$9)*IF(Tabela2[[#This Row],[Attack]]-$G$9 = 0, 1, IF(Tabela2[[#This Row],[Attack]]-$G$9 &gt; 0,$G$4,$J$4)))/$E$9)</f>
        <v>26.674937965260547</v>
      </c>
      <c r="AT19" s="228">
        <f>(AVERAGE($H$9,$I$9))*(1+(($F$9-Tabela2[[#This Row],[Defence]])*IF($F$9-Tabela2[[#This Row],[Defence]] = 0, 1, IF($F$9-Tabela2[[#This Row],[Defence]] &gt; 0, $G$4,$J$4))))/Tabela2[[#This Row],[Health]]</f>
        <v>3.4</v>
      </c>
      <c r="AU19" s="228">
        <f>INT(SQRT(((Tabela2[[#This Row],[VWO]])*Tabela2[[#This Row],[VWD]])))</f>
        <v>29</v>
      </c>
      <c r="AV19" s="228">
        <f>Tabela2[[#This Row],[VWD]]/Tabela2[[#This Row],[VWO]]</f>
        <v>2.2099252161306859</v>
      </c>
      <c r="AW19" s="228" t="e">
        <f>#REF!/#REF!</f>
        <v>#REF!</v>
      </c>
      <c r="AX19" s="236" t="e">
        <f>SUM(#REF!)</f>
        <v>#REF!</v>
      </c>
      <c r="AY19" s="236" t="e">
        <f>300*#REF!</f>
        <v>#REF!</v>
      </c>
      <c r="AZ19" s="234">
        <v>1217</v>
      </c>
      <c r="BA19" s="234">
        <v>1233</v>
      </c>
      <c r="BB19" s="237" t="e">
        <f>(#REF!+Tabela2[[#This Row],[SIM]]+Tabela2[[#This Row],[FixedAmountAfterSearching]])/3</f>
        <v>#REF!</v>
      </c>
    </row>
    <row r="20" spans="1:54" s="136" customFormat="1" ht="14.25" hidden="1" customHeight="1" x14ac:dyDescent="0.25">
      <c r="A20" s="194" t="s">
        <v>184</v>
      </c>
      <c r="B20" s="139" t="s">
        <v>208</v>
      </c>
      <c r="C20" s="215"/>
      <c r="D20" s="134"/>
      <c r="E20" s="139">
        <v>53</v>
      </c>
      <c r="F20" s="139">
        <v>13</v>
      </c>
      <c r="G20" s="139">
        <v>10</v>
      </c>
      <c r="H20" s="139">
        <v>11</v>
      </c>
      <c r="I20" s="139">
        <v>11</v>
      </c>
      <c r="J20" s="134">
        <v>7</v>
      </c>
      <c r="K20" s="134">
        <v>7</v>
      </c>
      <c r="L20" s="191">
        <f>INT(Tabela2[[#This Row],[Cena SIM]])</f>
        <v>111</v>
      </c>
      <c r="M20" s="191">
        <f>Tabela2[[#This Row],[Cena]]*1</f>
        <v>111</v>
      </c>
      <c r="N20" s="198"/>
      <c r="O20" s="197" t="s">
        <v>191</v>
      </c>
      <c r="P20" s="197" t="s">
        <v>192</v>
      </c>
      <c r="Q20" s="197" t="s">
        <v>193</v>
      </c>
      <c r="R20" s="197"/>
      <c r="S20" s="223"/>
      <c r="T20" s="186">
        <f>AG20*Tabela2[[#This Row],[Odchyłka]]</f>
        <v>12.268807281048847</v>
      </c>
      <c r="U20" s="288">
        <f>Tabela2[[#This Row],[VWD]]/Tabela2[[#This Row],[VWO]]</f>
        <v>3.7248607042657382</v>
      </c>
      <c r="V20" s="158">
        <f>AVERAGE((Tabela2[[#This Row],[Damage max]],Tabela2[[#This Row],[Damage min]]))*(1+(Tabela2[[#This Row],[Attack]]-$G$10)*IF(Tabela2[[#This Row],[Attack]]-$G$10 = 0, 1, IF(Tabela2[[#This Row],[Attack]]-$G$10 &gt; 0, $G$4,-$J$4)))/$E$10</f>
        <v>16.28</v>
      </c>
      <c r="W20" s="161">
        <f>MAX(Tabela2[VWO])/Tabela2[[#This Row],[VWO]]</f>
        <v>9.0909090909090899</v>
      </c>
      <c r="X20" s="166">
        <f>Tabela2[[#This Row],[Health]]/(AVERAGE($H$10,$I$10)*(1+($F$10-Tabela2[[#This Row],[Defence]])*IF($F$10-Tabela2[[#This Row],[Defence]] = 0, 1, IF($F$10-Tabela2[[#This Row],[Defence]] &gt; 0, $G$4,$J$4))))</f>
        <v>60.640732265446225</v>
      </c>
      <c r="Y20" s="167">
        <f>MAX(Tabela2[VWD])/Tabela2[[#This Row],[VWD]]</f>
        <v>9.0330489123903401</v>
      </c>
      <c r="Z20" s="170">
        <f>Tabela2[[#This Row],[VWO]]*Tabela2[[#This Row],[VWD_R]]</f>
        <v>147.05803629371474</v>
      </c>
      <c r="AA20" s="172">
        <f>Tabela2[[#This Row],[VWO_R]]*Tabela2[[#This Row],[VWD]]</f>
        <v>551.27938423132923</v>
      </c>
      <c r="AB20" s="176">
        <f>(Tabela2[[#This Row],[V_Def]]+Tabela2[[#This Row],[V_Off]])/2</f>
        <v>349.16871026252198</v>
      </c>
      <c r="AC20" s="176">
        <f>472.09/Tabela2[[#This Row],[!ŚREDNIA]]</f>
        <v>1.3520398195046166</v>
      </c>
      <c r="AD20" s="176">
        <f>Tabela2[[#This Row],[VWO]]+Tabela2[[#This Row],[VWD]]</f>
        <v>76.920732265446219</v>
      </c>
      <c r="AE20" s="176">
        <f>Tabela2[[#This Row],[Suma VW]]*Tabela2[[#This Row],[Odchyłka]]</f>
        <v>103.99989296833684</v>
      </c>
      <c r="AF20" s="176">
        <f>Tabela2[[#This Row],[Suma*Odchyłka]]/2*1.17</f>
        <v>60.839937386477047</v>
      </c>
      <c r="AG20" s="176">
        <f>15000/Tabela2[[#This Row],[V/HP]]/27.17</f>
        <v>9.0742943396031794</v>
      </c>
      <c r="AH20" s="182"/>
      <c r="AI20" s="135">
        <v>1217</v>
      </c>
      <c r="AJ20" s="190">
        <f>Tabela2[[#This Row],[FixedAmountAfterSearching]]/136</f>
        <v>8.9485294117647065</v>
      </c>
      <c r="AK20" s="190">
        <f>1000/Tabela2[[#This Row],[AMT ]]</f>
        <v>111.75020542317172</v>
      </c>
      <c r="AL20" s="190">
        <f>$AL$7/Tabela2[[#This Row],[Kolumna2]]</f>
        <v>135.13513513513513</v>
      </c>
      <c r="AM20" s="240"/>
      <c r="AN20" s="246" t="s">
        <v>189</v>
      </c>
      <c r="AO20" s="228"/>
      <c r="AP20" s="228">
        <f>Tabela2[[#This Row],[!ŚREDNIA]]/MAX(Tabela2[!ŚREDNIA])</f>
        <v>7.4012866790332144E-2</v>
      </c>
      <c r="AQ20" s="228">
        <f>Tabela2[[#This Row],[VWO]]/Tabela2[[#This Row],[V_Off]]*1000</f>
        <v>110.70459262412855</v>
      </c>
      <c r="AR20" s="228">
        <f>Tabela2[[#This Row],[VWD]]/Tabela2[[#This Row],[V_Def]]*1000</f>
        <v>110.00000000000001</v>
      </c>
      <c r="AS20" s="228">
        <f>1/(AVERAGE((Tabela2[[#This Row],[Damage max]],Tabela2[[#This Row],[Damage min]]))*(1+(Tabela2[[#This Row],[Attack]]-$G$9)*IF(Tabela2[[#This Row],[Attack]]-$G$9 = 0, 1, IF(Tabela2[[#This Row],[Attack]]-$G$9 &gt; 0,$G$4,$J$4)))/$E$9)</f>
        <v>32.440588457185967</v>
      </c>
      <c r="AT20" s="228">
        <f>(AVERAGE($H$9,$I$9))*(1+(($F$9-Tabela2[[#This Row],[Defence]])*IF($F$9-Tabela2[[#This Row],[Defence]] = 0, 1, IF($F$9-Tabela2[[#This Row],[Defence]] &gt; 0, $G$4,$J$4))))/Tabela2[[#This Row],[Health]]</f>
        <v>2.4528301886792452</v>
      </c>
      <c r="AU20" s="228">
        <f>INT(SQRT(((Tabela2[[#This Row],[VWO]])*Tabela2[[#This Row],[VWD]])))</f>
        <v>31</v>
      </c>
      <c r="AV20" s="228">
        <f>Tabela2[[#This Row],[VWD]]/Tabela2[[#This Row],[VWO]]</f>
        <v>3.7248607042657382</v>
      </c>
      <c r="AW20" s="228" t="e">
        <f>#REF!/#REF!</f>
        <v>#REF!</v>
      </c>
      <c r="AX20" s="236" t="e">
        <f>SUM(#REF!)</f>
        <v>#REF!</v>
      </c>
      <c r="AY20" s="236" t="e">
        <f>300*#REF!</f>
        <v>#REF!</v>
      </c>
      <c r="AZ20" s="234">
        <v>1182</v>
      </c>
      <c r="BA20" s="234">
        <v>982</v>
      </c>
      <c r="BB20" s="237" t="e">
        <f>(#REF!+Tabela2[[#This Row],[SIM]]+Tabela2[[#This Row],[FixedAmountAfterSearching]])/3</f>
        <v>#REF!</v>
      </c>
    </row>
    <row r="21" spans="1:54" s="274" customFormat="1" ht="14.25" hidden="1" customHeight="1" x14ac:dyDescent="0.25">
      <c r="A21" s="280" t="s">
        <v>180</v>
      </c>
      <c r="B21" s="139" t="s">
        <v>208</v>
      </c>
      <c r="C21" s="214"/>
      <c r="D21" s="278"/>
      <c r="E21" s="272">
        <v>125</v>
      </c>
      <c r="F21" s="272">
        <v>25</v>
      </c>
      <c r="G21" s="272">
        <v>25</v>
      </c>
      <c r="H21" s="272">
        <v>25</v>
      </c>
      <c r="I21" s="272">
        <v>25</v>
      </c>
      <c r="J21" s="278">
        <v>10</v>
      </c>
      <c r="K21" s="278">
        <v>6</v>
      </c>
      <c r="L21" s="279">
        <f>INT(Tabela2[[#This Row],[Cena SIM]])</f>
        <v>351</v>
      </c>
      <c r="M21" s="279">
        <f>Tabela2[[#This Row],[Cena]]*1</f>
        <v>351</v>
      </c>
      <c r="N21" s="198"/>
      <c r="O21" s="277" t="s">
        <v>176</v>
      </c>
      <c r="P21" s="277"/>
      <c r="Q21" s="277"/>
      <c r="R21" s="277"/>
      <c r="S21" s="223"/>
      <c r="T21" s="186">
        <f>AG21*Tabela2[[#This Row],[Odchyłka]]</f>
        <v>3.9777182676619427</v>
      </c>
      <c r="U21" s="288">
        <f>Tabela2[[#This Row],[VWD]]/Tabela2[[#This Row],[VWO]]</f>
        <v>3.8418982050651591</v>
      </c>
      <c r="V21" s="275">
        <f>AVERAGE((Tabela2[[#This Row],[Damage max]],Tabela2[[#This Row],[Damage min]]))*(1+(Tabela2[[#This Row],[Attack]]-$G$10)*IF(Tabela2[[#This Row],[Attack]]-$G$10 = 0, 1, IF(Tabela2[[#This Row],[Attack]]-$G$10 &gt; 0, $G$4,-$J$4)))/$E$10</f>
        <v>49</v>
      </c>
      <c r="W21" s="276">
        <f>MAX(Tabela2[VWO])/Tabela2[[#This Row],[VWO]]</f>
        <v>3.0204081632653059</v>
      </c>
      <c r="X21" s="276">
        <f>Tabela2[[#This Row],[Health]]/(AVERAGE($H$10,$I$10)*(1+($F$10-Tabela2[[#This Row],[Defence]])*IF($F$10-Tabela2[[#This Row],[Defence]] = 0, 1, IF($F$10-Tabela2[[#This Row],[Defence]] &gt; 0, $G$4,$J$4))))</f>
        <v>188.2530120481928</v>
      </c>
      <c r="Y21" s="276">
        <f>MAX(Tabela2[VWD])/Tabela2[[#This Row],[VWD]]</f>
        <v>2.9097579617834399</v>
      </c>
      <c r="Z21" s="276">
        <f>Tabela2[[#This Row],[VWO]]*Tabela2[[#This Row],[VWD_R]]</f>
        <v>142.57814012738856</v>
      </c>
      <c r="AA21" s="276">
        <f>Tabela2[[#This Row],[VWO_R]]*Tabela2[[#This Row],[VWD]]</f>
        <v>568.60093434964358</v>
      </c>
      <c r="AB21" s="176">
        <f>(Tabela2[[#This Row],[V_Def]]+Tabela2[[#This Row],[V_Off]])/2</f>
        <v>355.58953723851607</v>
      </c>
      <c r="AC21" s="176">
        <f>472.09/Tabela2[[#This Row],[!ŚREDNIA]]</f>
        <v>1.32762623913577</v>
      </c>
      <c r="AD21" s="176">
        <f>Tabela2[[#This Row],[VWO]]+Tabela2[[#This Row],[VWD]]</f>
        <v>237.2530120481928</v>
      </c>
      <c r="AE21" s="176">
        <f>Tabela2[[#This Row],[Suma VW]]*Tabela2[[#This Row],[Odchyłka]]</f>
        <v>314.98332410917573</v>
      </c>
      <c r="AF21" s="176">
        <f>Tabela2[[#This Row],[Suma*Odchyłka]]/2*1.17</f>
        <v>184.26524460386779</v>
      </c>
      <c r="AG21" s="176">
        <f>15000/Tabela2[[#This Row],[V/HP]]/27.17</f>
        <v>2.9961130251924466</v>
      </c>
      <c r="AH21" s="182"/>
      <c r="AI21" s="272">
        <v>387</v>
      </c>
      <c r="AJ21" s="273">
        <f>Tabela2[[#This Row],[FixedAmountAfterSearching]]/136</f>
        <v>2.8455882352941178</v>
      </c>
      <c r="AK21" s="273">
        <f>1000/Tabela2[[#This Row],[AMT ]]</f>
        <v>351.42118863049092</v>
      </c>
      <c r="AL21" s="273">
        <f>$AL$7/Tabela2[[#This Row],[Kolumna2]]</f>
        <v>42.735042735042732</v>
      </c>
      <c r="AM21" s="240"/>
      <c r="AN21" s="269" t="s">
        <v>186</v>
      </c>
      <c r="AO21" s="270"/>
      <c r="AP21" s="270">
        <f>Tabela2[[#This Row],[!ŚREDNIA]]/MAX(Tabela2[!ŚREDNIA])</f>
        <v>7.5373881674228024E-2</v>
      </c>
      <c r="AQ21" s="270">
        <f>Tabela2[[#This Row],[VWO]]/Tabela2[[#This Row],[V_Off]]*1000</f>
        <v>343.67119641356112</v>
      </c>
      <c r="AR21" s="270">
        <f>Tabela2[[#This Row],[VWD]]/Tabela2[[#This Row],[V_Def]]*1000</f>
        <v>331.08108108108109</v>
      </c>
      <c r="AS21" s="270">
        <f>1/(AVERAGE((Tabela2[[#This Row],[Damage max]],Tabela2[[#This Row],[Damage min]]))*(1+(Tabela2[[#This Row],[Attack]]-$G$9)*IF(Tabela2[[#This Row],[Attack]]-$G$9 = 0, 1, IF(Tabela2[[#This Row],[Attack]]-$G$9 &gt; 0,$G$4,$J$4)))/$E$9)</f>
        <v>10.584615384615388</v>
      </c>
      <c r="AT21" s="270">
        <f>(AVERAGE($H$9,$I$9))*(1+(($F$9-Tabela2[[#This Row],[Defence]])*IF($F$9-Tabela2[[#This Row],[Defence]] = 0, 1, IF($F$9-Tabela2[[#This Row],[Defence]] &gt; 0, $G$4,$J$4))))/Tabela2[[#This Row],[Health]]</f>
        <v>0.8</v>
      </c>
      <c r="AU21" s="270">
        <f>INT(SQRT(((Tabela2[[#This Row],[VWO]])*Tabela2[[#This Row],[VWD]])))</f>
        <v>96</v>
      </c>
      <c r="AV21" s="270">
        <f>Tabela2[[#This Row],[VWD]]/Tabela2[[#This Row],[VWO]]</f>
        <v>3.8418982050651591</v>
      </c>
      <c r="AW21" s="270" t="e">
        <f>#REF!/#REF!</f>
        <v>#REF!</v>
      </c>
      <c r="AX21" s="271" t="e">
        <f>SUM(#REF!)</f>
        <v>#REF!</v>
      </c>
      <c r="AY21" s="271" t="e">
        <f>300*#REF!</f>
        <v>#REF!</v>
      </c>
      <c r="AZ21" s="272">
        <v>387</v>
      </c>
      <c r="BA21" s="272">
        <v>387</v>
      </c>
      <c r="BB21" s="273" t="e">
        <f>(#REF!+Tabela2[[#This Row],[SIM]]+Tabela2[[#This Row],[FixedAmountAfterSearching]])/3</f>
        <v>#REF!</v>
      </c>
    </row>
    <row r="22" spans="1:54" s="136" customFormat="1" ht="14.25" hidden="1" customHeight="1" x14ac:dyDescent="0.25">
      <c r="A22" s="194" t="s">
        <v>181</v>
      </c>
      <c r="B22" s="139" t="s">
        <v>208</v>
      </c>
      <c r="C22" s="215"/>
      <c r="D22" s="134"/>
      <c r="E22" s="139">
        <v>100</v>
      </c>
      <c r="F22" s="139">
        <v>1</v>
      </c>
      <c r="G22" s="139">
        <v>50</v>
      </c>
      <c r="H22" s="139">
        <v>5</v>
      </c>
      <c r="I22" s="139">
        <v>5</v>
      </c>
      <c r="J22" s="134">
        <v>2</v>
      </c>
      <c r="K22" s="134">
        <v>2</v>
      </c>
      <c r="L22" s="191">
        <f>INT(Tabela2[[#This Row],[Cena SIM]])</f>
        <v>141</v>
      </c>
      <c r="M22" s="191">
        <f>Tabela2[[#This Row],[Cena]]*1</f>
        <v>141</v>
      </c>
      <c r="N22" s="198"/>
      <c r="O22" s="197"/>
      <c r="P22" s="197" t="s">
        <v>177</v>
      </c>
      <c r="Q22" s="197"/>
      <c r="R22" s="197"/>
      <c r="S22" s="223"/>
      <c r="T22" s="186">
        <f>AG22*Tabela2[[#This Row],[Odchyłka]]</f>
        <v>2.9174938563130981</v>
      </c>
      <c r="U22" s="288">
        <f>Tabela2[[#This Row],[VWD]]/Tabela2[[#This Row],[VWO]]</f>
        <v>63.694267515923585</v>
      </c>
      <c r="V22" s="158">
        <f>AVERAGE((Tabela2[[#This Row],[Damage max]],Tabela2[[#This Row],[Damage min]]))*(1+(Tabela2[[#This Row],[Attack]]-$G$10)*IF(Tabela2[[#This Row],[Attack]]-$G$10 = 0, 1, IF(Tabela2[[#This Row],[Attack]]-$G$10 &gt; 0, $G$4,-$J$4)))/$E$10</f>
        <v>5</v>
      </c>
      <c r="W22" s="161">
        <f>MAX(Tabela2[VWO])/Tabela2[[#This Row],[VWO]]</f>
        <v>29.6</v>
      </c>
      <c r="X22" s="166">
        <f>Tabela2[[#This Row],[Health]]/(AVERAGE($H$10,$I$10)*(1+($F$10-Tabela2[[#This Row],[Defence]])*IF($F$10-Tabela2[[#This Row],[Defence]] = 0, 1, IF($F$10-Tabela2[[#This Row],[Defence]] &gt; 0, $G$4,$J$4))))</f>
        <v>318.47133757961791</v>
      </c>
      <c r="Y22" s="167">
        <f>MAX(Tabela2[VWD])/Tabela2[[#This Row],[VWD]]</f>
        <v>1.72</v>
      </c>
      <c r="Z22" s="170">
        <f>Tabela2[[#This Row],[VWO]]*Tabela2[[#This Row],[VWD_R]]</f>
        <v>8.6</v>
      </c>
      <c r="AA22" s="172">
        <f>Tabela2[[#This Row],[VWO_R]]*Tabela2[[#This Row],[VWD]]</f>
        <v>9426.7515923566898</v>
      </c>
      <c r="AB22" s="176">
        <f>(Tabela2[[#This Row],[V_Def]]+Tabela2[[#This Row],[V_Off]])/2</f>
        <v>4717.6757961783451</v>
      </c>
      <c r="AC22" s="176">
        <f>472.09/Tabela2[[#This Row],[!ŚREDNIA]]</f>
        <v>0.10006834305621989</v>
      </c>
      <c r="AD22" s="176">
        <f>Tabela2[[#This Row],[VWO]]+Tabela2[[#This Row],[VWD]]</f>
        <v>323.47133757961791</v>
      </c>
      <c r="AE22" s="176">
        <f>Tabela2[[#This Row],[Suma VW]]*Tabela2[[#This Row],[Odchyłka]]</f>
        <v>32.369240777771516</v>
      </c>
      <c r="AF22" s="176">
        <f>Tabela2[[#This Row],[Suma*Odchyłka]]/2*1.17</f>
        <v>18.936005854996335</v>
      </c>
      <c r="AG22" s="176">
        <f>15000/Tabela2[[#This Row],[V/HP]]/27.17</f>
        <v>29.155013136112451</v>
      </c>
      <c r="AH22" s="182"/>
      <c r="AI22" s="135">
        <v>958</v>
      </c>
      <c r="AJ22" s="190">
        <f>Tabela2[[#This Row],[FixedAmountAfterSearching]]/136</f>
        <v>7.0441176470588234</v>
      </c>
      <c r="AK22" s="190">
        <f>1000/Tabela2[[#This Row],[AMT ]]</f>
        <v>141.96242171189979</v>
      </c>
      <c r="AL22" s="190">
        <f>$AL$7/Tabela2[[#This Row],[Kolumna2]]</f>
        <v>106.38297872340425</v>
      </c>
      <c r="AM22" s="240"/>
      <c r="AN22" s="246" t="s">
        <v>187</v>
      </c>
      <c r="AO22" s="228"/>
      <c r="AP22" s="228">
        <f>Tabela2[[#This Row],[!ŚREDNIA]]/MAX(Tabela2[!ŚREDNIA])</f>
        <v>1</v>
      </c>
      <c r="AQ22" s="228">
        <f>Tabela2[[#This Row],[VWO]]/Tabela2[[#This Row],[V_Off]]*1000</f>
        <v>581.39534883720933</v>
      </c>
      <c r="AR22" s="228">
        <f>Tabela2[[#This Row],[VWD]]/Tabela2[[#This Row],[V_Def]]*1000</f>
        <v>33.783783783783782</v>
      </c>
      <c r="AS22" s="228">
        <f>1/(AVERAGE((Tabela2[[#This Row],[Damage max]],Tabela2[[#This Row],[Damage min]]))*(1+(Tabela2[[#This Row],[Attack]]-$G$9)*IF(Tabela2[[#This Row],[Attack]]-$G$9 = 0, 1, IF(Tabela2[[#This Row],[Attack]]-$G$9 &gt; 0,$G$4,$J$4)))/$E$9)</f>
        <v>109.55414012738855</v>
      </c>
      <c r="AT22" s="228">
        <f>(AVERAGE($H$9,$I$9))*(1+(($F$9-Tabela2[[#This Row],[Defence]])*IF($F$9-Tabela2[[#This Row],[Defence]] = 0, 1, IF($F$9-Tabela2[[#This Row],[Defence]] &gt; 0, $G$4,$J$4))))/Tabela2[[#This Row],[Health]]</f>
        <v>0.5</v>
      </c>
      <c r="AU22" s="228">
        <f>INT(SQRT(((Tabela2[[#This Row],[VWO]])*Tabela2[[#This Row],[VWD]])))</f>
        <v>39</v>
      </c>
      <c r="AV22" s="228">
        <f>Tabela2[[#This Row],[VWD]]/Tabela2[[#This Row],[VWO]]</f>
        <v>63.694267515923585</v>
      </c>
      <c r="AW22" s="228" t="e">
        <f>#REF!/#REF!</f>
        <v>#REF!</v>
      </c>
      <c r="AX22" s="236" t="e">
        <f>SUM(#REF!)</f>
        <v>#REF!</v>
      </c>
      <c r="AY22" s="236" t="e">
        <f>300*#REF!</f>
        <v>#REF!</v>
      </c>
      <c r="AZ22" s="234">
        <v>1013</v>
      </c>
      <c r="BA22" s="234">
        <v>860</v>
      </c>
      <c r="BB22" s="237" t="e">
        <f>(#REF!+Tabela2[[#This Row],[SIM]]+Tabela2[[#This Row],[FixedAmountAfterSearching]])/3</f>
        <v>#REF!</v>
      </c>
    </row>
    <row r="23" spans="1:54" x14ac:dyDescent="0.25">
      <c r="A23" s="195" t="s">
        <v>289</v>
      </c>
      <c r="B23" s="268" t="s">
        <v>44</v>
      </c>
      <c r="D23" s="131" t="s">
        <v>19</v>
      </c>
      <c r="E23" s="131">
        <v>3</v>
      </c>
      <c r="F23" s="131">
        <v>2</v>
      </c>
      <c r="G23" s="131">
        <v>1</v>
      </c>
      <c r="H23" s="131">
        <v>1</v>
      </c>
      <c r="I23" s="131">
        <v>1</v>
      </c>
      <c r="J23" s="181">
        <v>5</v>
      </c>
      <c r="K23" s="181">
        <v>6</v>
      </c>
      <c r="L23" s="191">
        <f>INT(Tabela2[[#This Row],[Cena SIM]])</f>
        <v>6</v>
      </c>
      <c r="M23" s="191">
        <f>Tabela2[[#This Row],[Cena]]*1</f>
        <v>6</v>
      </c>
      <c r="O23" s="196" t="s">
        <v>293</v>
      </c>
      <c r="P23" s="196" t="s">
        <v>294</v>
      </c>
      <c r="Q23" s="196"/>
      <c r="R23" s="196"/>
      <c r="S23" s="223"/>
      <c r="T23" s="187">
        <f>AG23*Tabela2[[#This Row],[Odchyłka]]</f>
        <v>233.59545546582066</v>
      </c>
      <c r="U23" s="290">
        <f>Tabela2[[#This Row],[VWD]]/Tabela2[[#This Row],[VWO]]</f>
        <v>2.8846153846153846</v>
      </c>
      <c r="V23" s="180">
        <f>AVERAGE((Tabela2[[#This Row],[Damage max]],Tabela2[[#This Row],[Damage min]]))*(1+(Tabela2[[#This Row],[Attack]]-$G$10)*IF(Tabela2[[#This Row],[Attack]]-$G$10 = 0, 1, IF(Tabela2[[#This Row],[Attack]]-$G$10 &gt; 0, $G$4,-$J$4)))/$E$10</f>
        <v>1.04</v>
      </c>
      <c r="W23" s="161">
        <f>MAX(Tabela2[VWO])/Tabela2[[#This Row],[VWO]]</f>
        <v>142.30769230769229</v>
      </c>
      <c r="X23" s="166">
        <f>Tabela2[[#This Row],[Health]]/(AVERAGE($H$10,$I$10)*(1+($F$10-Tabela2[[#This Row],[Defence]])*IF($F$10-Tabela2[[#This Row],[Defence]] = 0, 1, IF($F$10-Tabela2[[#This Row],[Defence]] &gt; 0, $G$4,$J$4))))</f>
        <v>3</v>
      </c>
      <c r="Y23" s="167">
        <f>MAX(Tabela2[VWD])/Tabela2[[#This Row],[VWD]]</f>
        <v>182.59023354564761</v>
      </c>
      <c r="Z23" s="170">
        <f>Tabela2[[#This Row],[VWO]]*Tabela2[[#This Row],[VWD_R]]</f>
        <v>189.89384288747351</v>
      </c>
      <c r="AA23" s="172">
        <f>Tabela2[[#This Row],[VWO_R]]*Tabela2[[#This Row],[VWD]]</f>
        <v>426.92307692307691</v>
      </c>
      <c r="AB23" s="176">
        <f>(Tabela2[[#This Row],[V_Def]]+Tabela2[[#This Row],[V_Off]])/2</f>
        <v>308.40845990527521</v>
      </c>
      <c r="AC23" s="176">
        <f>472.09/Tabela2[[#This Row],[!ŚREDNIA]]</f>
        <v>1.5307297346674538</v>
      </c>
      <c r="AD23" s="176">
        <f>Tabela2[[#This Row],[VWO]]+Tabela2[[#This Row],[VWD]]</f>
        <v>4.04</v>
      </c>
      <c r="AE23" s="176">
        <f>Tabela2[[#This Row],[Suma VW]]*Tabela2[[#This Row],[Odchyłka]]</f>
        <v>6.1841481280565134</v>
      </c>
      <c r="AF23" s="176">
        <f>Tabela2[[#This Row],[Suma*Odchyłka]]/2*1.17</f>
        <v>3.61772665491306</v>
      </c>
      <c r="AG23" s="176">
        <f>15000/Tabela2[[#This Row],[V/HP]]/27.17</f>
        <v>152.60398369184912</v>
      </c>
      <c r="AI23" s="135">
        <v>20596</v>
      </c>
      <c r="AJ23" s="225">
        <f>Tabela2[[#This Row],[FixedAmountAfterSearching]]/136</f>
        <v>151.44117647058823</v>
      </c>
      <c r="AK23" s="225">
        <f>1000/Tabela2[[#This Row],[AMT ]]</f>
        <v>6.6032239269761117</v>
      </c>
      <c r="AL23" s="225">
        <f>$AL$7/Tabela2[[#This Row],[Kolumna2]]</f>
        <v>2500</v>
      </c>
      <c r="AN23" s="247" t="s">
        <v>324</v>
      </c>
      <c r="AP23" s="228">
        <f>Tabela2[[#This Row],[!ŚREDNIA]]/MAX(Tabela2[!ŚREDNIA])</f>
        <v>6.5372966102314217E-2</v>
      </c>
      <c r="AQ23" s="228">
        <f>Tabela2[[#This Row],[VWO]]/Tabela2[[#This Row],[V_Off]]*1000</f>
        <v>5.4767441860465098</v>
      </c>
      <c r="AR23" s="228">
        <f>Tabela2[[#This Row],[VWD]]/Tabela2[[#This Row],[V_Def]]*1000</f>
        <v>7.0270270270270272</v>
      </c>
      <c r="AS23" s="228">
        <f>1/(AVERAGE((Tabela2[[#This Row],[Damage max]],Tabela2[[#This Row],[Damage min]]))*(1+(Tabela2[[#This Row],[Attack]]-$G$9)*IF(Tabela2[[#This Row],[Attack]]-$G$9 = 0, 1, IF(Tabela2[[#This Row],[Attack]]-$G$9 &gt; 0,$G$4,$J$4)))/$E$9)</f>
        <v>524.39024390243912</v>
      </c>
      <c r="AT23" s="228">
        <f>(AVERAGE($H$9,$I$9))*(1+(($F$9-Tabela2[[#This Row],[Defence]])*IF($F$9-Tabela2[[#This Row],[Defence]] = 0, 1, IF($F$9-Tabela2[[#This Row],[Defence]] &gt; 0, $G$4,$J$4))))/Tabela2[[#This Row],[Health]]</f>
        <v>49.333333333333336</v>
      </c>
      <c r="AU23" s="228">
        <f>INT(SQRT(((Tabela2[[#This Row],[VWO]])*Tabela2[[#This Row],[VWD]])))</f>
        <v>1</v>
      </c>
      <c r="AV23" s="228">
        <f>Tabela2[[#This Row],[VWD]]/Tabela2[[#This Row],[VWO]]</f>
        <v>2.8846153846153846</v>
      </c>
      <c r="AW23" s="228" t="e">
        <f>#REF!/#REF!</f>
        <v>#REF!</v>
      </c>
      <c r="AX23" s="236" t="e">
        <f>SUM(#REF!)</f>
        <v>#REF!</v>
      </c>
      <c r="AY23" s="236" t="e">
        <f>300*#REF!</f>
        <v>#REF!</v>
      </c>
      <c r="AZ23" s="234">
        <v>1196</v>
      </c>
      <c r="BA23" s="234">
        <v>999</v>
      </c>
      <c r="BB23" s="237" t="e">
        <f>(#REF!+Tabela2[[#This Row],[SIM]]+Tabela2[[#This Row],[FixedAmountAfterSearching]])/3</f>
        <v>#REF!</v>
      </c>
    </row>
    <row r="24" spans="1:54" x14ac:dyDescent="0.25">
      <c r="A24" s="195" t="s">
        <v>290</v>
      </c>
      <c r="B24" s="268" t="s">
        <v>44</v>
      </c>
      <c r="D24" s="131" t="s">
        <v>198</v>
      </c>
      <c r="E24" s="131">
        <v>35</v>
      </c>
      <c r="F24" s="131">
        <v>6</v>
      </c>
      <c r="G24" s="131">
        <v>10</v>
      </c>
      <c r="H24" s="131">
        <v>7</v>
      </c>
      <c r="I24" s="131">
        <v>7</v>
      </c>
      <c r="J24" s="181">
        <v>2</v>
      </c>
      <c r="K24" s="181">
        <v>4</v>
      </c>
      <c r="L24" s="191">
        <f>INT(Tabela2[[#This Row],[Cena SIM]])</f>
        <v>67</v>
      </c>
      <c r="M24" s="191">
        <f>Tabela2[[#This Row],[Cena]]*1</f>
        <v>67</v>
      </c>
      <c r="O24" s="196" t="s">
        <v>295</v>
      </c>
      <c r="P24" s="196" t="s">
        <v>296</v>
      </c>
      <c r="Q24" s="196"/>
      <c r="R24" s="196"/>
      <c r="S24" s="223"/>
      <c r="T24" s="187">
        <f>AG24*Tabela2[[#This Row],[Odchyłka]]</f>
        <v>19.4800434898916</v>
      </c>
      <c r="U24" s="290">
        <f>Tabela2[[#This Row],[VWD]]/Tabela2[[#This Row],[VWO]]</f>
        <v>4.7673531655225014</v>
      </c>
      <c r="V24" s="180">
        <f>AVERAGE((Tabela2[[#This Row],[Damage max]],Tabela2[[#This Row],[Damage min]]))*(1+(Tabela2[[#This Row],[Attack]]-$G$10)*IF(Tabela2[[#This Row],[Attack]]-$G$10 = 0, 1, IF(Tabela2[[#This Row],[Attack]]-$G$10 &gt; 0, $G$4,-$J$4)))/$E$10</f>
        <v>8.4</v>
      </c>
      <c r="W24" s="161">
        <f>MAX(Tabela2[VWO])/Tabela2[[#This Row],[VWO]]</f>
        <v>17.619047619047617</v>
      </c>
      <c r="X24" s="166">
        <f>Tabela2[[#This Row],[Health]]/(AVERAGE($H$10,$I$10)*(1+($F$10-Tabela2[[#This Row],[Defence]])*IF($F$10-Tabela2[[#This Row],[Defence]] = 0, 1, IF($F$10-Tabela2[[#This Row],[Defence]] &gt; 0, $G$4,$J$4))))</f>
        <v>40.045766590389015</v>
      </c>
      <c r="Y24" s="167">
        <f>MAX(Tabela2[VWD])/Tabela2[[#This Row],[VWD]]</f>
        <v>13.678616924476801</v>
      </c>
      <c r="Z24" s="170">
        <f>Tabela2[[#This Row],[VWO]]*Tabela2[[#This Row],[VWD_R]]</f>
        <v>114.90038216560514</v>
      </c>
      <c r="AA24" s="172">
        <f>Tabela2[[#This Row],[VWO_R]]*Tabela2[[#This Row],[VWD]]</f>
        <v>705.56826849733022</v>
      </c>
      <c r="AB24" s="176">
        <f>(Tabela2[[#This Row],[V_Def]]+Tabela2[[#This Row],[V_Off]])/2</f>
        <v>410.23432533146769</v>
      </c>
      <c r="AC24" s="176">
        <f>472.09/Tabela2[[#This Row],[!ŚREDNIA]]</f>
        <v>1.1507813238654594</v>
      </c>
      <c r="AD24" s="176">
        <f>Tabela2[[#This Row],[VWO]]+Tabela2[[#This Row],[VWD]]</f>
        <v>48.445766590389013</v>
      </c>
      <c r="AE24" s="176">
        <f>Tabela2[[#This Row],[Suma VW]]*Tabela2[[#This Row],[Odchyłka]]</f>
        <v>55.750483412564911</v>
      </c>
      <c r="AF24" s="176">
        <f>Tabela2[[#This Row],[Suma*Odchyłka]]/2*1.17</f>
        <v>32.614032796350472</v>
      </c>
      <c r="AG24" s="176">
        <f>15000/Tabela2[[#This Row],[V/HP]]/27.17</f>
        <v>16.927667390758817</v>
      </c>
      <c r="AI24" s="135">
        <v>2009</v>
      </c>
      <c r="AJ24" s="225">
        <f>Tabela2[[#This Row],[FixedAmountAfterSearching]]/136</f>
        <v>14.772058823529411</v>
      </c>
      <c r="AK24" s="225">
        <f>1000/Tabela2[[#This Row],[AMT ]]</f>
        <v>67.695370831259339</v>
      </c>
      <c r="AL24" s="225">
        <f>$AL$7/Tabela2[[#This Row],[Kolumna2]]</f>
        <v>223.88059701492537</v>
      </c>
      <c r="AN24" s="247" t="s">
        <v>325</v>
      </c>
      <c r="AP24" s="228">
        <f>Tabela2[[#This Row],[!ŚREDNIA]]/MAX(Tabela2[!ŚREDNIA])</f>
        <v>8.6956870937122649E-2</v>
      </c>
      <c r="AQ24" s="228">
        <f>Tabela2[[#This Row],[VWO]]/Tabela2[[#This Row],[V_Off]]*1000</f>
        <v>73.106806449896197</v>
      </c>
      <c r="AR24" s="228">
        <f>Tabela2[[#This Row],[VWD]]/Tabela2[[#This Row],[V_Def]]*1000</f>
        <v>56.756756756756758</v>
      </c>
      <c r="AS24" s="228">
        <f>1/(AVERAGE((Tabela2[[#This Row],[Damage max]],Tabela2[[#This Row],[Damage min]]))*(1+(Tabela2[[#This Row],[Attack]]-$G$9)*IF(Tabela2[[#This Row],[Attack]]-$G$9 = 0, 1, IF(Tabela2[[#This Row],[Attack]]-$G$9 &gt; 0,$G$4,$J$4)))/$E$9)</f>
        <v>63.988095238095241</v>
      </c>
      <c r="AT24" s="228">
        <f>(AVERAGE($H$9,$I$9))*(1+(($F$9-Tabela2[[#This Row],[Defence]])*IF($F$9-Tabela2[[#This Row],[Defence]] = 0, 1, IF($F$9-Tabela2[[#This Row],[Defence]] &gt; 0, $G$4,$J$4))))/Tabela2[[#This Row],[Health]]</f>
        <v>3.7142857142857144</v>
      </c>
      <c r="AU24" s="228">
        <f>INT(SQRT(((Tabela2[[#This Row],[VWO]])*Tabela2[[#This Row],[VWD]])))</f>
        <v>18</v>
      </c>
      <c r="AV24" s="228">
        <f>Tabela2[[#This Row],[VWD]]/Tabela2[[#This Row],[VWO]]</f>
        <v>4.7673531655225014</v>
      </c>
      <c r="AW24" s="228" t="e">
        <f>#REF!/#REF!</f>
        <v>#REF!</v>
      </c>
      <c r="AX24" s="236" t="e">
        <f>SUM(#REF!)</f>
        <v>#REF!</v>
      </c>
      <c r="AY24" s="236" t="e">
        <f>300*#REF!</f>
        <v>#REF!</v>
      </c>
      <c r="AZ24" s="234">
        <v>1196</v>
      </c>
      <c r="BA24" s="234">
        <v>999</v>
      </c>
      <c r="BB24" s="237" t="e">
        <f>(#REF!+Tabela2[[#This Row],[SIM]]+Tabela2[[#This Row],[FixedAmountAfterSearching]])/3</f>
        <v>#REF!</v>
      </c>
    </row>
    <row r="25" spans="1:54" x14ac:dyDescent="0.25">
      <c r="A25" s="195" t="s">
        <v>291</v>
      </c>
      <c r="B25" s="268" t="s">
        <v>44</v>
      </c>
      <c r="D25" s="131" t="s">
        <v>199</v>
      </c>
      <c r="E25" s="131">
        <v>100</v>
      </c>
      <c r="F25" s="131">
        <v>18</v>
      </c>
      <c r="G25" s="131">
        <v>21</v>
      </c>
      <c r="H25" s="131">
        <v>18</v>
      </c>
      <c r="I25" s="131">
        <v>18</v>
      </c>
      <c r="J25" s="181">
        <v>4</v>
      </c>
      <c r="K25" s="181">
        <v>8</v>
      </c>
      <c r="L25" s="191">
        <f>INT(Tabela2[[#This Row],[Cena SIM]])</f>
        <v>238</v>
      </c>
      <c r="M25" s="191">
        <f>Tabela2[[#This Row],[Cena]]*1</f>
        <v>238</v>
      </c>
      <c r="O25" s="196" t="s">
        <v>297</v>
      </c>
      <c r="P25" s="196" t="s">
        <v>298</v>
      </c>
      <c r="Q25" s="196" t="s">
        <v>299</v>
      </c>
      <c r="R25" s="196"/>
      <c r="S25" s="223"/>
      <c r="T25" s="187">
        <f>AG25*Tabela2[[#This Row],[Odchyłka]]</f>
        <v>5.5799198249443149</v>
      </c>
      <c r="U25" s="290">
        <f>Tabela2[[#This Row],[VWD]]/Tabela2[[#This Row],[VWO]]</f>
        <v>4.5928865373309815</v>
      </c>
      <c r="V25" s="180">
        <f>AVERAGE((Tabela2[[#This Row],[Damage max]],Tabela2[[#This Row],[Damage min]]))*(1+(Tabela2[[#This Row],[Attack]]-$G$10)*IF(Tabela2[[#This Row],[Attack]]-$G$10 = 0, 1, IF(Tabela2[[#This Row],[Attack]]-$G$10 &gt; 0, $G$4,-$J$4)))/$E$10</f>
        <v>30.240000000000002</v>
      </c>
      <c r="W25" s="161">
        <f>MAX(Tabela2[VWO])/Tabela2[[#This Row],[VWO]]</f>
        <v>4.894179894179894</v>
      </c>
      <c r="X25" s="166">
        <f>Tabela2[[#This Row],[Health]]/(AVERAGE($H$10,$I$10)*(1+($F$10-Tabela2[[#This Row],[Defence]])*IF($F$10-Tabela2[[#This Row],[Defence]] = 0, 1, IF($F$10-Tabela2[[#This Row],[Defence]] &gt; 0, $G$4,$J$4))))</f>
        <v>138.88888888888889</v>
      </c>
      <c r="Y25" s="167">
        <f>MAX(Tabela2[VWD])/Tabela2[[#This Row],[VWD]]</f>
        <v>3.9439490445859886</v>
      </c>
      <c r="Z25" s="170">
        <f>Tabela2[[#This Row],[VWO]]*Tabela2[[#This Row],[VWD_R]]</f>
        <v>119.2650191082803</v>
      </c>
      <c r="AA25" s="172">
        <f>Tabela2[[#This Row],[VWO_R]]*Tabela2[[#This Row],[VWD]]</f>
        <v>679.74720752498524</v>
      </c>
      <c r="AB25" s="176">
        <f>(Tabela2[[#This Row],[V_Def]]+Tabela2[[#This Row],[V_Off]])/2</f>
        <v>399.50611331663276</v>
      </c>
      <c r="AC25" s="176">
        <f>472.09/Tabela2[[#This Row],[!ŚREDNIA]]</f>
        <v>1.181684045034475</v>
      </c>
      <c r="AD25" s="176">
        <f>Tabela2[[#This Row],[VWO]]+Tabela2[[#This Row],[VWD]]</f>
        <v>169.12888888888889</v>
      </c>
      <c r="AE25" s="176">
        <f>Tabela2[[#This Row],[Suma VW]]*Tabela2[[#This Row],[Odchyłka]]</f>
        <v>199.8569095544085</v>
      </c>
      <c r="AF25" s="176">
        <f>Tabela2[[#This Row],[Suma*Odchyłka]]/2*1.17</f>
        <v>116.91629208932896</v>
      </c>
      <c r="AG25" s="176">
        <f>15000/Tabela2[[#This Row],[V/HP]]/27.17</f>
        <v>4.7220065705308931</v>
      </c>
      <c r="AI25" s="135">
        <v>571</v>
      </c>
      <c r="AJ25" s="225">
        <f>Tabela2[[#This Row],[FixedAmountAfterSearching]]/136</f>
        <v>4.1985294117647056</v>
      </c>
      <c r="AK25" s="225">
        <f>1000/Tabela2[[#This Row],[AMT ]]</f>
        <v>238.17863397548163</v>
      </c>
      <c r="AL25" s="225">
        <f>$AL$7/Tabela2[[#This Row],[Kolumna2]]</f>
        <v>63.025210084033617</v>
      </c>
      <c r="AN25" s="247" t="s">
        <v>326</v>
      </c>
      <c r="AP25" s="228">
        <f>Tabela2[[#This Row],[!ŚREDNIA]]/MAX(Tabela2[!ŚREDNIA])</f>
        <v>8.4682824885987565E-2</v>
      </c>
      <c r="AQ25" s="228">
        <f>Tabela2[[#This Row],[VWO]]/Tabela2[[#This Row],[V_Off]]*1000</f>
        <v>253.55297157622729</v>
      </c>
      <c r="AR25" s="228">
        <f>Tabela2[[#This Row],[VWD]]/Tabela2[[#This Row],[V_Def]]*1000</f>
        <v>204.32432432432435</v>
      </c>
      <c r="AS25" s="228">
        <f>1/(AVERAGE((Tabela2[[#This Row],[Damage max]],Tabela2[[#This Row],[Damage min]]))*(1+(Tabela2[[#This Row],[Attack]]-$G$9)*IF(Tabela2[[#This Row],[Attack]]-$G$9 = 0, 1, IF(Tabela2[[#This Row],[Attack]]-$G$9 &gt; 0,$G$4,$J$4)))/$E$9)</f>
        <v>17.310789049919485</v>
      </c>
      <c r="AT25" s="228">
        <f>(AVERAGE($H$9,$I$9))*(1+(($F$9-Tabela2[[#This Row],[Defence]])*IF($F$9-Tabela2[[#This Row],[Defence]] = 0, 1, IF($F$9-Tabela2[[#This Row],[Defence]] &gt; 0, $G$4,$J$4))))/Tabela2[[#This Row],[Health]]</f>
        <v>1.08</v>
      </c>
      <c r="AU25" s="228">
        <f>INT(SQRT(((Tabela2[[#This Row],[VWO]])*Tabela2[[#This Row],[VWD]])))</f>
        <v>64</v>
      </c>
      <c r="AV25" s="228">
        <f>Tabela2[[#This Row],[VWD]]/Tabela2[[#This Row],[VWO]]</f>
        <v>4.5928865373309815</v>
      </c>
      <c r="AW25" s="228" t="e">
        <f>#REF!/#REF!</f>
        <v>#REF!</v>
      </c>
      <c r="AX25" s="236" t="e">
        <f>SUM(#REF!)</f>
        <v>#REF!</v>
      </c>
      <c r="AY25" s="236" t="e">
        <f>300*#REF!</f>
        <v>#REF!</v>
      </c>
      <c r="AZ25" s="234">
        <v>1196</v>
      </c>
      <c r="BA25" s="234">
        <v>999</v>
      </c>
      <c r="BB25" s="237" t="e">
        <f>(#REF!+Tabela2[[#This Row],[SIM]]+Tabela2[[#This Row],[FixedAmountAfterSearching]])/3</f>
        <v>#REF!</v>
      </c>
    </row>
    <row r="26" spans="1:54" x14ac:dyDescent="0.25">
      <c r="A26" s="195" t="s">
        <v>292</v>
      </c>
      <c r="B26" s="268" t="s">
        <v>44</v>
      </c>
      <c r="D26" s="131" t="s">
        <v>200</v>
      </c>
      <c r="E26" s="131">
        <v>200</v>
      </c>
      <c r="F26" s="131">
        <v>43</v>
      </c>
      <c r="G26" s="131">
        <v>21</v>
      </c>
      <c r="H26" s="131">
        <v>35</v>
      </c>
      <c r="I26" s="131">
        <v>35</v>
      </c>
      <c r="J26" s="181">
        <v>6</v>
      </c>
      <c r="K26" s="181">
        <v>4</v>
      </c>
      <c r="L26" s="191">
        <f>INT(Tabela2[[#This Row],[Cena SIM]])</f>
        <v>660</v>
      </c>
      <c r="M26" s="191">
        <v>550</v>
      </c>
      <c r="O26" s="196" t="s">
        <v>300</v>
      </c>
      <c r="P26" s="196" t="s">
        <v>301</v>
      </c>
      <c r="Q26" s="196" t="s">
        <v>302</v>
      </c>
      <c r="R26" s="196"/>
      <c r="S26" s="223"/>
      <c r="T26" s="187">
        <f>AG26*Tabela2[[#This Row],[Odchyłka]]</f>
        <v>2.5397795468982829</v>
      </c>
      <c r="U26" s="290">
        <f>Tabela2[[#This Row],[VWD]]/Tabela2[[#This Row],[VWO]]</f>
        <v>2.9613835583984844</v>
      </c>
      <c r="V26" s="180">
        <f>AVERAGE((Tabela2[[#This Row],[Damage max]],Tabela2[[#This Row],[Damage min]]))*(1+(Tabela2[[#This Row],[Attack]]-$G$10)*IF(Tabela2[[#This Row],[Attack]]-$G$10 = 0, 1, IF(Tabela2[[#This Row],[Attack]]-$G$10 &gt; 0, $G$4,-$J$4)))/$E$10</f>
        <v>93.799999999999983</v>
      </c>
      <c r="W26" s="161">
        <f>MAX(Tabela2[VWO])/Tabela2[[#This Row],[VWO]]</f>
        <v>1.5778251599147124</v>
      </c>
      <c r="X26" s="166">
        <f>Tabela2[[#This Row],[Health]]/(AVERAGE($H$10,$I$10)*(1+($F$10-Tabela2[[#This Row],[Defence]])*IF($F$10-Tabela2[[#This Row],[Defence]] = 0, 1, IF($F$10-Tabela2[[#This Row],[Defence]] &gt; 0, $G$4,$J$4))))</f>
        <v>277.77777777777777</v>
      </c>
      <c r="Y26" s="167">
        <f>MAX(Tabela2[VWD])/Tabela2[[#This Row],[VWD]]</f>
        <v>1.9719745222929943</v>
      </c>
      <c r="Z26" s="170">
        <f>Tabela2[[#This Row],[VWO]]*Tabela2[[#This Row],[VWD_R]]</f>
        <v>184.97121019108283</v>
      </c>
      <c r="AA26" s="172">
        <f>Tabela2[[#This Row],[VWO_R]]*Tabela2[[#This Row],[VWD]]</f>
        <v>438.28476664297568</v>
      </c>
      <c r="AB26" s="176">
        <f>(Tabela2[[#This Row],[V_Def]]+Tabela2[[#This Row],[V_Off]])/2</f>
        <v>311.62798841702926</v>
      </c>
      <c r="AC26" s="176">
        <f>472.09/Tabela2[[#This Row],[!ŚREDNIA]]</f>
        <v>1.514915275736517</v>
      </c>
      <c r="AD26" s="176">
        <f>Tabela2[[#This Row],[VWO]]+Tabela2[[#This Row],[VWD]]</f>
        <v>371.57777777777778</v>
      </c>
      <c r="AE26" s="176">
        <f>Tabela2[[#This Row],[Suma VW]]*Tabela2[[#This Row],[Odchyłka]]</f>
        <v>562.90885167978445</v>
      </c>
      <c r="AF26" s="176">
        <f>Tabela2[[#This Row],[Suma*Odchyłka]]/2*1.17</f>
        <v>329.30167823267391</v>
      </c>
      <c r="AG26" s="176">
        <f>15000/Tabela2[[#This Row],[V/HP]]/27.17</f>
        <v>1.6765158999822618</v>
      </c>
      <c r="AI26" s="135">
        <v>206</v>
      </c>
      <c r="AJ26" s="225">
        <f>Tabela2[[#This Row],[FixedAmountAfterSearching]]/136</f>
        <v>1.5147058823529411</v>
      </c>
      <c r="AK26" s="225">
        <f>1000/Tabela2[[#This Row],[AMT ]]</f>
        <v>660.19417475728153</v>
      </c>
      <c r="AL26" s="225">
        <f>$AL$7/Tabela2[[#This Row],[Kolumna2]]</f>
        <v>27.272727272727273</v>
      </c>
      <c r="AN26" s="247" t="s">
        <v>327</v>
      </c>
      <c r="AP26" s="228">
        <f>Tabela2[[#This Row],[!ŚREDNIA]]/MAX(Tabela2[!ŚREDNIA])</f>
        <v>6.6055405644760548E-2</v>
      </c>
      <c r="AQ26" s="228">
        <f>Tabela2[[#This Row],[VWO]]/Tabela2[[#This Row],[V_Off]]*1000</f>
        <v>507.10594315245459</v>
      </c>
      <c r="AR26" s="228">
        <f>Tabela2[[#This Row],[VWD]]/Tabela2[[#This Row],[V_Def]]*1000</f>
        <v>633.78378378378363</v>
      </c>
      <c r="AS26" s="228">
        <f>1/(AVERAGE((Tabela2[[#This Row],[Damage max]],Tabela2[[#This Row],[Damage min]]))*(1+(Tabela2[[#This Row],[Attack]]-$G$9)*IF(Tabela2[[#This Row],[Attack]]-$G$9 = 0, 1, IF(Tabela2[[#This Row],[Attack]]-$G$9 &gt; 0,$G$4,$J$4)))/$E$9)</f>
        <v>5.4482103262591073</v>
      </c>
      <c r="AT26" s="228">
        <f>(AVERAGE($H$9,$I$9))*(1+(($F$9-Tabela2[[#This Row],[Defence]])*IF($F$9-Tabela2[[#This Row],[Defence]] = 0, 1, IF($F$9-Tabela2[[#This Row],[Defence]] &gt; 0, $G$4,$J$4))))/Tabela2[[#This Row],[Health]]</f>
        <v>0.54</v>
      </c>
      <c r="AU26" s="228">
        <f>INT(SQRT(((Tabela2[[#This Row],[VWO]])*Tabela2[[#This Row],[VWD]])))</f>
        <v>161</v>
      </c>
      <c r="AV26" s="228">
        <f>Tabela2[[#This Row],[VWD]]/Tabela2[[#This Row],[VWO]]</f>
        <v>2.9613835583984844</v>
      </c>
      <c r="AW26" s="228" t="e">
        <f>#REF!/#REF!</f>
        <v>#REF!</v>
      </c>
      <c r="AX26" s="236" t="e">
        <f>SUM(#REF!)</f>
        <v>#REF!</v>
      </c>
      <c r="AY26" s="236" t="e">
        <f>300*#REF!</f>
        <v>#REF!</v>
      </c>
      <c r="AZ26" s="234">
        <v>1196</v>
      </c>
      <c r="BA26" s="234">
        <v>999</v>
      </c>
      <c r="BB26" s="237" t="e">
        <f>(#REF!+Tabela2[[#This Row],[SIM]]+Tabela2[[#This Row],[FixedAmountAfterSearching]])/3</f>
        <v>#REF!</v>
      </c>
    </row>
    <row r="27" spans="1:54" hidden="1" x14ac:dyDescent="0.25">
      <c r="A27" s="195" t="s">
        <v>185</v>
      </c>
      <c r="B27" s="139" t="s">
        <v>208</v>
      </c>
      <c r="D27" s="131"/>
      <c r="E27" s="131">
        <v>40</v>
      </c>
      <c r="F27" s="131">
        <v>21</v>
      </c>
      <c r="G27" s="131">
        <v>25</v>
      </c>
      <c r="H27" s="131">
        <v>9</v>
      </c>
      <c r="I27" s="131">
        <v>9</v>
      </c>
      <c r="J27" s="181">
        <v>4</v>
      </c>
      <c r="K27" s="181">
        <v>4</v>
      </c>
      <c r="L27" s="191">
        <f>INT(Tabela2[[#This Row],[Cena SIM]])</f>
        <v>117</v>
      </c>
      <c r="M27" s="191">
        <f>Tabela2[[#This Row],[Cena]]*1</f>
        <v>117</v>
      </c>
      <c r="O27" s="196" t="s">
        <v>194</v>
      </c>
      <c r="P27" s="196" t="s">
        <v>195</v>
      </c>
      <c r="Q27" s="196" t="s">
        <v>195</v>
      </c>
      <c r="R27" s="196"/>
      <c r="S27" s="223"/>
      <c r="T27" s="187">
        <f>AG27*Tabela2[[#This Row],[Odchyłka]]</f>
        <v>12.345810315354626</v>
      </c>
      <c r="U27" s="290">
        <f>Tabela2[[#This Row],[VWD]]/Tabela2[[#This Row],[VWO]]</f>
        <v>3.7185780157667714</v>
      </c>
      <c r="V27" s="180">
        <f>AVERAGE((Tabela2[[#This Row],[Damage max]],Tabela2[[#This Row],[Damage min]]))*(1+(Tabela2[[#This Row],[Attack]]-$G$10)*IF(Tabela2[[#This Row],[Attack]]-$G$10 = 0, 1, IF(Tabela2[[#This Row],[Attack]]-$G$10 &gt; 0, $G$4,-$J$4)))/$E$10</f>
        <v>16.2</v>
      </c>
      <c r="W27" s="161">
        <f>MAX(Tabela2[VWO])/Tabela2[[#This Row],[VWO]]</f>
        <v>9.1358024691358022</v>
      </c>
      <c r="X27" s="166">
        <f>Tabela2[[#This Row],[Health]]/(AVERAGE($H$10,$I$10)*(1+($F$10-Tabela2[[#This Row],[Defence]])*IF($F$10-Tabela2[[#This Row],[Defence]] = 0, 1, IF($F$10-Tabela2[[#This Row],[Defence]] &gt; 0, $G$4,$J$4))))</f>
        <v>60.240963855421697</v>
      </c>
      <c r="Y27" s="167">
        <f>MAX(Tabela2[VWD])/Tabela2[[#This Row],[VWD]]</f>
        <v>9.0929936305732486</v>
      </c>
      <c r="Z27" s="170">
        <f>Tabela2[[#This Row],[VWO]]*Tabela2[[#This Row],[VWD_R]]</f>
        <v>147.30649681528661</v>
      </c>
      <c r="AA27" s="172">
        <f>Tabela2[[#This Row],[VWO_R]]*Tabela2[[#This Row],[VWD]]</f>
        <v>550.34954633348218</v>
      </c>
      <c r="AB27" s="176">
        <f>(Tabela2[[#This Row],[V_Def]]+Tabela2[[#This Row],[V_Off]])/2</f>
        <v>348.82802157438437</v>
      </c>
      <c r="AC27" s="176">
        <f>472.09/Tabela2[[#This Row],[!ŚREDNIA]]</f>
        <v>1.3533603116782036</v>
      </c>
      <c r="AD27" s="176">
        <f>Tabela2[[#This Row],[VWO]]+Tabela2[[#This Row],[VWD]]</f>
        <v>76.4409638554217</v>
      </c>
      <c r="AE27" s="176">
        <f>Tabela2[[#This Row],[Suma VW]]*Tabela2[[#This Row],[Odchyłka]]</f>
        <v>103.4521666683558</v>
      </c>
      <c r="AF27" s="176">
        <f>Tabela2[[#This Row],[Suma*Odchyłka]]/2*1.17</f>
        <v>60.519517500988137</v>
      </c>
      <c r="AG27" s="176">
        <f>15000/Tabela2[[#This Row],[V/HP]]/27.17</f>
        <v>9.1223380860382157</v>
      </c>
      <c r="AI27" s="135">
        <v>1161</v>
      </c>
      <c r="AJ27" s="225">
        <f>Tabela2[[#This Row],[FixedAmountAfterSearching]]/136</f>
        <v>8.5367647058823533</v>
      </c>
      <c r="AK27" s="225">
        <f>1000/Tabela2[[#This Row],[AMT ]]</f>
        <v>117.14039621016364</v>
      </c>
      <c r="AL27" s="225">
        <f>$AL$7/Tabela2[[#This Row],[Kolumna2]]</f>
        <v>128.2051282051282</v>
      </c>
      <c r="AN27" s="247" t="s">
        <v>190</v>
      </c>
      <c r="AP27" s="228">
        <f>Tabela2[[#This Row],[!ŚREDNIA]]/MAX(Tabela2[!ŚREDNIA])</f>
        <v>7.3940651423516648E-2</v>
      </c>
      <c r="AQ27" s="228">
        <f>Tabela2[[#This Row],[VWO]]/Tabela2[[#This Row],[V_Off]]*1000</f>
        <v>109.9747828523396</v>
      </c>
      <c r="AR27" s="228">
        <f>Tabela2[[#This Row],[VWD]]/Tabela2[[#This Row],[V_Def]]*1000</f>
        <v>109.45945945945945</v>
      </c>
      <c r="AS27" s="228">
        <f>1/(AVERAGE((Tabela2[[#This Row],[Damage max]],Tabela2[[#This Row],[Damage min]]))*(1+(Tabela2[[#This Row],[Attack]]-$G$9)*IF(Tabela2[[#This Row],[Attack]]-$G$9 = 0, 1, IF(Tabela2[[#This Row],[Attack]]-$G$9 &gt; 0,$G$4,$J$4)))/$E$9)</f>
        <v>32.173587729143286</v>
      </c>
      <c r="AT27" s="228">
        <f>(AVERAGE($H$9,$I$9))*(1+(($F$9-Tabela2[[#This Row],[Defence]])*IF($F$9-Tabela2[[#This Row],[Defence]] = 0, 1, IF($F$9-Tabela2[[#This Row],[Defence]] &gt; 0, $G$4,$J$4))))/Tabela2[[#This Row],[Health]]</f>
        <v>2.5</v>
      </c>
      <c r="AU27" s="228">
        <f>INT(SQRT(((Tabela2[[#This Row],[VWO]])*Tabela2[[#This Row],[VWD]])))</f>
        <v>31</v>
      </c>
      <c r="AV27" s="228">
        <f>Tabela2[[#This Row],[VWD]]/Tabela2[[#This Row],[VWO]]</f>
        <v>3.7185780157667714</v>
      </c>
      <c r="AW27" s="228" t="e">
        <f>#REF!/#REF!</f>
        <v>#REF!</v>
      </c>
      <c r="AX27" s="236" t="e">
        <f>SUM(#REF!)</f>
        <v>#REF!</v>
      </c>
      <c r="AY27" s="236" t="e">
        <f>300*#REF!</f>
        <v>#REF!</v>
      </c>
      <c r="AZ27" s="234">
        <v>1196</v>
      </c>
      <c r="BA27" s="234">
        <v>999</v>
      </c>
      <c r="BB27" s="237" t="e">
        <f>(#REF!+Tabela2[[#This Row],[SIM]]+Tabela2[[#This Row],[FixedAmountAfterSearching]])/3</f>
        <v>#REF!</v>
      </c>
    </row>
    <row r="28" spans="1:54" x14ac:dyDescent="0.25">
      <c r="A28" s="259" t="s">
        <v>278</v>
      </c>
      <c r="B28" s="248" t="s">
        <v>208</v>
      </c>
      <c r="C28" s="249"/>
      <c r="D28" s="260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  <c r="J28" s="262">
        <v>0</v>
      </c>
      <c r="K28" s="263">
        <v>0</v>
      </c>
      <c r="L28" s="257" t="e">
        <f>INT(Tabela2[[#This Row],[Cena SIM]])</f>
        <v>#VALUE!</v>
      </c>
      <c r="M28" s="257"/>
      <c r="N28" s="251"/>
      <c r="O28" s="257" t="s">
        <v>275</v>
      </c>
      <c r="P28" s="257" t="s">
        <v>276</v>
      </c>
      <c r="Q28" s="257"/>
      <c r="R28" s="257"/>
      <c r="S28" s="252"/>
      <c r="T28" s="253" t="e">
        <f>AG28*Tabela2[[#This Row],[Odchyłka]]</f>
        <v>#VALUE!</v>
      </c>
      <c r="U28" s="291" t="e">
        <f>Tabela2[[#This Row],[VWD]]/Tabela2[[#This Row],[VWO]]</f>
        <v>#VALUE!</v>
      </c>
      <c r="V28" s="261" t="e">
        <f>AVERAGE((Tabela2[[#This Row],[Damage max]],Tabela2[[#This Row],[Damage min]]))*(1+(Tabela2[[#This Row],[Attack]]-$G$10)*IF(Tabela2[[#This Row],[Attack]]-$G$10 = 0, 1, IF(Tabela2[[#This Row],[Attack]]-$G$10 &gt; 0, $G$4,-$J$4)))/$E$10</f>
        <v>#VALUE!</v>
      </c>
      <c r="W28" s="254" t="e">
        <f>MAX(Tabela2[VWO])/Tabela2[[#This Row],[VWO]]</f>
        <v>#VALUE!</v>
      </c>
      <c r="X28" s="255" t="e">
        <f>Tabela2[[#This Row],[Health]]/(AVERAGE($H$10,$I$10)*(1+($F$10-Tabela2[[#This Row],[Defence]])*IF($F$10-Tabela2[[#This Row],[Defence]] = 0, 1, IF($F$10-Tabela2[[#This Row],[Defence]] &gt; 0, $G$4,$J$4))))</f>
        <v>#VALUE!</v>
      </c>
      <c r="Y28" s="256" t="e">
        <f>MAX(Tabela2[VWD])/Tabela2[[#This Row],[VWD]]</f>
        <v>#VALUE!</v>
      </c>
      <c r="Z28" s="258" t="e">
        <f>Tabela2[[#This Row],[VWO]]*Tabela2[[#This Row],[VWD_R]]</f>
        <v>#VALUE!</v>
      </c>
      <c r="AA28" s="264" t="e">
        <f>Tabela2[[#This Row],[VWO_R]]*Tabela2[[#This Row],[VWD]]</f>
        <v>#VALUE!</v>
      </c>
      <c r="AB28" s="250" t="e">
        <f>(Tabela2[[#This Row],[V_Def]]+Tabela2[[#This Row],[V_Off]])/2</f>
        <v>#VALUE!</v>
      </c>
      <c r="AC28" s="250" t="e">
        <f>472.09/Tabela2[[#This Row],[!ŚREDNIA]]</f>
        <v>#VALUE!</v>
      </c>
      <c r="AD28" s="250" t="e">
        <f>Tabela2[[#This Row],[VWO]]+Tabela2[[#This Row],[VWD]]</f>
        <v>#VALUE!</v>
      </c>
      <c r="AE28" s="250" t="e">
        <f>Tabela2[[#This Row],[Suma VW]]*Tabela2[[#This Row],[Odchyłka]]</f>
        <v>#VALUE!</v>
      </c>
      <c r="AF28" s="250" t="e">
        <f>Tabela2[[#This Row],[Suma*Odchyłka]]/2*1.17</f>
        <v>#VALUE!</v>
      </c>
      <c r="AG28" s="250" t="e">
        <f>15000/Tabela2[[#This Row],[V/HP]]/27.17</f>
        <v>#VALUE!</v>
      </c>
      <c r="AH28" s="265"/>
      <c r="AI28" s="257">
        <v>0</v>
      </c>
      <c r="AJ28" s="257">
        <v>10000000000</v>
      </c>
      <c r="AK28" s="257" t="e">
        <f>1000/Tabela2[[#This Row],[AMT ]]</f>
        <v>#VALUE!</v>
      </c>
      <c r="AL28" s="257" t="e">
        <f>$AL$7/Tabela2[[#This Row],[Cena SIM]]</f>
        <v>#VALUE!</v>
      </c>
      <c r="AM28" s="266"/>
      <c r="AN28" s="267" t="s">
        <v>279</v>
      </c>
    </row>
    <row r="29" spans="1:54" x14ac:dyDescent="0.25">
      <c r="A29" s="129"/>
      <c r="C29" s="208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203"/>
      <c r="O29" s="129"/>
      <c r="P29" s="129"/>
      <c r="Q29" s="129"/>
      <c r="R29" s="129"/>
      <c r="S29" s="224"/>
    </row>
    <row r="31" spans="1:54" x14ac:dyDescent="0.25">
      <c r="A31" s="129"/>
      <c r="C31" s="208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203"/>
      <c r="O31" s="129"/>
      <c r="P31" s="129"/>
      <c r="Q31" s="129"/>
      <c r="R31" s="129"/>
      <c r="S31" s="224"/>
    </row>
    <row r="32" spans="1:54" x14ac:dyDescent="0.25">
      <c r="A32" s="129"/>
      <c r="C32" s="208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203"/>
      <c r="O32" s="129"/>
      <c r="P32" s="129"/>
      <c r="Q32" s="129"/>
      <c r="R32" s="129"/>
      <c r="S32" s="224"/>
    </row>
    <row r="33" spans="1:11" x14ac:dyDescent="0.25">
      <c r="A33" s="129"/>
      <c r="C33" s="208"/>
      <c r="D33" s="129"/>
      <c r="E33" s="129"/>
      <c r="F33" s="132"/>
      <c r="G33" s="132"/>
      <c r="H33" s="132"/>
      <c r="I33" s="132"/>
      <c r="J33" s="132"/>
      <c r="K33" s="132"/>
    </row>
    <row r="34" spans="1:11" x14ac:dyDescent="0.25">
      <c r="A34" s="129"/>
      <c r="C34" s="208"/>
      <c r="D34" s="129"/>
      <c r="E34" s="129"/>
      <c r="F34" s="132"/>
      <c r="G34" s="132"/>
      <c r="H34" s="132"/>
      <c r="I34" s="132"/>
      <c r="J34" s="132"/>
      <c r="K34" s="132"/>
    </row>
    <row r="35" spans="1:11" x14ac:dyDescent="0.25">
      <c r="A35" s="129"/>
      <c r="C35" s="208"/>
      <c r="D35" s="129"/>
      <c r="E35" s="129"/>
      <c r="F35" s="129"/>
      <c r="G35" s="132"/>
      <c r="H35" s="132"/>
      <c r="I35" s="132"/>
      <c r="J35" s="132"/>
      <c r="K35" s="132"/>
    </row>
    <row r="37" spans="1:11" x14ac:dyDescent="0.25">
      <c r="A37" s="129"/>
      <c r="C37" s="208"/>
      <c r="D37" s="129"/>
      <c r="E37" s="129"/>
      <c r="F37" s="129"/>
      <c r="G37" s="132"/>
      <c r="H37" s="132"/>
      <c r="I37" s="132"/>
      <c r="J37" s="132"/>
      <c r="K37" s="132"/>
    </row>
    <row r="38" spans="1:11" x14ac:dyDescent="0.25">
      <c r="A38" s="129"/>
      <c r="C38" s="208"/>
      <c r="D38" s="129"/>
      <c r="E38" s="129"/>
      <c r="F38" s="129"/>
      <c r="G38" s="132"/>
      <c r="H38" s="132"/>
      <c r="I38" s="132"/>
      <c r="J38" s="132"/>
      <c r="K38" s="132"/>
    </row>
    <row r="39" spans="1:11" x14ac:dyDescent="0.25">
      <c r="A39" s="129"/>
      <c r="C39" s="208"/>
      <c r="D39" s="129"/>
      <c r="E39" s="129"/>
      <c r="F39" s="129"/>
      <c r="G39" s="132"/>
      <c r="H39" s="132"/>
      <c r="I39" s="132"/>
      <c r="J39" s="132"/>
      <c r="K39" s="132"/>
    </row>
    <row r="40" spans="1:11" x14ac:dyDescent="0.25">
      <c r="A40" s="129"/>
      <c r="C40" s="208"/>
      <c r="D40" s="129"/>
      <c r="E40" s="129"/>
      <c r="F40" s="129"/>
      <c r="G40" s="132"/>
      <c r="H40" s="132"/>
      <c r="I40" s="132"/>
      <c r="J40" s="132"/>
      <c r="K40" s="132"/>
    </row>
  </sheetData>
  <mergeCells count="2">
    <mergeCell ref="F3:H3"/>
    <mergeCell ref="I3:K3"/>
  </mergeCells>
  <conditionalFormatting sqref="E1:E6 B8:C20 B23:C27 E31:E35 E37:E1048576 E28:E29 B31:B35 B37:B1048576 B1:B29">
    <cfRule type="containsText" dxfId="60" priority="19" operator="containsText" text="Lizardman">
      <formula>NOT(ISERROR(SEARCH("Lizardman",B1)))</formula>
    </cfRule>
    <cfRule type="containsText" dxfId="59" priority="20" operator="containsText" text="Barbarians">
      <formula>NOT(ISERROR(SEARCH("Barbarians",B1)))</formula>
    </cfRule>
    <cfRule type="containsText" dxfId="58" priority="21" operator="containsText" text="Toster">
      <formula>NOT(ISERROR(SEARCH("Toster",B1)))</formula>
    </cfRule>
    <cfRule type="expression" dxfId="57" priority="22">
      <formula>Toster</formula>
    </cfRule>
    <cfRule type="expression" dxfId="56" priority="23">
      <formula>$B$9</formula>
    </cfRule>
    <cfRule type="expression" dxfId="55" priority="24">
      <formula>"Toster"</formula>
    </cfRule>
  </conditionalFormatting>
  <conditionalFormatting sqref="B21:C21">
    <cfRule type="containsText" dxfId="54" priority="7" operator="containsText" text="Lizardman">
      <formula>NOT(ISERROR(SEARCH("Lizardman",B21)))</formula>
    </cfRule>
    <cfRule type="containsText" dxfId="53" priority="8" operator="containsText" text="Barbarians">
      <formula>NOT(ISERROR(SEARCH("Barbarians",B21)))</formula>
    </cfRule>
    <cfRule type="containsText" dxfId="52" priority="9" operator="containsText" text="Toster">
      <formula>NOT(ISERROR(SEARCH("Toster",B21)))</formula>
    </cfRule>
    <cfRule type="expression" dxfId="51" priority="10">
      <formula>Toster</formula>
    </cfRule>
    <cfRule type="expression" dxfId="50" priority="11">
      <formula>$B$9</formula>
    </cfRule>
    <cfRule type="expression" dxfId="49" priority="12">
      <formula>"Toster"</formula>
    </cfRule>
  </conditionalFormatting>
  <conditionalFormatting sqref="B22:C22">
    <cfRule type="containsText" dxfId="48" priority="1" operator="containsText" text="Lizardman">
      <formula>NOT(ISERROR(SEARCH("Lizardman",B22)))</formula>
    </cfRule>
    <cfRule type="containsText" dxfId="47" priority="2" operator="containsText" text="Barbarians">
      <formula>NOT(ISERROR(SEARCH("Barbarians",B22)))</formula>
    </cfRule>
    <cfRule type="containsText" dxfId="46" priority="3" operator="containsText" text="Toster">
      <formula>NOT(ISERROR(SEARCH("Toster",B22)))</formula>
    </cfRule>
    <cfRule type="expression" dxfId="45" priority="4">
      <formula>Toster</formula>
    </cfRule>
    <cfRule type="expression" dxfId="44" priority="5">
      <formula>$B$9</formula>
    </cfRule>
    <cfRule type="expression" dxfId="43" priority="6">
      <formula>"Toster"</formula>
    </cfRule>
  </conditionalFormatting>
  <pageMargins left="0.7" right="0.7" top="0.75" bottom="0.75" header="0.3" footer="0.3"/>
  <pageSetup paperSize="9" orientation="portrait" r:id="rId1"/>
  <rowBreaks count="1" manualBreakCount="1">
    <brk id="23" max="16383" man="1"/>
  </rowBreaks>
  <colBreaks count="1" manualBreakCount="1">
    <brk id="39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topLeftCell="B1" workbookViewId="0">
      <pane ySplit="1" topLeftCell="A70" activePane="bottomLeft" state="frozen"/>
      <selection activeCell="B1" sqref="B1"/>
      <selection pane="bottomLeft" activeCell="B104" sqref="B104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xmlns:xlrd2="http://schemas.microsoft.com/office/spreadsheetml/2017/richdata2"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7" sqref="A1: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Toster_Arena</vt:lpstr>
      <vt:lpstr>Heroes 3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Wojtek</cp:lastModifiedBy>
  <cp:lastPrinted>2019-08-22T16:13:22Z</cp:lastPrinted>
  <dcterms:created xsi:type="dcterms:W3CDTF">2019-08-18T04:46:42Z</dcterms:created>
  <dcterms:modified xsi:type="dcterms:W3CDTF">2019-09-13T13:45:54Z</dcterms:modified>
</cp:coreProperties>
</file>