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y\Unity\TArena\TArenaUnity3D\TArenaUnity3D\Assets\Resources\Data\"/>
    </mc:Choice>
  </mc:AlternateContent>
  <bookViews>
    <workbookView xWindow="32355" yWindow="645" windowWidth="26790" windowHeight="14595"/>
  </bookViews>
  <sheets>
    <sheet name="Toster_Arena" sheetId="1" r:id="rId1"/>
    <sheet name="Heroes 3" sheetId="2" r:id="rId2"/>
    <sheet name="Spelle_Export_xml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U24" i="1" l="1"/>
  <c r="W24" i="1"/>
  <c r="AJ24" i="1"/>
  <c r="J7" i="1"/>
  <c r="K7" i="1"/>
  <c r="L7" i="1"/>
  <c r="AO7" i="1"/>
  <c r="T24" i="1" l="1"/>
  <c r="AK24" i="1"/>
  <c r="AC24" i="1"/>
  <c r="AI9" i="1" l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K9" i="1" l="1"/>
  <c r="AK19" i="1"/>
  <c r="AK17" i="1"/>
  <c r="AK15" i="1"/>
  <c r="AK13" i="1"/>
  <c r="AK11" i="1"/>
  <c r="AK18" i="1"/>
  <c r="AK12" i="1"/>
  <c r="AK22" i="1"/>
  <c r="AK16" i="1"/>
  <c r="AK14" i="1"/>
  <c r="AK23" i="1"/>
  <c r="AK21" i="1"/>
  <c r="AK20" i="1"/>
  <c r="AK10" i="1"/>
  <c r="BA15" i="1"/>
  <c r="BA21" i="1"/>
  <c r="BA9" i="1"/>
  <c r="BA10" i="1"/>
  <c r="BA11" i="1"/>
  <c r="BA12" i="1"/>
  <c r="BA13" i="1"/>
  <c r="BA14" i="1"/>
  <c r="BA16" i="1"/>
  <c r="BA17" i="1"/>
  <c r="BA18" i="1"/>
  <c r="BA19" i="1"/>
  <c r="BA20" i="1"/>
  <c r="BA22" i="1"/>
  <c r="BA23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U23" i="1" l="1"/>
  <c r="W23" i="1"/>
  <c r="AR23" i="1"/>
  <c r="AS23" i="1"/>
  <c r="U22" i="1"/>
  <c r="W22" i="1"/>
  <c r="AR22" i="1"/>
  <c r="AS22" i="1"/>
  <c r="U21" i="1"/>
  <c r="W21" i="1"/>
  <c r="AR21" i="1"/>
  <c r="AS21" i="1"/>
  <c r="AC21" i="1" l="1"/>
  <c r="T23" i="1"/>
  <c r="AT23" i="1"/>
  <c r="AV23" i="1"/>
  <c r="AC23" i="1"/>
  <c r="AU23" i="1"/>
  <c r="T22" i="1"/>
  <c r="AT22" i="1"/>
  <c r="AV22" i="1"/>
  <c r="AC22" i="1"/>
  <c r="AU22" i="1"/>
  <c r="T21" i="1"/>
  <c r="AV21" i="1"/>
  <c r="AU21" i="1"/>
  <c r="AT21" i="1"/>
  <c r="U9" i="1"/>
  <c r="U10" i="1"/>
  <c r="U11" i="1"/>
  <c r="U12" i="1"/>
  <c r="U13" i="1"/>
  <c r="U14" i="1"/>
  <c r="U15" i="1"/>
  <c r="U16" i="1"/>
  <c r="U17" i="1"/>
  <c r="U18" i="1"/>
  <c r="U19" i="1"/>
  <c r="U20" i="1"/>
  <c r="F7" i="1"/>
  <c r="G7" i="1"/>
  <c r="H7" i="1"/>
  <c r="I7" i="1"/>
  <c r="E7" i="1"/>
  <c r="V24" i="1" l="1"/>
  <c r="Z24" i="1" s="1"/>
  <c r="V23" i="1"/>
  <c r="Z23" i="1" s="1"/>
  <c r="V22" i="1"/>
  <c r="Z22" i="1" s="1"/>
  <c r="AQ22" i="1" s="1"/>
  <c r="V21" i="1"/>
  <c r="Z21" i="1" s="1"/>
  <c r="W9" i="1"/>
  <c r="W10" i="1"/>
  <c r="AC10" i="1" s="1"/>
  <c r="W11" i="1"/>
  <c r="AC11" i="1" s="1"/>
  <c r="W12" i="1"/>
  <c r="T12" i="1" s="1"/>
  <c r="W13" i="1"/>
  <c r="T13" i="1" s="1"/>
  <c r="W14" i="1"/>
  <c r="T14" i="1" s="1"/>
  <c r="W15" i="1"/>
  <c r="T15" i="1" s="1"/>
  <c r="W16" i="1"/>
  <c r="T16" i="1" s="1"/>
  <c r="W17" i="1"/>
  <c r="AC17" i="1" s="1"/>
  <c r="W18" i="1"/>
  <c r="AC18" i="1" s="1"/>
  <c r="W19" i="1"/>
  <c r="T19" i="1" s="1"/>
  <c r="W20" i="1"/>
  <c r="T20" i="1" s="1"/>
  <c r="AS9" i="1"/>
  <c r="AS10" i="1"/>
  <c r="AS11" i="1"/>
  <c r="AS12" i="1"/>
  <c r="AS13" i="1"/>
  <c r="AS14" i="1"/>
  <c r="AS15" i="1"/>
  <c r="AS16" i="1"/>
  <c r="AS17" i="1"/>
  <c r="AS18" i="1"/>
  <c r="AS19" i="1"/>
  <c r="AS20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X24" i="1" l="1"/>
  <c r="Y24" i="1" s="1"/>
  <c r="AA24" i="1" s="1"/>
  <c r="AB24" i="1" s="1"/>
  <c r="AD24" i="1" s="1"/>
  <c r="AE24" i="1" s="1"/>
  <c r="AF24" i="1" s="1"/>
  <c r="S24" i="1" s="1"/>
  <c r="X23" i="1"/>
  <c r="Y23" i="1" s="1"/>
  <c r="AP23" i="1" s="1"/>
  <c r="AQ23" i="1"/>
  <c r="AC9" i="1"/>
  <c r="X22" i="1"/>
  <c r="Y22" i="1" s="1"/>
  <c r="AC19" i="1"/>
  <c r="AC15" i="1"/>
  <c r="AC13" i="1"/>
  <c r="AC20" i="1"/>
  <c r="AC12" i="1"/>
  <c r="AC16" i="1"/>
  <c r="AC14" i="1"/>
  <c r="T9" i="1"/>
  <c r="T11" i="1"/>
  <c r="X21" i="1"/>
  <c r="Y21" i="1" s="1"/>
  <c r="AP21" i="1" s="1"/>
  <c r="AQ21" i="1"/>
  <c r="T18" i="1"/>
  <c r="T17" i="1"/>
  <c r="AT10" i="1"/>
  <c r="T10" i="1"/>
  <c r="AT19" i="1"/>
  <c r="AV9" i="1"/>
  <c r="AV18" i="1"/>
  <c r="X9" i="1"/>
  <c r="Y9" i="1" s="1"/>
  <c r="AP9" i="1" s="1"/>
  <c r="X19" i="1"/>
  <c r="Y19" i="1" s="1"/>
  <c r="AP19" i="1" s="1"/>
  <c r="X15" i="1"/>
  <c r="Y15" i="1" s="1"/>
  <c r="AP15" i="1" s="1"/>
  <c r="X18" i="1"/>
  <c r="Y18" i="1" s="1"/>
  <c r="AP18" i="1" s="1"/>
  <c r="X10" i="1"/>
  <c r="Y10" i="1" s="1"/>
  <c r="AP10" i="1" s="1"/>
  <c r="X20" i="1"/>
  <c r="Y20" i="1" s="1"/>
  <c r="AP20" i="1" s="1"/>
  <c r="X14" i="1"/>
  <c r="Y14" i="1" s="1"/>
  <c r="AP14" i="1" s="1"/>
  <c r="X17" i="1"/>
  <c r="Y17" i="1" s="1"/>
  <c r="AP17" i="1" s="1"/>
  <c r="X11" i="1"/>
  <c r="Y11" i="1" s="1"/>
  <c r="AP11" i="1" s="1"/>
  <c r="X12" i="1"/>
  <c r="Y12" i="1" s="1"/>
  <c r="AP12" i="1" s="1"/>
  <c r="X13" i="1"/>
  <c r="Y13" i="1" s="1"/>
  <c r="AP13" i="1" s="1"/>
  <c r="X16" i="1"/>
  <c r="Y16" i="1" s="1"/>
  <c r="AP16" i="1" s="1"/>
  <c r="V9" i="1"/>
  <c r="Z9" i="1" s="1"/>
  <c r="V19" i="1"/>
  <c r="Z19" i="1" s="1"/>
  <c r="V10" i="1"/>
  <c r="Z10" i="1" s="1"/>
  <c r="V20" i="1"/>
  <c r="Z20" i="1" s="1"/>
  <c r="V11" i="1"/>
  <c r="Z11" i="1" s="1"/>
  <c r="V18" i="1"/>
  <c r="Z18" i="1" s="1"/>
  <c r="V12" i="1"/>
  <c r="Z12" i="1" s="1"/>
  <c r="V17" i="1"/>
  <c r="Z17" i="1" s="1"/>
  <c r="V13" i="1"/>
  <c r="Z13" i="1" s="1"/>
  <c r="V14" i="1"/>
  <c r="Z14" i="1" s="1"/>
  <c r="V15" i="1"/>
  <c r="Z15" i="1" s="1"/>
  <c r="V16" i="1"/>
  <c r="Z16" i="1" s="1"/>
  <c r="AV11" i="1"/>
  <c r="AV12" i="1"/>
  <c r="AV19" i="1"/>
  <c r="AV10" i="1"/>
  <c r="AV17" i="1"/>
  <c r="AV20" i="1"/>
  <c r="AV13" i="1"/>
  <c r="AV14" i="1"/>
  <c r="AV16" i="1"/>
  <c r="AV15" i="1"/>
  <c r="W7" i="1"/>
  <c r="U7" i="1"/>
  <c r="X7" i="1"/>
  <c r="V7" i="1"/>
  <c r="AT9" i="1"/>
  <c r="AT11" i="1"/>
  <c r="AT12" i="1"/>
  <c r="AT14" i="1"/>
  <c r="AT15" i="1"/>
  <c r="AT17" i="1"/>
  <c r="AT16" i="1"/>
  <c r="AT13" i="1"/>
  <c r="AT18" i="1"/>
  <c r="AU17" i="1"/>
  <c r="AU15" i="1"/>
  <c r="AU14" i="1"/>
  <c r="AU13" i="1"/>
  <c r="AU12" i="1"/>
  <c r="AU11" i="1"/>
  <c r="AU20" i="1"/>
  <c r="AU10" i="1"/>
  <c r="AU9" i="1"/>
  <c r="AT20" i="1"/>
  <c r="AU19" i="1"/>
  <c r="AU18" i="1"/>
  <c r="AU16" i="1"/>
  <c r="AW23" i="1" l="1"/>
  <c r="AA23" i="1"/>
  <c r="AB23" i="1" s="1"/>
  <c r="AD23" i="1" s="1"/>
  <c r="AE23" i="1" s="1"/>
  <c r="AF23" i="1" s="1"/>
  <c r="S23" i="1" s="1"/>
  <c r="AP22" i="1"/>
  <c r="AW22" i="1" s="1"/>
  <c r="AA22" i="1"/>
  <c r="AW21" i="1"/>
  <c r="AA21" i="1"/>
  <c r="AB21" i="1" s="1"/>
  <c r="AQ11" i="1"/>
  <c r="AW11" i="1" s="1"/>
  <c r="AA11" i="1"/>
  <c r="AB11" i="1" s="1"/>
  <c r="AQ15" i="1"/>
  <c r="AW15" i="1" s="1"/>
  <c r="AA15" i="1"/>
  <c r="AB15" i="1" s="1"/>
  <c r="AQ9" i="1"/>
  <c r="AW9" i="1" s="1"/>
  <c r="AA9" i="1"/>
  <c r="AB9" i="1" s="1"/>
  <c r="AQ19" i="1"/>
  <c r="AW19" i="1" s="1"/>
  <c r="AA19" i="1"/>
  <c r="AB19" i="1" s="1"/>
  <c r="AQ14" i="1"/>
  <c r="AW14" i="1" s="1"/>
  <c r="AA14" i="1"/>
  <c r="AB14" i="1" s="1"/>
  <c r="AQ20" i="1"/>
  <c r="AW20" i="1" s="1"/>
  <c r="AA20" i="1"/>
  <c r="AB20" i="1" s="1"/>
  <c r="AQ13" i="1"/>
  <c r="AW13" i="1" s="1"/>
  <c r="AA13" i="1"/>
  <c r="AB13" i="1" s="1"/>
  <c r="AQ17" i="1"/>
  <c r="AW17" i="1" s="1"/>
  <c r="AA17" i="1"/>
  <c r="AB17" i="1" s="1"/>
  <c r="AQ10" i="1"/>
  <c r="AW10" i="1" s="1"/>
  <c r="AA10" i="1"/>
  <c r="AB10" i="1" s="1"/>
  <c r="AQ12" i="1"/>
  <c r="AW12" i="1" s="1"/>
  <c r="AA12" i="1"/>
  <c r="AB12" i="1" s="1"/>
  <c r="AQ16" i="1"/>
  <c r="AW16" i="1" s="1"/>
  <c r="AA16" i="1"/>
  <c r="AB16" i="1" s="1"/>
  <c r="AQ18" i="1"/>
  <c r="AW18" i="1" s="1"/>
  <c r="AA18" i="1"/>
  <c r="AB18" i="1" s="1"/>
  <c r="AS7" i="1"/>
  <c r="AR7" i="1"/>
  <c r="AQ7" i="1"/>
  <c r="AP7" i="1"/>
  <c r="Z7" i="1"/>
  <c r="Y7" i="1"/>
  <c r="AO23" i="1" l="1"/>
  <c r="AO22" i="1"/>
  <c r="AB22" i="1"/>
  <c r="AD22" i="1" s="1"/>
  <c r="AE22" i="1" s="1"/>
  <c r="AF22" i="1" s="1"/>
  <c r="S22" i="1" s="1"/>
  <c r="AO21" i="1"/>
  <c r="AD21" i="1"/>
  <c r="AE21" i="1" s="1"/>
  <c r="AF21" i="1" s="1"/>
  <c r="S21" i="1" s="1"/>
  <c r="AD20" i="1"/>
  <c r="AE20" i="1" s="1"/>
  <c r="AF20" i="1" s="1"/>
  <c r="S20" i="1" s="1"/>
  <c r="AD12" i="1"/>
  <c r="AE12" i="1" s="1"/>
  <c r="AF12" i="1" s="1"/>
  <c r="S12" i="1" s="1"/>
  <c r="AD14" i="1"/>
  <c r="AE14" i="1" s="1"/>
  <c r="AF14" i="1" s="1"/>
  <c r="S14" i="1" s="1"/>
  <c r="AD19" i="1"/>
  <c r="AE19" i="1" s="1"/>
  <c r="AF19" i="1" s="1"/>
  <c r="S19" i="1" s="1"/>
  <c r="AD9" i="1"/>
  <c r="AE9" i="1" s="1"/>
  <c r="AF9" i="1" s="1"/>
  <c r="AD17" i="1"/>
  <c r="AE17" i="1" s="1"/>
  <c r="AF17" i="1" s="1"/>
  <c r="S17" i="1" s="1"/>
  <c r="AD18" i="1"/>
  <c r="AE18" i="1" s="1"/>
  <c r="AF18" i="1" s="1"/>
  <c r="S18" i="1" s="1"/>
  <c r="AD15" i="1"/>
  <c r="AE15" i="1" s="1"/>
  <c r="AF15" i="1" s="1"/>
  <c r="S15" i="1" s="1"/>
  <c r="AD10" i="1"/>
  <c r="AE10" i="1" s="1"/>
  <c r="AF10" i="1" s="1"/>
  <c r="S10" i="1" s="1"/>
  <c r="AD16" i="1"/>
  <c r="AE16" i="1" s="1"/>
  <c r="AF16" i="1" s="1"/>
  <c r="S16" i="1" s="1"/>
  <c r="AD13" i="1"/>
  <c r="AE13" i="1" s="1"/>
  <c r="AF13" i="1" s="1"/>
  <c r="S13" i="1" s="1"/>
  <c r="AD11" i="1"/>
  <c r="AE11" i="1" s="1"/>
  <c r="AF11" i="1" s="1"/>
  <c r="S11" i="1" s="1"/>
  <c r="AO20" i="1"/>
  <c r="AO19" i="1"/>
  <c r="AO12" i="1"/>
  <c r="AO9" i="1"/>
  <c r="AO15" i="1"/>
  <c r="AO10" i="1"/>
  <c r="AO18" i="1"/>
  <c r="AO16" i="1"/>
  <c r="AO13" i="1"/>
  <c r="AO11" i="1"/>
  <c r="AO14" i="1"/>
  <c r="AO17" i="1"/>
  <c r="S9" i="1" l="1"/>
</calcChain>
</file>

<file path=xl/comments1.xml><?xml version="1.0" encoding="utf-8"?>
<comments xmlns="http://schemas.openxmlformats.org/spreadsheetml/2006/main">
  <authors>
    <author>Piotr Musielski</author>
  </authors>
  <commentList>
    <comment ref="U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ofensywna względem worst:</t>
        </r>
        <r>
          <rPr>
            <sz val="9"/>
            <color indexed="81"/>
            <rFont val="Tahoma"/>
            <family val="2"/>
            <charset val="238"/>
          </rPr>
          <t xml:space="preserve">
Ile ta jednostka zabije worstów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potrzeba tych jednostek żeby zadać tyle obrażeń najsłabszej jednostce co najmocniejsza jednostka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worst</t>
        </r>
        <r>
          <rPr>
            <sz val="9"/>
            <color indexed="81"/>
            <rFont val="Tahoma"/>
            <family val="2"/>
            <charset val="238"/>
          </rPr>
          <t xml:space="preserve">
Ile worstów zabije te jednostkę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  <charset val="238"/>
          </rPr>
          <t>VOW_R</t>
        </r>
        <r>
          <rPr>
            <sz val="9"/>
            <color indexed="81"/>
            <rFont val="Tahoma"/>
            <family val="2"/>
            <charset val="238"/>
          </rPr>
          <t xml:space="preserve">
Ile jednostek otrzyma takie same obrażenia co najsłabsza jednostka.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W</t>
        </r>
        <r>
          <rPr>
            <i/>
            <sz val="9"/>
            <color indexed="81"/>
            <rFont val="Tahoma"/>
            <family val="2"/>
            <charset val="238"/>
          </rPr>
          <t>artość ofensywna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potrzeba jednostki żeby zabić best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  <charset val="238"/>
          </rPr>
          <t>Piotr Musielski: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i/>
            <sz val="9"/>
            <color indexed="81"/>
            <rFont val="Tahoma"/>
            <family val="2"/>
            <charset val="238"/>
          </rPr>
          <t>Wartość defensywna względem best:</t>
        </r>
        <r>
          <rPr>
            <sz val="9"/>
            <color indexed="81"/>
            <rFont val="Tahoma"/>
            <family val="2"/>
            <charset val="238"/>
          </rPr>
          <t xml:space="preserve">
Ile sztuk tej jednostki zabije best</t>
        </r>
      </text>
    </comment>
  </commentList>
</comments>
</file>

<file path=xl/connections.xml><?xml version="1.0" encoding="utf-8"?>
<connections xmlns="http://schemas.openxmlformats.org/spreadsheetml/2006/main">
  <connection id="1" name="mapowanie" type="4" refreshedVersion="0" background="1">
    <webPr xml="1" sourceData="1" url="C:\Users\piotr\Desktop\mapowanie.xml" htmlTables="1" htmlFormat="all"/>
  </connection>
  <connection id="2" name="Units_Map" type="4" refreshedVersion="0" background="1">
    <webPr xml="1" sourceData="1" url="C:\Users\piotr\Desktop\Units_Map.xml" htmlTables="1" htmlFormat="all"/>
  </connection>
  <connection id="3" name="Units_Map1" type="4" refreshedVersion="0" background="1">
    <webPr xml="1" sourceData="1" url="C:\Users\piotr\Desktop\Units_Map.xml" htmlTables="1" htmlFormat="all"/>
  </connection>
  <connection id="4" name="Units_Mapping" type="4" refreshedVersion="0" background="1">
    <webPr xml="1" sourceData="1" url="C:\Users\piotr\Desktop\Units_Mapping.xml" htmlTables="1" htmlFormat="all"/>
  </connection>
  <connection id="5" name="Units_Mapping_Template" type="4" refreshedVersion="0" background="1">
    <webPr xml="1" sourceData="1" url="C:\Users\piotr\Desktop\Units_Mapping_Template.xml" htmlTables="1" htmlFormat="all"/>
  </connection>
  <connection id="6" name="Units_Mapping_Template1" type="4" refreshedVersion="0" background="1">
    <webPr xml="1" sourceData="1" url="C:\Users\piotr\Desktop\Units_Mapping_Template.xml" htmlTables="1" htmlFormat="all"/>
  </connection>
  <connection id="7" name="Units_Mapping_Template2" type="4" refreshedVersion="0" background="1">
    <webPr xml="1" sourceData="1" url="D:\Projekty\Unity\TArena\TArenaUnity3D\TArenaUnity3D\Assets\Resources\Data\Units_Mapping_Template.xml" htmlTables="1" htmlFormat="all"/>
  </connection>
  <connection id="8" name="Units_Mapping_Template3" type="4" refreshedVersion="0" background="1">
    <webPr xml="1" sourceData="1" url="D:\Projekty\Unity\TArena\TArenaUnity3D\TArenaUnity3D\Assets\Resources\Data\Units_Mapping_Template.xml" htmlTables="1" htmlFormat="all"/>
  </connection>
  <connection id="9" name="Units_Mapping1" type="4" refreshedVersion="0" background="1">
    <webPr xml="1" sourceData="1" url="C:\Users\piotr\Desktop\Units_Mapping.xml" htmlTables="1" htmlFormat="all"/>
  </connection>
  <connection id="10" name="Units_Mapping2" type="4" refreshedVersion="0" background="1">
    <webPr xml="1" sourceData="1" url="C:\Users\piotr\Desktop\Units_Mapping.xml" htmlTables="1" htmlFormat="all"/>
  </connection>
</connections>
</file>

<file path=xl/sharedStrings.xml><?xml version="1.0" encoding="utf-8"?>
<sst xmlns="http://schemas.openxmlformats.org/spreadsheetml/2006/main" count="456" uniqueCount="289">
  <si>
    <t>Balans statystyk</t>
  </si>
  <si>
    <t>Name</t>
  </si>
  <si>
    <t>Town</t>
  </si>
  <si>
    <t>Level</t>
  </si>
  <si>
    <t>Attack</t>
  </si>
  <si>
    <t>Def</t>
  </si>
  <si>
    <t>Dmin</t>
  </si>
  <si>
    <t>Dmax</t>
  </si>
  <si>
    <t>Health</t>
  </si>
  <si>
    <t>Speed</t>
  </si>
  <si>
    <t>Gold</t>
  </si>
  <si>
    <t>!DMG</t>
  </si>
  <si>
    <t>!DEF</t>
  </si>
  <si>
    <t>Fraction</t>
  </si>
  <si>
    <t>Defence</t>
  </si>
  <si>
    <r>
      <t>Damage</t>
    </r>
    <r>
      <rPr>
        <strike/>
        <sz val="11"/>
        <color rgb="FFFFFFFF"/>
        <rFont val="Calibri"/>
        <family val="2"/>
        <charset val="238"/>
      </rPr>
      <t xml:space="preserve"> </t>
    </r>
    <r>
      <rPr>
        <sz val="11"/>
        <color rgb="FFFFFFFF"/>
        <rFont val="Calibri"/>
        <family val="2"/>
        <charset val="238"/>
      </rPr>
      <t>min</t>
    </r>
  </si>
  <si>
    <t>Damage max</t>
  </si>
  <si>
    <t>Barbarians</t>
  </si>
  <si>
    <t>S</t>
  </si>
  <si>
    <t>I</t>
  </si>
  <si>
    <t>Rampart</t>
  </si>
  <si>
    <t>Gold Dragon</t>
  </si>
  <si>
    <t>Stronghold</t>
  </si>
  <si>
    <t>Goblin</t>
  </si>
  <si>
    <t>Hobgoblin</t>
  </si>
  <si>
    <t>Wolf Rider</t>
  </si>
  <si>
    <t>Wolf Raider</t>
  </si>
  <si>
    <t>Orc</t>
  </si>
  <si>
    <t>Orc Chieftain</t>
  </si>
  <si>
    <t>Ogre</t>
  </si>
  <si>
    <t>Ogre Mage</t>
  </si>
  <si>
    <t>Roc</t>
  </si>
  <si>
    <t>Thunderbird</t>
  </si>
  <si>
    <t>Cyclops</t>
  </si>
  <si>
    <t>Cyclops King</t>
  </si>
  <si>
    <t>Behemoth</t>
  </si>
  <si>
    <t>Ancient Behemoth</t>
  </si>
  <si>
    <t>Tower</t>
  </si>
  <si>
    <t>Gremlin</t>
  </si>
  <si>
    <t>Master Gremlin</t>
  </si>
  <si>
    <t>Stone Gargoyle</t>
  </si>
  <si>
    <t>Obsidian Gargoyle</t>
  </si>
  <si>
    <t>Stone Golem</t>
  </si>
  <si>
    <t>Iron Golem</t>
  </si>
  <si>
    <t>Mage</t>
  </si>
  <si>
    <t>Arch Mage</t>
  </si>
  <si>
    <t>Genie</t>
  </si>
  <si>
    <t>Master Genie</t>
  </si>
  <si>
    <t>Naga</t>
  </si>
  <si>
    <t>Naga Queen</t>
  </si>
  <si>
    <t>Giant</t>
  </si>
  <si>
    <t>Titan</t>
  </si>
  <si>
    <t>Castle</t>
  </si>
  <si>
    <t>Pikeman</t>
  </si>
  <si>
    <t>Halberdier</t>
  </si>
  <si>
    <t>Archer</t>
  </si>
  <si>
    <t>Marksman</t>
  </si>
  <si>
    <t>Griffin</t>
  </si>
  <si>
    <t>Royal Griffin</t>
  </si>
  <si>
    <t>Swordsman</t>
  </si>
  <si>
    <t>Crusader</t>
  </si>
  <si>
    <t>Monk</t>
  </si>
  <si>
    <t>Zealot</t>
  </si>
  <si>
    <t>Cavalier</t>
  </si>
  <si>
    <t>Champion</t>
  </si>
  <si>
    <t>Angel</t>
  </si>
  <si>
    <t>Archangel</t>
  </si>
  <si>
    <t>Conflux</t>
  </si>
  <si>
    <t>Pixie</t>
  </si>
  <si>
    <t>Sprite</t>
  </si>
  <si>
    <t>Air Elemental</t>
  </si>
  <si>
    <t>Storm Elemental</t>
  </si>
  <si>
    <t>Water Elemental</t>
  </si>
  <si>
    <t>Ice Elemental</t>
  </si>
  <si>
    <t>Fire Elemental</t>
  </si>
  <si>
    <t>Energy Elemental</t>
  </si>
  <si>
    <t>Earth Elemental</t>
  </si>
  <si>
    <t>Magma Elemental</t>
  </si>
  <si>
    <t>Psychic Elemental</t>
  </si>
  <si>
    <t>Magic Elemental</t>
  </si>
  <si>
    <t>Firebird</t>
  </si>
  <si>
    <t>Phoenix</t>
  </si>
  <si>
    <t>Dungeon</t>
  </si>
  <si>
    <t>Troglodyte</t>
  </si>
  <si>
    <t>Infernal Troglodyte</t>
  </si>
  <si>
    <t>Harpy</t>
  </si>
  <si>
    <t>Harpy Hag</t>
  </si>
  <si>
    <t>Beholder</t>
  </si>
  <si>
    <t>Evil Eye</t>
  </si>
  <si>
    <t>Medusa</t>
  </si>
  <si>
    <t>Medusa Queen</t>
  </si>
  <si>
    <t>Minotaur</t>
  </si>
  <si>
    <t>Minotaur King</t>
  </si>
  <si>
    <t>Manticore</t>
  </si>
  <si>
    <t>Scorpicore</t>
  </si>
  <si>
    <t>Red Dragon</t>
  </si>
  <si>
    <t>Black Dragon</t>
  </si>
  <si>
    <t>Fortress</t>
  </si>
  <si>
    <t>Gnoll</t>
  </si>
  <si>
    <t>Gnoll Marauder</t>
  </si>
  <si>
    <t>Lizardman</t>
  </si>
  <si>
    <t>Lizard Warrior</t>
  </si>
  <si>
    <t>Serpent Fly</t>
  </si>
  <si>
    <t>Dragon Fly</t>
  </si>
  <si>
    <t>Basilisk</t>
  </si>
  <si>
    <t>Greater Basilisk</t>
  </si>
  <si>
    <t>Gorgon</t>
  </si>
  <si>
    <t>Mighty Gorgon</t>
  </si>
  <si>
    <t>Wyvern</t>
  </si>
  <si>
    <t>Wyvern Monarch</t>
  </si>
  <si>
    <t>Hydra</t>
  </si>
  <si>
    <t>Chaos Hydra</t>
  </si>
  <si>
    <t>Inferno</t>
  </si>
  <si>
    <t>Imp</t>
  </si>
  <si>
    <t>Familiar</t>
  </si>
  <si>
    <t>Gog</t>
  </si>
  <si>
    <t>Magog</t>
  </si>
  <si>
    <t>Hell Hound</t>
  </si>
  <si>
    <t>Cerberus</t>
  </si>
  <si>
    <t>Demon</t>
  </si>
  <si>
    <t>Horned Demon</t>
  </si>
  <si>
    <t>Pit Fiend</t>
  </si>
  <si>
    <t>Pit Lord</t>
  </si>
  <si>
    <t>Efreet</t>
  </si>
  <si>
    <t>Efreet Sultan</t>
  </si>
  <si>
    <t>Devil</t>
  </si>
  <si>
    <t>Arch Devil</t>
  </si>
  <si>
    <t>Necropolis</t>
  </si>
  <si>
    <t>Skeleton</t>
  </si>
  <si>
    <t>Skeleton Warrior</t>
  </si>
  <si>
    <t>Walking Dead</t>
  </si>
  <si>
    <t>Zombie</t>
  </si>
  <si>
    <t>Wight</t>
  </si>
  <si>
    <t>Wraith</t>
  </si>
  <si>
    <t>Vampire</t>
  </si>
  <si>
    <t>Vampire Lord</t>
  </si>
  <si>
    <t>Lich</t>
  </si>
  <si>
    <t>Power Lich</t>
  </si>
  <si>
    <t>Black Knight</t>
  </si>
  <si>
    <t>Dread Knight</t>
  </si>
  <si>
    <t>Bone Dragon</t>
  </si>
  <si>
    <t>Ghost Dragon</t>
  </si>
  <si>
    <t>Neutral</t>
  </si>
  <si>
    <t>Peasant</t>
  </si>
  <si>
    <t>Halfling</t>
  </si>
  <si>
    <t>Diamond Golem</t>
  </si>
  <si>
    <t>Gold Golem</t>
  </si>
  <si>
    <t>Mummy</t>
  </si>
  <si>
    <t>Rogue</t>
  </si>
  <si>
    <t>Boar</t>
  </si>
  <si>
    <t>Troll</t>
  </si>
  <si>
    <t>Nomad</t>
  </si>
  <si>
    <t>Enchanter</t>
  </si>
  <si>
    <t>Sharpshooter</t>
  </si>
  <si>
    <t>Centaur</t>
  </si>
  <si>
    <t>Centaur Captain</t>
  </si>
  <si>
    <t>Dwarf</t>
  </si>
  <si>
    <t>Battle Dwarf</t>
  </si>
  <si>
    <t>Wood Elf</t>
  </si>
  <si>
    <t>Grand Elf</t>
  </si>
  <si>
    <t>Pegasus</t>
  </si>
  <si>
    <t>Silver Pegasus</t>
  </si>
  <si>
    <t>Dendroid Guard</t>
  </si>
  <si>
    <t>Dendroid Soldier</t>
  </si>
  <si>
    <t>Unicorn</t>
  </si>
  <si>
    <t>War Unicorn</t>
  </si>
  <si>
    <t>Green Dragon</t>
  </si>
  <si>
    <t>#VALUE!</t>
  </si>
  <si>
    <t>Cena</t>
  </si>
  <si>
    <t>Ilosc</t>
  </si>
  <si>
    <t>!DMG*ilosc</t>
  </si>
  <si>
    <t>!DEF*Ilosc</t>
  </si>
  <si>
    <t>!DEF+DMG</t>
  </si>
  <si>
    <t>Nowa cena</t>
  </si>
  <si>
    <t>Nowa ilosc</t>
  </si>
  <si>
    <t>Roznica od srednej</t>
  </si>
  <si>
    <t>Skill1</t>
  </si>
  <si>
    <t>Skill2</t>
  </si>
  <si>
    <t>Skill3</t>
  </si>
  <si>
    <t>Skill4</t>
  </si>
  <si>
    <t>TosterDPS</t>
  </si>
  <si>
    <t>TosterTANK</t>
  </si>
  <si>
    <t>TosterHEAL</t>
  </si>
  <si>
    <t>Szaman</t>
  </si>
  <si>
    <t>axe1</t>
  </si>
  <si>
    <t>Lizard</t>
  </si>
  <si>
    <t>Sprites/redT2</t>
  </si>
  <si>
    <t>Sprites/wT1</t>
  </si>
  <si>
    <t>Sprites/gT2</t>
  </si>
  <si>
    <t>Sprites/axe</t>
  </si>
  <si>
    <t>Sprites/lizard</t>
  </si>
  <si>
    <t>Rzutnik_Skill1</t>
  </si>
  <si>
    <t>Rzutnik_Skill2</t>
  </si>
  <si>
    <t>Rzutnik_Skill3</t>
  </si>
  <si>
    <t>Topornik_Skill1</t>
  </si>
  <si>
    <t>Topornik_Skill2</t>
  </si>
  <si>
    <t>Barbarzyńcy - frakcja oparta na sile o liniowym wzroście, posiada dość ograniczone umiejętnośći wzmacniające walkę</t>
  </si>
  <si>
    <t>Jaszczury - frakcja oparta na inteligencji o liniowym wzroście z zaawansowanymi mechanikami wpływającymi na pole bitwy</t>
  </si>
  <si>
    <t>II</t>
  </si>
  <si>
    <t>III</t>
  </si>
  <si>
    <t>IV</t>
  </si>
  <si>
    <t>Tank</t>
  </si>
  <si>
    <t>Specialist</t>
  </si>
  <si>
    <t>Healer</t>
  </si>
  <si>
    <t>Trapper</t>
  </si>
  <si>
    <t>Rusher</t>
  </si>
  <si>
    <t>Thrower</t>
  </si>
  <si>
    <t>Axeman</t>
  </si>
  <si>
    <t>Toster</t>
  </si>
  <si>
    <t>VOB</t>
  </si>
  <si>
    <t>Modyfikator ataku</t>
  </si>
  <si>
    <t>Modyfikator obrony</t>
  </si>
  <si>
    <t>Max:</t>
  </si>
  <si>
    <t>Cost1 (ZŁY)</t>
  </si>
  <si>
    <t>Kolumna1</t>
  </si>
  <si>
    <t>VDB</t>
  </si>
  <si>
    <t>Stosunek W</t>
  </si>
  <si>
    <t>Stosunek B</t>
  </si>
  <si>
    <t>Ilu wytrzyma 796 dmg</t>
  </si>
  <si>
    <t>Ilu zada 148 dmg</t>
  </si>
  <si>
    <t>Ile zadadzą wytrzymując 796</t>
  </si>
  <si>
    <t>V_Off</t>
  </si>
  <si>
    <t>V_Def</t>
  </si>
  <si>
    <t>Ile wytrzymają zadając 148</t>
  </si>
  <si>
    <t>Ilu worst zabije go</t>
  </si>
  <si>
    <t>Ilu on zabije worstów</t>
  </si>
  <si>
    <t>Cena_Atak</t>
  </si>
  <si>
    <t>Cena_Obrona</t>
  </si>
  <si>
    <t>CENA_ZLA</t>
  </si>
  <si>
    <t>ILOSC_ZLA</t>
  </si>
  <si>
    <t>!ŚREDNIA</t>
  </si>
  <si>
    <t>Średnia V (bez sensu)</t>
  </si>
  <si>
    <t>Odchyłka</t>
  </si>
  <si>
    <t>!Odchyłka</t>
  </si>
  <si>
    <t>Tankowatość</t>
  </si>
  <si>
    <t>Odchyłka średniej V</t>
  </si>
  <si>
    <t>Suma VW</t>
  </si>
  <si>
    <t>VWO</t>
  </si>
  <si>
    <t>VWD</t>
  </si>
  <si>
    <t>VWD_R</t>
  </si>
  <si>
    <t>VWO_R</t>
  </si>
  <si>
    <t>Uwzględniając odchyłkę</t>
  </si>
  <si>
    <t>Suma*Odchyłka</t>
  </si>
  <si>
    <t>Wartość na hp</t>
  </si>
  <si>
    <t>ZBALANSOWANA ILOSC</t>
  </si>
  <si>
    <t>SuperLizard</t>
  </si>
  <si>
    <t>Toughnessness</t>
  </si>
  <si>
    <t>FixedAmountAfterSearching</t>
  </si>
  <si>
    <t xml:space="preserve"> w porównaniu do TosterHEAL</t>
  </si>
  <si>
    <t>Ilość jednostki znaleziona przez symulator</t>
  </si>
  <si>
    <t xml:space="preserve"> w porównaniu do SuperLizard</t>
  </si>
  <si>
    <t>FixedAmountAfterSearchingFixedAmountAfterSearching</t>
  </si>
  <si>
    <t>ŚREDNIA</t>
  </si>
  <si>
    <t>FixedAmountAfterSearchingFixedAmountAfterSearching2</t>
  </si>
  <si>
    <t>Ilość</t>
  </si>
  <si>
    <t>HeavyHitter</t>
  </si>
  <si>
    <t>Statystyki</t>
  </si>
  <si>
    <t>Wskaźniki</t>
  </si>
  <si>
    <t>Wsk</t>
  </si>
  <si>
    <t>Sk</t>
  </si>
  <si>
    <t>Skile</t>
  </si>
  <si>
    <t>Kolumna22</t>
  </si>
  <si>
    <t>SIM</t>
  </si>
  <si>
    <t>Stat</t>
  </si>
  <si>
    <t>Symula</t>
  </si>
  <si>
    <t>Zbalansowana ilośc względem DPS</t>
  </si>
  <si>
    <t>Zrównane do 1 lizarda</t>
  </si>
  <si>
    <t xml:space="preserve">AMT </t>
  </si>
  <si>
    <t>Cena SIM</t>
  </si>
  <si>
    <t>Zrównane do 1000/ lizarda</t>
  </si>
  <si>
    <t>Ilość za gold</t>
  </si>
  <si>
    <t>NIE UŻYWANE</t>
  </si>
  <si>
    <t>Zrównane do lziarda</t>
  </si>
  <si>
    <t>V/HP</t>
  </si>
  <si>
    <t>Data</t>
  </si>
  <si>
    <t>Tank_Skill1</t>
  </si>
  <si>
    <t>Tank_Skill2</t>
  </si>
  <si>
    <t>TeleportOT</t>
  </si>
  <si>
    <t>TosterTemplate</t>
  </si>
  <si>
    <t>Sprites/superL</t>
  </si>
  <si>
    <t>Spprites/Szaman1</t>
  </si>
  <si>
    <t>Sprites/Brb_Axeman_sprite</t>
  </si>
  <si>
    <t>Sprites/Brb_Thrower_sprite</t>
  </si>
  <si>
    <t>Sprites/Brb_Rusher_sprite</t>
  </si>
  <si>
    <t>Sprites/Brb_HeavyHitter_sprite</t>
  </si>
  <si>
    <t>Sprites/Liz_Healer_sprite</t>
  </si>
  <si>
    <t>Sprites/Liz_Trapper_sprite</t>
  </si>
  <si>
    <t>Sprites/Liz_Specialist_sprite</t>
  </si>
  <si>
    <t>Sprites/Liz_Tank_sprite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</si>
</sst>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238"/>
    </font>
    <font>
      <sz val="10"/>
      <color rgb="FFFFFFFF"/>
      <name val="Arial"/>
      <family val="2"/>
      <charset val="238"/>
    </font>
    <font>
      <strike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rgb="FF6AA84F"/>
      <name val="Calibri"/>
      <family val="2"/>
      <charset val="238"/>
    </font>
    <font>
      <b/>
      <sz val="10"/>
      <color rgb="FF6AA84F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9"/>
      <color indexed="81"/>
      <name val="Tahoma"/>
      <family val="2"/>
      <charset val="238"/>
    </font>
    <font>
      <sz val="11"/>
      <color theme="2" tint="-0.89999084444715716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</fonts>
  <fills count="11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FCFE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DFF3D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5858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A9A9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E9E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FEFE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D0FFD0"/>
        <bgColor indexed="64"/>
      </patternFill>
    </fill>
    <fill>
      <patternFill patternType="solid">
        <fgColor rgb="FFDAFFDA"/>
        <bgColor indexed="64"/>
      </patternFill>
    </fill>
    <fill>
      <patternFill patternType="solid">
        <fgColor rgb="FFFFFBFB"/>
        <bgColor indexed="64"/>
      </patternFill>
    </fill>
    <fill>
      <patternFill patternType="solid">
        <fgColor rgb="FF64FF64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8D8D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rgb="FFFFA5A5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6CFF6C"/>
        <bgColor indexed="64"/>
      </patternFill>
    </fill>
    <fill>
      <patternFill patternType="solid">
        <fgColor rgb="FFFF6E6E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6868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C3C3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7A7A"/>
        <bgColor indexed="64"/>
      </patternFill>
    </fill>
    <fill>
      <patternFill patternType="solid">
        <fgColor rgb="FFFFBFBF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1616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5FFF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9F9"/>
        <bgColor indexed="64"/>
      </patternFill>
    </fill>
    <fill>
      <patternFill patternType="solid">
        <fgColor rgb="FFB0FFB0"/>
        <bgColor indexed="64"/>
      </patternFill>
    </fill>
    <fill>
      <patternFill patternType="solid">
        <fgColor rgb="FF8EFF8E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D7FF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B1B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FCFE6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60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5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horizontal="right" wrapText="1"/>
    </xf>
    <xf numFmtId="0" fontId="7" fillId="7" borderId="1" xfId="0" applyFont="1" applyFill="1" applyBorder="1" applyAlignment="1">
      <alignment horizontal="right" wrapText="1"/>
    </xf>
    <xf numFmtId="0" fontId="7" fillId="8" borderId="1" xfId="0" applyFont="1" applyFill="1" applyBorder="1" applyAlignment="1">
      <alignment horizontal="right" wrapText="1"/>
    </xf>
    <xf numFmtId="0" fontId="7" fillId="9" borderId="1" xfId="0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10" borderId="1" xfId="0" applyFont="1" applyFill="1" applyBorder="1" applyAlignment="1">
      <alignment horizontal="right" wrapText="1"/>
    </xf>
    <xf numFmtId="0" fontId="6" fillId="0" borderId="2" xfId="0" applyFont="1" applyBorder="1" applyAlignment="1">
      <alignment wrapText="1"/>
    </xf>
    <xf numFmtId="0" fontId="7" fillId="11" borderId="1" xfId="0" applyFont="1" applyFill="1" applyBorder="1" applyAlignment="1">
      <alignment horizontal="right" wrapText="1"/>
    </xf>
    <xf numFmtId="0" fontId="7" fillId="12" borderId="1" xfId="0" applyFont="1" applyFill="1" applyBorder="1" applyAlignment="1">
      <alignment horizontal="right" wrapText="1"/>
    </xf>
    <xf numFmtId="0" fontId="7" fillId="13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right" wrapText="1"/>
    </xf>
    <xf numFmtId="0" fontId="7" fillId="15" borderId="1" xfId="0" applyFont="1" applyFill="1" applyBorder="1" applyAlignment="1">
      <alignment horizontal="right" wrapText="1"/>
    </xf>
    <xf numFmtId="0" fontId="7" fillId="16" borderId="1" xfId="0" applyFont="1" applyFill="1" applyBorder="1" applyAlignment="1">
      <alignment horizontal="right" wrapText="1"/>
    </xf>
    <xf numFmtId="0" fontId="7" fillId="17" borderId="1" xfId="0" applyFont="1" applyFill="1" applyBorder="1" applyAlignment="1">
      <alignment horizontal="right" wrapText="1"/>
    </xf>
    <xf numFmtId="0" fontId="7" fillId="18" borderId="1" xfId="0" applyFont="1" applyFill="1" applyBorder="1" applyAlignment="1">
      <alignment horizontal="right" wrapText="1"/>
    </xf>
    <xf numFmtId="0" fontId="7" fillId="19" borderId="1" xfId="0" applyFont="1" applyFill="1" applyBorder="1" applyAlignment="1">
      <alignment horizontal="right" wrapText="1"/>
    </xf>
    <xf numFmtId="0" fontId="7" fillId="20" borderId="1" xfId="0" applyFont="1" applyFill="1" applyBorder="1" applyAlignment="1">
      <alignment horizontal="right" wrapText="1"/>
    </xf>
    <xf numFmtId="0" fontId="7" fillId="21" borderId="1" xfId="0" applyFont="1" applyFill="1" applyBorder="1" applyAlignment="1">
      <alignment horizontal="right" wrapText="1"/>
    </xf>
    <xf numFmtId="0" fontId="7" fillId="22" borderId="1" xfId="0" applyFont="1" applyFill="1" applyBorder="1" applyAlignment="1">
      <alignment horizontal="right" wrapText="1"/>
    </xf>
    <xf numFmtId="0" fontId="7" fillId="23" borderId="1" xfId="0" applyFont="1" applyFill="1" applyBorder="1" applyAlignment="1">
      <alignment horizontal="right" wrapText="1"/>
    </xf>
    <xf numFmtId="0" fontId="8" fillId="0" borderId="2" xfId="0" applyFont="1" applyBorder="1" applyAlignment="1">
      <alignment wrapText="1"/>
    </xf>
    <xf numFmtId="0" fontId="8" fillId="3" borderId="1" xfId="0" applyFont="1" applyFill="1" applyBorder="1" applyAlignment="1">
      <alignment horizontal="right" wrapText="1"/>
    </xf>
    <xf numFmtId="0" fontId="8" fillId="0" borderId="1" xfId="0" applyFont="1" applyBorder="1" applyAlignment="1">
      <alignment horizontal="right" wrapText="1"/>
    </xf>
    <xf numFmtId="0" fontId="9" fillId="4" borderId="1" xfId="0" applyFont="1" applyFill="1" applyBorder="1" applyAlignment="1">
      <alignment horizontal="right" wrapText="1"/>
    </xf>
    <xf numFmtId="0" fontId="9" fillId="5" borderId="1" xfId="0" applyFont="1" applyFill="1" applyBorder="1" applyAlignment="1">
      <alignment horizontal="right" wrapText="1"/>
    </xf>
    <xf numFmtId="0" fontId="7" fillId="24" borderId="1" xfId="0" applyFont="1" applyFill="1" applyBorder="1" applyAlignment="1">
      <alignment horizontal="right" wrapText="1"/>
    </xf>
    <xf numFmtId="0" fontId="7" fillId="25" borderId="1" xfId="0" applyFont="1" applyFill="1" applyBorder="1" applyAlignment="1">
      <alignment horizontal="right" wrapText="1"/>
    </xf>
    <xf numFmtId="0" fontId="7" fillId="26" borderId="1" xfId="0" applyFont="1" applyFill="1" applyBorder="1" applyAlignment="1">
      <alignment horizontal="right" wrapText="1"/>
    </xf>
    <xf numFmtId="0" fontId="7" fillId="27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10" fillId="4" borderId="1" xfId="0" applyFont="1" applyFill="1" applyBorder="1" applyAlignment="1">
      <alignment horizontal="right" wrapText="1"/>
    </xf>
    <xf numFmtId="0" fontId="10" fillId="5" borderId="1" xfId="0" applyFont="1" applyFill="1" applyBorder="1" applyAlignment="1">
      <alignment horizontal="right" wrapText="1"/>
    </xf>
    <xf numFmtId="0" fontId="7" fillId="28" borderId="1" xfId="0" applyFont="1" applyFill="1" applyBorder="1" applyAlignment="1">
      <alignment horizontal="right" wrapText="1"/>
    </xf>
    <xf numFmtId="0" fontId="7" fillId="29" borderId="1" xfId="0" applyFont="1" applyFill="1" applyBorder="1" applyAlignment="1">
      <alignment horizontal="right" wrapText="1"/>
    </xf>
    <xf numFmtId="0" fontId="7" fillId="30" borderId="1" xfId="0" applyFont="1" applyFill="1" applyBorder="1" applyAlignment="1">
      <alignment horizontal="right" wrapText="1"/>
    </xf>
    <xf numFmtId="0" fontId="7" fillId="31" borderId="1" xfId="0" applyFont="1" applyFill="1" applyBorder="1" applyAlignment="1">
      <alignment horizontal="right" wrapText="1"/>
    </xf>
    <xf numFmtId="0" fontId="7" fillId="32" borderId="1" xfId="0" applyFont="1" applyFill="1" applyBorder="1" applyAlignment="1">
      <alignment horizontal="right" wrapText="1"/>
    </xf>
    <xf numFmtId="0" fontId="7" fillId="33" borderId="1" xfId="0" applyFont="1" applyFill="1" applyBorder="1" applyAlignment="1">
      <alignment horizontal="right" wrapText="1"/>
    </xf>
    <xf numFmtId="0" fontId="7" fillId="34" borderId="1" xfId="0" applyFont="1" applyFill="1" applyBorder="1" applyAlignment="1">
      <alignment horizontal="right" wrapText="1"/>
    </xf>
    <xf numFmtId="0" fontId="7" fillId="35" borderId="1" xfId="0" applyFont="1" applyFill="1" applyBorder="1" applyAlignment="1">
      <alignment horizontal="right" wrapText="1"/>
    </xf>
    <xf numFmtId="0" fontId="7" fillId="36" borderId="1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right" wrapText="1"/>
    </xf>
    <xf numFmtId="0" fontId="7" fillId="37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7" fillId="38" borderId="1" xfId="0" applyFont="1" applyFill="1" applyBorder="1" applyAlignment="1">
      <alignment horizontal="right" wrapText="1"/>
    </xf>
    <xf numFmtId="0" fontId="7" fillId="39" borderId="1" xfId="0" applyFont="1" applyFill="1" applyBorder="1" applyAlignment="1">
      <alignment horizontal="right" wrapText="1"/>
    </xf>
    <xf numFmtId="0" fontId="7" fillId="40" borderId="1" xfId="0" applyFont="1" applyFill="1" applyBorder="1" applyAlignment="1">
      <alignment horizontal="right" wrapText="1"/>
    </xf>
    <xf numFmtId="0" fontId="7" fillId="41" borderId="1" xfId="0" applyFont="1" applyFill="1" applyBorder="1" applyAlignment="1">
      <alignment horizontal="right" wrapText="1"/>
    </xf>
    <xf numFmtId="0" fontId="7" fillId="42" borderId="1" xfId="0" applyFont="1" applyFill="1" applyBorder="1" applyAlignment="1">
      <alignment horizontal="right" wrapText="1"/>
    </xf>
    <xf numFmtId="0" fontId="7" fillId="43" borderId="1" xfId="0" applyFont="1" applyFill="1" applyBorder="1" applyAlignment="1">
      <alignment horizontal="right" wrapText="1"/>
    </xf>
    <xf numFmtId="0" fontId="7" fillId="44" borderId="1" xfId="0" applyFont="1" applyFill="1" applyBorder="1" applyAlignment="1">
      <alignment horizontal="right" wrapText="1"/>
    </xf>
    <xf numFmtId="0" fontId="7" fillId="45" borderId="1" xfId="0" applyFont="1" applyFill="1" applyBorder="1" applyAlignment="1">
      <alignment horizontal="right" wrapText="1"/>
    </xf>
    <xf numFmtId="0" fontId="7" fillId="46" borderId="1" xfId="0" applyFont="1" applyFill="1" applyBorder="1" applyAlignment="1">
      <alignment horizontal="right" wrapText="1"/>
    </xf>
    <xf numFmtId="0" fontId="7" fillId="47" borderId="1" xfId="0" applyFont="1" applyFill="1" applyBorder="1" applyAlignment="1">
      <alignment horizontal="right" wrapText="1"/>
    </xf>
    <xf numFmtId="0" fontId="7" fillId="48" borderId="1" xfId="0" applyFont="1" applyFill="1" applyBorder="1" applyAlignment="1">
      <alignment horizontal="right" wrapText="1"/>
    </xf>
    <xf numFmtId="0" fontId="7" fillId="49" borderId="1" xfId="0" applyFont="1" applyFill="1" applyBorder="1" applyAlignment="1">
      <alignment horizontal="right" wrapText="1"/>
    </xf>
    <xf numFmtId="0" fontId="7" fillId="50" borderId="1" xfId="0" applyFont="1" applyFill="1" applyBorder="1" applyAlignment="1">
      <alignment horizontal="right" wrapText="1"/>
    </xf>
    <xf numFmtId="0" fontId="7" fillId="51" borderId="1" xfId="0" applyFont="1" applyFill="1" applyBorder="1" applyAlignment="1">
      <alignment horizontal="right" wrapText="1"/>
    </xf>
    <xf numFmtId="0" fontId="7" fillId="52" borderId="1" xfId="0" applyFont="1" applyFill="1" applyBorder="1" applyAlignment="1">
      <alignment horizontal="right" wrapText="1"/>
    </xf>
    <xf numFmtId="0" fontId="7" fillId="53" borderId="1" xfId="0" applyFont="1" applyFill="1" applyBorder="1" applyAlignment="1">
      <alignment horizontal="right" wrapText="1"/>
    </xf>
    <xf numFmtId="0" fontId="7" fillId="54" borderId="1" xfId="0" applyFont="1" applyFill="1" applyBorder="1" applyAlignment="1">
      <alignment horizontal="right" wrapText="1"/>
    </xf>
    <xf numFmtId="0" fontId="7" fillId="55" borderId="1" xfId="0" applyFont="1" applyFill="1" applyBorder="1" applyAlignment="1">
      <alignment horizontal="right" wrapText="1"/>
    </xf>
    <xf numFmtId="0" fontId="7" fillId="56" borderId="1" xfId="0" applyFont="1" applyFill="1" applyBorder="1" applyAlignment="1">
      <alignment horizontal="right" wrapText="1"/>
    </xf>
    <xf numFmtId="0" fontId="7" fillId="57" borderId="1" xfId="0" applyFont="1" applyFill="1" applyBorder="1" applyAlignment="1">
      <alignment horizontal="right" wrapText="1"/>
    </xf>
    <xf numFmtId="0" fontId="7" fillId="58" borderId="1" xfId="0" applyFont="1" applyFill="1" applyBorder="1" applyAlignment="1">
      <alignment horizontal="right" wrapText="1"/>
    </xf>
    <xf numFmtId="0" fontId="7" fillId="59" borderId="1" xfId="0" applyFont="1" applyFill="1" applyBorder="1" applyAlignment="1">
      <alignment horizontal="right" wrapText="1"/>
    </xf>
    <xf numFmtId="0" fontId="7" fillId="60" borderId="1" xfId="0" applyFont="1" applyFill="1" applyBorder="1" applyAlignment="1">
      <alignment horizontal="right" wrapText="1"/>
    </xf>
    <xf numFmtId="0" fontId="7" fillId="61" borderId="1" xfId="0" applyFont="1" applyFill="1" applyBorder="1" applyAlignment="1">
      <alignment horizontal="right" wrapText="1"/>
    </xf>
    <xf numFmtId="0" fontId="7" fillId="62" borderId="1" xfId="0" applyFont="1" applyFill="1" applyBorder="1" applyAlignment="1">
      <alignment horizontal="right" wrapText="1"/>
    </xf>
    <xf numFmtId="0" fontId="7" fillId="63" borderId="1" xfId="0" applyFont="1" applyFill="1" applyBorder="1" applyAlignment="1">
      <alignment horizontal="right" wrapText="1"/>
    </xf>
    <xf numFmtId="0" fontId="7" fillId="64" borderId="1" xfId="0" applyFont="1" applyFill="1" applyBorder="1" applyAlignment="1">
      <alignment horizontal="right" wrapText="1"/>
    </xf>
    <xf numFmtId="0" fontId="7" fillId="65" borderId="1" xfId="0" applyFont="1" applyFill="1" applyBorder="1" applyAlignment="1">
      <alignment horizontal="right" wrapText="1"/>
    </xf>
    <xf numFmtId="0" fontId="7" fillId="66" borderId="1" xfId="0" applyFont="1" applyFill="1" applyBorder="1" applyAlignment="1">
      <alignment horizontal="right" wrapText="1"/>
    </xf>
    <xf numFmtId="0" fontId="7" fillId="67" borderId="1" xfId="0" applyFont="1" applyFill="1" applyBorder="1" applyAlignment="1">
      <alignment horizontal="right" wrapText="1"/>
    </xf>
    <xf numFmtId="0" fontId="7" fillId="68" borderId="1" xfId="0" applyFont="1" applyFill="1" applyBorder="1" applyAlignment="1">
      <alignment horizontal="right" wrapText="1"/>
    </xf>
    <xf numFmtId="0" fontId="7" fillId="69" borderId="1" xfId="0" applyFont="1" applyFill="1" applyBorder="1" applyAlignment="1">
      <alignment horizontal="right" wrapText="1"/>
    </xf>
    <xf numFmtId="0" fontId="7" fillId="70" borderId="1" xfId="0" applyFont="1" applyFill="1" applyBorder="1" applyAlignment="1">
      <alignment horizontal="right" wrapText="1"/>
    </xf>
    <xf numFmtId="0" fontId="7" fillId="71" borderId="1" xfId="0" applyFont="1" applyFill="1" applyBorder="1" applyAlignment="1">
      <alignment horizontal="right" wrapText="1"/>
    </xf>
    <xf numFmtId="0" fontId="7" fillId="72" borderId="1" xfId="0" applyFont="1" applyFill="1" applyBorder="1" applyAlignment="1">
      <alignment horizontal="right" wrapText="1"/>
    </xf>
    <xf numFmtId="0" fontId="7" fillId="73" borderId="1" xfId="0" applyFont="1" applyFill="1" applyBorder="1" applyAlignment="1">
      <alignment horizontal="right" wrapText="1"/>
    </xf>
    <xf numFmtId="0" fontId="7" fillId="74" borderId="1" xfId="0" applyFont="1" applyFill="1" applyBorder="1" applyAlignment="1">
      <alignment horizontal="right" wrapText="1"/>
    </xf>
    <xf numFmtId="0" fontId="7" fillId="75" borderId="1" xfId="0" applyFont="1" applyFill="1" applyBorder="1" applyAlignment="1">
      <alignment horizontal="right" wrapText="1"/>
    </xf>
    <xf numFmtId="0" fontId="7" fillId="76" borderId="1" xfId="0" applyFont="1" applyFill="1" applyBorder="1" applyAlignment="1">
      <alignment horizontal="right" wrapText="1"/>
    </xf>
    <xf numFmtId="0" fontId="7" fillId="77" borderId="1" xfId="0" applyFont="1" applyFill="1" applyBorder="1" applyAlignment="1">
      <alignment horizontal="right" wrapText="1"/>
    </xf>
    <xf numFmtId="0" fontId="7" fillId="78" borderId="1" xfId="0" applyFont="1" applyFill="1" applyBorder="1" applyAlignment="1">
      <alignment horizontal="right" wrapText="1"/>
    </xf>
    <xf numFmtId="0" fontId="7" fillId="79" borderId="1" xfId="0" applyFont="1" applyFill="1" applyBorder="1" applyAlignment="1">
      <alignment horizontal="right" wrapText="1"/>
    </xf>
    <xf numFmtId="0" fontId="7" fillId="80" borderId="1" xfId="0" applyFont="1" applyFill="1" applyBorder="1" applyAlignment="1">
      <alignment horizontal="right" wrapText="1"/>
    </xf>
    <xf numFmtId="0" fontId="7" fillId="81" borderId="1" xfId="0" applyFont="1" applyFill="1" applyBorder="1" applyAlignment="1">
      <alignment horizontal="right" wrapText="1"/>
    </xf>
    <xf numFmtId="0" fontId="7" fillId="82" borderId="1" xfId="0" applyFont="1" applyFill="1" applyBorder="1" applyAlignment="1">
      <alignment horizontal="right" wrapText="1"/>
    </xf>
    <xf numFmtId="0" fontId="7" fillId="83" borderId="1" xfId="0" applyFont="1" applyFill="1" applyBorder="1" applyAlignment="1">
      <alignment horizontal="right" wrapText="1"/>
    </xf>
    <xf numFmtId="0" fontId="7" fillId="84" borderId="1" xfId="0" applyFont="1" applyFill="1" applyBorder="1" applyAlignment="1">
      <alignment horizontal="right" wrapText="1"/>
    </xf>
    <xf numFmtId="0" fontId="7" fillId="85" borderId="1" xfId="0" applyFont="1" applyFill="1" applyBorder="1" applyAlignment="1">
      <alignment horizontal="right" wrapText="1"/>
    </xf>
    <xf numFmtId="0" fontId="7" fillId="86" borderId="1" xfId="0" applyFont="1" applyFill="1" applyBorder="1" applyAlignment="1">
      <alignment horizontal="right" wrapText="1"/>
    </xf>
    <xf numFmtId="0" fontId="7" fillId="87" borderId="1" xfId="0" applyFont="1" applyFill="1" applyBorder="1" applyAlignment="1">
      <alignment horizontal="right" wrapText="1"/>
    </xf>
    <xf numFmtId="0" fontId="7" fillId="88" borderId="1" xfId="0" applyFont="1" applyFill="1" applyBorder="1" applyAlignment="1">
      <alignment horizontal="right" wrapText="1"/>
    </xf>
    <xf numFmtId="0" fontId="7" fillId="89" borderId="1" xfId="0" applyFont="1" applyFill="1" applyBorder="1" applyAlignment="1">
      <alignment horizontal="right" wrapText="1"/>
    </xf>
    <xf numFmtId="0" fontId="7" fillId="90" borderId="1" xfId="0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7" fillId="91" borderId="1" xfId="0" applyFont="1" applyFill="1" applyBorder="1" applyAlignment="1">
      <alignment horizontal="right" wrapText="1"/>
    </xf>
    <xf numFmtId="0" fontId="7" fillId="92" borderId="1" xfId="0" applyFont="1" applyFill="1" applyBorder="1" applyAlignment="1">
      <alignment horizontal="right" wrapText="1"/>
    </xf>
    <xf numFmtId="0" fontId="7" fillId="93" borderId="1" xfId="0" applyFont="1" applyFill="1" applyBorder="1" applyAlignment="1">
      <alignment horizontal="right" wrapText="1"/>
    </xf>
    <xf numFmtId="0" fontId="7" fillId="94" borderId="1" xfId="0" applyFont="1" applyFill="1" applyBorder="1" applyAlignment="1">
      <alignment horizontal="right" wrapText="1"/>
    </xf>
    <xf numFmtId="0" fontId="11" fillId="0" borderId="2" xfId="0" applyFont="1" applyBorder="1" applyAlignment="1">
      <alignment wrapText="1"/>
    </xf>
    <xf numFmtId="0" fontId="11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2" fillId="4" borderId="1" xfId="0" applyFont="1" applyFill="1" applyBorder="1" applyAlignment="1">
      <alignment horizontal="right" wrapText="1"/>
    </xf>
    <xf numFmtId="0" fontId="12" fillId="5" borderId="1" xfId="0" applyFont="1" applyFill="1" applyBorder="1" applyAlignment="1">
      <alignment horizontal="right" wrapText="1"/>
    </xf>
    <xf numFmtId="0" fontId="7" fillId="95" borderId="1" xfId="0" applyFont="1" applyFill="1" applyBorder="1" applyAlignment="1">
      <alignment horizontal="right" wrapText="1"/>
    </xf>
    <xf numFmtId="0" fontId="7" fillId="96" borderId="1" xfId="0" applyFont="1" applyFill="1" applyBorder="1" applyAlignment="1">
      <alignment horizontal="right" wrapText="1"/>
    </xf>
    <xf numFmtId="0" fontId="7" fillId="97" borderId="1" xfId="0" applyFont="1" applyFill="1" applyBorder="1" applyAlignment="1">
      <alignment horizontal="right" wrapText="1"/>
    </xf>
    <xf numFmtId="0" fontId="7" fillId="98" borderId="1" xfId="0" applyFont="1" applyFill="1" applyBorder="1" applyAlignment="1">
      <alignment horizontal="right" wrapText="1"/>
    </xf>
    <xf numFmtId="0" fontId="7" fillId="99" borderId="1" xfId="0" applyFont="1" applyFill="1" applyBorder="1" applyAlignment="1">
      <alignment horizontal="right" wrapText="1"/>
    </xf>
    <xf numFmtId="0" fontId="7" fillId="100" borderId="1" xfId="0" applyFont="1" applyFill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/>
    </xf>
    <xf numFmtId="0" fontId="0" fillId="0" borderId="0" xfId="0" applyBorder="1"/>
    <xf numFmtId="0" fontId="0" fillId="0" borderId="4" xfId="0" applyBorder="1"/>
    <xf numFmtId="1" fontId="0" fillId="0" borderId="4" xfId="0" applyNumberFormat="1" applyBorder="1"/>
    <xf numFmtId="1" fontId="0" fillId="0" borderId="0" xfId="0" applyNumberFormat="1" applyBorder="1"/>
    <xf numFmtId="1" fontId="0" fillId="102" borderId="6" xfId="0" applyNumberFormat="1" applyFill="1" applyBorder="1"/>
    <xf numFmtId="0" fontId="0" fillId="0" borderId="6" xfId="0" applyFill="1" applyBorder="1"/>
    <xf numFmtId="1" fontId="0" fillId="0" borderId="6" xfId="0" applyNumberFormat="1" applyFill="1" applyBorder="1"/>
    <xf numFmtId="2" fontId="0" fillId="0" borderId="4" xfId="0" applyNumberFormat="1" applyFill="1" applyBorder="1"/>
    <xf numFmtId="0" fontId="0" fillId="0" borderId="0" xfId="0" applyFill="1"/>
    <xf numFmtId="1" fontId="0" fillId="103" borderId="4" xfId="0" applyNumberFormat="1" applyFill="1" applyBorder="1"/>
    <xf numFmtId="0" fontId="2" fillId="101" borderId="5" xfId="0" applyFont="1" applyFill="1" applyBorder="1" applyAlignment="1">
      <alignment horizontal="left" vertical="top" wrapText="1"/>
    </xf>
    <xf numFmtId="1" fontId="0" fillId="0" borderId="4" xfId="0" applyNumberFormat="1" applyFill="1" applyBorder="1"/>
    <xf numFmtId="0" fontId="0" fillId="104" borderId="0" xfId="0" applyFill="1" applyBorder="1"/>
    <xf numFmtId="0" fontId="1" fillId="104" borderId="0" xfId="0" applyFont="1" applyFill="1" applyBorder="1" applyAlignment="1"/>
    <xf numFmtId="1" fontId="0" fillId="104" borderId="0" xfId="0" applyNumberFormat="1" applyFill="1" applyBorder="1"/>
    <xf numFmtId="0" fontId="0" fillId="104" borderId="0" xfId="0" applyFill="1"/>
    <xf numFmtId="1" fontId="0" fillId="104" borderId="0" xfId="0" applyNumberFormat="1" applyFill="1" applyBorder="1" applyAlignment="1">
      <alignment wrapText="1"/>
    </xf>
    <xf numFmtId="1" fontId="0" fillId="104" borderId="0" xfId="0" applyNumberFormat="1" applyFill="1" applyBorder="1" applyAlignment="1">
      <alignment horizontal="center" vertical="center" wrapText="1"/>
    </xf>
    <xf numFmtId="164" fontId="0" fillId="104" borderId="0" xfId="0" applyNumberFormat="1" applyFill="1" applyBorder="1" applyAlignment="1">
      <alignment horizontal="center" vertical="center" wrapText="1"/>
    </xf>
    <xf numFmtId="0" fontId="0" fillId="106" borderId="0" xfId="0" applyFill="1"/>
    <xf numFmtId="0" fontId="0" fillId="104" borderId="0" xfId="0" applyFill="1" applyBorder="1" applyAlignment="1">
      <alignment horizontal="center" vertical="center" wrapText="1"/>
    </xf>
    <xf numFmtId="1" fontId="0" fillId="104" borderId="0" xfId="0" applyNumberFormat="1" applyFill="1" applyBorder="1" applyAlignment="1">
      <alignment horizontal="center" vertical="center"/>
    </xf>
    <xf numFmtId="0" fontId="0" fillId="104" borderId="0" xfId="0" applyFill="1" applyBorder="1" applyAlignment="1">
      <alignment horizontal="center" vertical="center"/>
    </xf>
    <xf numFmtId="0" fontId="0" fillId="103" borderId="4" xfId="0" applyFill="1" applyBorder="1" applyAlignment="1">
      <alignment horizontal="center" wrapText="1"/>
    </xf>
    <xf numFmtId="2" fontId="0" fillId="0" borderId="0" xfId="0" applyNumberFormat="1" applyFill="1"/>
    <xf numFmtId="2" fontId="0" fillId="0" borderId="6" xfId="0" applyNumberFormat="1" applyFill="1" applyBorder="1"/>
    <xf numFmtId="0" fontId="0" fillId="110" borderId="0" xfId="0" applyFill="1"/>
    <xf numFmtId="0" fontId="0" fillId="104" borderId="7" xfId="0" applyFill="1" applyBorder="1" applyAlignment="1">
      <alignment horizontal="left" vertical="center"/>
    </xf>
    <xf numFmtId="1" fontId="0" fillId="104" borderId="7" xfId="0" applyNumberFormat="1" applyFill="1" applyBorder="1" applyAlignment="1">
      <alignment horizontal="left" vertical="center" wrapText="1"/>
    </xf>
    <xf numFmtId="0" fontId="2" fillId="101" borderId="10" xfId="0" applyFont="1" applyFill="1" applyBorder="1" applyAlignment="1">
      <alignment horizontal="left" vertical="top" wrapText="1"/>
    </xf>
    <xf numFmtId="1" fontId="0" fillId="102" borderId="11" xfId="0" applyNumberFormat="1" applyFill="1" applyBorder="1"/>
    <xf numFmtId="1" fontId="0" fillId="103" borderId="9" xfId="0" applyNumberFormat="1" applyFill="1" applyBorder="1"/>
    <xf numFmtId="2" fontId="0" fillId="110" borderId="9" xfId="0" applyNumberFormat="1" applyFill="1" applyBorder="1"/>
    <xf numFmtId="2" fontId="0" fillId="104" borderId="7" xfId="0" applyNumberFormat="1" applyFill="1" applyBorder="1" applyAlignment="1">
      <alignment horizontal="left" vertical="center"/>
    </xf>
    <xf numFmtId="0" fontId="2" fillId="101" borderId="13" xfId="0" applyFont="1" applyFill="1" applyBorder="1" applyAlignment="1">
      <alignment horizontal="left" vertical="top" wrapText="1"/>
    </xf>
    <xf numFmtId="2" fontId="0" fillId="109" borderId="7" xfId="0" applyNumberFormat="1" applyFill="1" applyBorder="1"/>
    <xf numFmtId="0" fontId="0" fillId="109" borderId="7" xfId="0" applyFill="1" applyBorder="1"/>
    <xf numFmtId="0" fontId="2" fillId="101" borderId="15" xfId="0" applyFont="1" applyFill="1" applyBorder="1" applyAlignment="1">
      <alignment horizontal="left" vertical="top" wrapText="1"/>
    </xf>
    <xf numFmtId="1" fontId="0" fillId="102" borderId="8" xfId="0" applyNumberFormat="1" applyFill="1" applyBorder="1"/>
    <xf numFmtId="1" fontId="0" fillId="103" borderId="7" xfId="0" applyNumberFormat="1" applyFill="1" applyBorder="1"/>
    <xf numFmtId="0" fontId="0" fillId="107" borderId="7" xfId="0" applyFill="1" applyBorder="1"/>
    <xf numFmtId="2" fontId="0" fillId="107" borderId="7" xfId="0" applyNumberFormat="1" applyFill="1" applyBorder="1"/>
    <xf numFmtId="2" fontId="0" fillId="106" borderId="7" xfId="0" applyNumberFormat="1" applyFill="1" applyBorder="1"/>
    <xf numFmtId="0" fontId="0" fillId="106" borderId="7" xfId="0" applyFill="1" applyBorder="1"/>
    <xf numFmtId="165" fontId="0" fillId="104" borderId="7" xfId="0" applyNumberFormat="1" applyFill="1" applyBorder="1" applyAlignment="1">
      <alignment horizontal="left" vertical="center"/>
    </xf>
    <xf numFmtId="2" fontId="0" fillId="108" borderId="7" xfId="0" applyNumberFormat="1" applyFill="1" applyBorder="1"/>
    <xf numFmtId="165" fontId="0" fillId="108" borderId="7" xfId="0" applyNumberFormat="1" applyFill="1" applyBorder="1"/>
    <xf numFmtId="2" fontId="0" fillId="105" borderId="7" xfId="0" applyNumberFormat="1" applyFill="1" applyBorder="1"/>
    <xf numFmtId="0" fontId="0" fillId="105" borderId="7" xfId="0" applyFill="1" applyBorder="1"/>
    <xf numFmtId="0" fontId="0" fillId="104" borderId="7" xfId="0" applyFill="1" applyBorder="1"/>
    <xf numFmtId="2" fontId="0" fillId="0" borderId="8" xfId="0" applyNumberFormat="1" applyFill="1" applyBorder="1"/>
    <xf numFmtId="2" fontId="0" fillId="0" borderId="7" xfId="0" applyNumberFormat="1" applyFill="1" applyBorder="1"/>
    <xf numFmtId="0" fontId="0" fillId="0" borderId="7" xfId="0" applyBorder="1"/>
    <xf numFmtId="2" fontId="0" fillId="0" borderId="12" xfId="0" applyNumberFormat="1" applyFill="1" applyBorder="1"/>
    <xf numFmtId="2" fontId="18" fillId="0" borderId="14" xfId="1" applyNumberFormat="1" applyFill="1" applyBorder="1"/>
    <xf numFmtId="2" fontId="0" fillId="0" borderId="9" xfId="0" applyNumberFormat="1" applyFill="1" applyBorder="1"/>
    <xf numFmtId="2" fontId="0" fillId="110" borderId="4" xfId="0" applyNumberFormat="1" applyFill="1" applyBorder="1"/>
    <xf numFmtId="0" fontId="0" fillId="0" borderId="17" xfId="0" applyFill="1" applyBorder="1"/>
    <xf numFmtId="2" fontId="0" fillId="0" borderId="0" xfId="0" applyNumberFormat="1" applyFill="1" applyBorder="1"/>
    <xf numFmtId="0" fontId="0" fillId="111" borderId="0" xfId="0" applyFill="1"/>
    <xf numFmtId="0" fontId="2" fillId="111" borderId="5" xfId="0" applyFont="1" applyFill="1" applyBorder="1" applyAlignment="1">
      <alignment horizontal="left" vertical="top" wrapText="1"/>
    </xf>
    <xf numFmtId="2" fontId="0" fillId="111" borderId="6" xfId="0" applyNumberFormat="1" applyFill="1" applyBorder="1"/>
    <xf numFmtId="2" fontId="0" fillId="111" borderId="4" xfId="0" applyNumberFormat="1" applyFill="1" applyBorder="1"/>
    <xf numFmtId="2" fontId="0" fillId="111" borderId="0" xfId="0" applyNumberFormat="1" applyFill="1"/>
    <xf numFmtId="2" fontId="0" fillId="111" borderId="0" xfId="0" applyNumberFormat="1" applyFill="1" applyBorder="1"/>
    <xf numFmtId="2" fontId="0" fillId="0" borderId="18" xfId="0" applyNumberFormat="1" applyFill="1" applyBorder="1"/>
    <xf numFmtId="1" fontId="0" fillId="104" borderId="0" xfId="0" applyNumberFormat="1" applyFill="1" applyBorder="1" applyAlignment="1">
      <alignment horizontal="center" vertical="center" wrapText="1"/>
    </xf>
    <xf numFmtId="0" fontId="0" fillId="104" borderId="18" xfId="0" applyFill="1" applyBorder="1"/>
    <xf numFmtId="1" fontId="0" fillId="0" borderId="0" xfId="0" applyNumberFormat="1" applyFill="1"/>
    <xf numFmtId="1" fontId="0" fillId="0" borderId="0" xfId="0" applyNumberFormat="1" applyFill="1" applyBorder="1"/>
    <xf numFmtId="49" fontId="0" fillId="102" borderId="6" xfId="0" applyNumberFormat="1" applyFill="1" applyBorder="1"/>
    <xf numFmtId="49" fontId="0" fillId="103" borderId="4" xfId="0" applyNumberFormat="1" applyFill="1" applyBorder="1"/>
    <xf numFmtId="49" fontId="0" fillId="0" borderId="6" xfId="0" applyNumberFormat="1" applyFill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1" fontId="0" fillId="113" borderId="0" xfId="0" applyNumberFormat="1" applyFill="1" applyBorder="1"/>
    <xf numFmtId="1" fontId="0" fillId="113" borderId="0" xfId="0" applyNumberFormat="1" applyFill="1" applyBorder="1" applyAlignment="1">
      <alignment horizontal="center" vertical="center" wrapText="1"/>
    </xf>
    <xf numFmtId="0" fontId="0" fillId="113" borderId="0" xfId="0" applyFill="1" applyBorder="1" applyAlignment="1">
      <alignment horizontal="center" vertical="center"/>
    </xf>
    <xf numFmtId="0" fontId="0" fillId="113" borderId="0" xfId="0" applyFill="1" applyBorder="1" applyAlignment="1">
      <alignment horizontal="center" wrapText="1"/>
    </xf>
    <xf numFmtId="0" fontId="2" fillId="113" borderId="5" xfId="0" applyFont="1" applyFill="1" applyBorder="1" applyAlignment="1">
      <alignment horizontal="left" vertical="top" wrapText="1"/>
    </xf>
    <xf numFmtId="0" fontId="0" fillId="113" borderId="0" xfId="0" applyFill="1" applyBorder="1"/>
    <xf numFmtId="1" fontId="0" fillId="113" borderId="6" xfId="0" applyNumberFormat="1" applyFill="1" applyBorder="1"/>
    <xf numFmtId="1" fontId="0" fillId="113" borderId="4" xfId="0" applyNumberFormat="1" applyFill="1" applyBorder="1"/>
    <xf numFmtId="0" fontId="0" fillId="0" borderId="0" xfId="0" applyFill="1" applyBorder="1"/>
    <xf numFmtId="0" fontId="0" fillId="112" borderId="4" xfId="0" applyFill="1" applyBorder="1" applyAlignment="1">
      <alignment horizontal="center" wrapText="1"/>
    </xf>
    <xf numFmtId="0" fontId="13" fillId="113" borderId="0" xfId="0" applyFont="1" applyFill="1" applyBorder="1" applyAlignment="1">
      <alignment horizontal="center" vertical="center"/>
    </xf>
    <xf numFmtId="0" fontId="13" fillId="112" borderId="0" xfId="0" applyFont="1" applyFill="1" applyBorder="1"/>
    <xf numFmtId="0" fontId="13" fillId="112" borderId="0" xfId="0" applyFont="1" applyFill="1" applyBorder="1" applyAlignment="1">
      <alignment horizontal="center" vertical="center" wrapText="1"/>
    </xf>
    <xf numFmtId="0" fontId="13" fillId="112" borderId="0" xfId="0" applyFont="1" applyFill="1" applyBorder="1" applyAlignment="1">
      <alignment horizontal="center" vertical="center"/>
    </xf>
    <xf numFmtId="0" fontId="19" fillId="112" borderId="5" xfId="0" applyFont="1" applyFill="1" applyBorder="1" applyAlignment="1">
      <alignment horizontal="left" vertical="top" wrapText="1"/>
    </xf>
    <xf numFmtId="1" fontId="13" fillId="112" borderId="6" xfId="0" applyNumberFormat="1" applyFont="1" applyFill="1" applyBorder="1"/>
    <xf numFmtId="1" fontId="13" fillId="112" borderId="4" xfId="0" applyNumberFormat="1" applyFont="1" applyFill="1" applyBorder="1"/>
    <xf numFmtId="0" fontId="13" fillId="112" borderId="6" xfId="0" applyFont="1" applyFill="1" applyBorder="1"/>
    <xf numFmtId="0" fontId="13" fillId="112" borderId="4" xfId="0" applyFont="1" applyFill="1" applyBorder="1"/>
    <xf numFmtId="1" fontId="0" fillId="114" borderId="0" xfId="0" applyNumberFormat="1" applyFill="1" applyBorder="1"/>
    <xf numFmtId="1" fontId="0" fillId="114" borderId="0" xfId="0" applyNumberFormat="1" applyFill="1" applyBorder="1" applyAlignment="1">
      <alignment horizontal="center" vertical="center" wrapText="1"/>
    </xf>
    <xf numFmtId="0" fontId="0" fillId="114" borderId="0" xfId="0" applyFill="1" applyBorder="1" applyAlignment="1">
      <alignment horizontal="center" vertical="center"/>
    </xf>
    <xf numFmtId="0" fontId="0" fillId="114" borderId="0" xfId="0" applyFill="1" applyBorder="1" applyAlignment="1">
      <alignment horizontal="center" wrapText="1"/>
    </xf>
    <xf numFmtId="0" fontId="2" fillId="114" borderId="5" xfId="0" applyFont="1" applyFill="1" applyBorder="1" applyAlignment="1">
      <alignment horizontal="left" vertical="top" wrapText="1"/>
    </xf>
    <xf numFmtId="49" fontId="0" fillId="114" borderId="6" xfId="0" applyNumberFormat="1" applyFill="1" applyBorder="1"/>
    <xf numFmtId="49" fontId="0" fillId="114" borderId="4" xfId="0" applyNumberFormat="1" applyFill="1" applyBorder="1"/>
    <xf numFmtId="49" fontId="0" fillId="114" borderId="0" xfId="0" applyNumberFormat="1" applyFill="1" applyBorder="1"/>
    <xf numFmtId="0" fontId="0" fillId="114" borderId="0" xfId="0" applyFill="1" applyBorder="1"/>
    <xf numFmtId="1" fontId="0" fillId="0" borderId="0" xfId="0" applyNumberFormat="1"/>
    <xf numFmtId="1" fontId="0" fillId="111" borderId="6" xfId="0" applyNumberFormat="1" applyFill="1" applyBorder="1"/>
    <xf numFmtId="1" fontId="0" fillId="111" borderId="4" xfId="0" applyNumberFormat="1" applyFill="1" applyBorder="1"/>
    <xf numFmtId="2" fontId="0" fillId="115" borderId="0" xfId="0" applyNumberFormat="1" applyFill="1"/>
    <xf numFmtId="0" fontId="0" fillId="115" borderId="0" xfId="0" applyFill="1"/>
    <xf numFmtId="0" fontId="0" fillId="115" borderId="16" xfId="0" applyFill="1" applyBorder="1"/>
    <xf numFmtId="0" fontId="0" fillId="115" borderId="18" xfId="0" applyFill="1" applyBorder="1"/>
    <xf numFmtId="0" fontId="17" fillId="115" borderId="5" xfId="0" applyFont="1" applyFill="1" applyBorder="1" applyAlignment="1">
      <alignment horizontal="left" vertical="top" wrapText="1"/>
    </xf>
    <xf numFmtId="0" fontId="2" fillId="115" borderId="5" xfId="0" applyFont="1" applyFill="1" applyBorder="1" applyAlignment="1">
      <alignment horizontal="left" vertical="top" wrapText="1"/>
    </xf>
    <xf numFmtId="1" fontId="0" fillId="115" borderId="6" xfId="0" applyNumberFormat="1" applyFill="1" applyBorder="1"/>
    <xf numFmtId="1" fontId="0" fillId="115" borderId="4" xfId="0" applyNumberFormat="1" applyFill="1" applyBorder="1"/>
    <xf numFmtId="2" fontId="0" fillId="115" borderId="4" xfId="0" applyNumberFormat="1" applyFill="1" applyBorder="1"/>
    <xf numFmtId="1" fontId="0" fillId="115" borderId="0" xfId="0" applyNumberFormat="1" applyFill="1"/>
    <xf numFmtId="0" fontId="20" fillId="114" borderId="0" xfId="0" applyFont="1" applyFill="1" applyBorder="1" applyAlignment="1">
      <alignment horizontal="center" vertical="center"/>
    </xf>
    <xf numFmtId="1" fontId="0" fillId="0" borderId="19" xfId="0" applyNumberFormat="1" applyBorder="1"/>
    <xf numFmtId="1" fontId="0" fillId="0" borderId="17" xfId="0" applyNumberFormat="1" applyFill="1" applyBorder="1"/>
    <xf numFmtId="1" fontId="0" fillId="111" borderId="17" xfId="0" applyNumberFormat="1" applyFill="1" applyBorder="1"/>
    <xf numFmtId="0" fontId="13" fillId="111" borderId="0" xfId="0" applyFont="1" applyFill="1"/>
    <xf numFmtId="0" fontId="0" fillId="116" borderId="0" xfId="0" applyFill="1"/>
    <xf numFmtId="0" fontId="13" fillId="116" borderId="0" xfId="0" applyFont="1" applyFill="1"/>
    <xf numFmtId="0" fontId="2" fillId="116" borderId="5" xfId="0" applyFont="1" applyFill="1" applyBorder="1" applyAlignment="1">
      <alignment horizontal="left" vertical="top" wrapText="1"/>
    </xf>
    <xf numFmtId="1" fontId="0" fillId="116" borderId="6" xfId="0" applyNumberFormat="1" applyFill="1" applyBorder="1"/>
    <xf numFmtId="1" fontId="0" fillId="116" borderId="4" xfId="0" applyNumberFormat="1" applyFill="1" applyBorder="1"/>
    <xf numFmtId="2" fontId="13" fillId="115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1" fontId="0" fillId="104" borderId="0" xfId="0" applyNumberForma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60"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theme="5" tint="-0.249977111117893"/>
        </patternFill>
      </fill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C000"/>
        </patternFill>
      </fill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theme="4" tint="0.39997558519241921"/>
        </patternFill>
      </fill>
      <border outline="0">
        <right style="thin">
          <color indexed="64"/>
        </right>
      </border>
    </dxf>
    <dxf>
      <numFmt numFmtId="2" formatCode="0.00"/>
      <fill>
        <patternFill patternType="none">
          <fgColor indexed="64"/>
          <bgColor theme="5" tint="0.39997558519241921"/>
        </patternFill>
      </fill>
    </dxf>
    <dxf>
      <numFmt numFmtId="2" formatCode="0.00"/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5" tint="0.79998168889431442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2" formatCode="0.00"/>
      <fill>
        <patternFill patternType="solid">
          <fgColor indexed="64"/>
          <bgColor rgb="FFFFC000"/>
        </patternFill>
      </fill>
    </dxf>
    <dxf>
      <numFmt numFmtId="30" formatCode="@"/>
      <fill>
        <patternFill>
          <fgColor indexed="64"/>
          <bgColor rgb="FF7030A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fill>
        <patternFill>
          <fgColor indexed="64"/>
          <bgColor rgb="FF0070C0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font>
        <b/>
      </font>
      <fill>
        <patternFill>
          <fgColor indexed="64"/>
          <bgColor rgb="FF00B050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theme="1"/>
        </patternFill>
      </fill>
      <alignment horizontal="left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Units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HP" form="unqualified"/>
                  <xsd:element minOccurs="0" nillable="true" type="xsd:integer" name="Attack" form="unqualified"/>
                  <xsd:element minOccurs="0" nillable="true" type="xsd:integer" name="Defense" form="unqualified"/>
                  <xsd:element minOccurs="0" nillable="true" type="xsd:integer" name="Initiative" form="unqualified"/>
                  <xsd:element minOccurs="0" nillable="true" type="xsd:integer" name="Speed" form="unqualified"/>
                  <xsd:element minOccurs="0" nillable="true" type="xsd:integer" name="DamageMinimum" form="unqualified"/>
                  <xsd:element minOccurs="0" nillable="true" type="xsd:integer" name="DamageMaximum" form="unqualified"/>
                  <xsd:element minOccurs="0" nillable="true" name="Skills" form="unqualified">
                    <xsd:complexType>
                      <xsd:sequence minOccurs="0">
                        <xsd:element minOccurs="0" nillable="true" type="xsd:string" name="Skill1" form="unqualified"/>
                        <xsd:element minOccurs="0" nillable="true" type="xsd:string" name="Skill2" form="unqualified"/>
                        <xsd:element minOccurs="0" nillable="true" type="xsd:string" name="Skill3" form="unqualified"/>
                        <xsd:element minOccurs="0" nillable="true" type="xsd:string" name="Skill4" form="unqualified"/>
                      </xsd:sequence>
                    </xsd:complexType>
                  </xsd:element>
                  <xsd:element minOccurs="0" nillable="true" type="xsd:string" name="Sprite" form="unqualified"/>
                  <xsd:element minOccurs="0" nillable="true" type="xsd:integer" name="Cost" form="unqualified"/>
                </xsd:sequence>
              </xsd:complexType>
            </xsd:element>
          </xsd:sequence>
        </xsd:complexType>
      </xsd:element>
    </xsd:schema>
  </Schema>
  <Map ID="10" Name="Units_mapa" RootElement="Units" SchemaID="Schema3" ShowImportExportValidationErrors="false" AutoFit="true" Append="false" PreserveSortAFLayout="true" PreserveFormat="true">
    <DataBinding FileBinding="true" ConnectionID="8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2" name="Tabela2" displayName="Tabela2" ref="A8:AM24" tableType="xml" totalsRowShown="0" headerRowDxfId="41" headerRowBorderDxfId="40" tableBorderDxfId="39" connectionId="8">
  <autoFilter ref="A8:AM24"/>
  <tableColumns count="39">
    <tableColumn id="3" uniqueName="Name" name="Name" dataDxfId="38">
      <xmlColumnPr mapId="10" xpath="/Units/Unit/Name" xmlDataType="string"/>
    </tableColumn>
    <tableColumn id="4" uniqueName="0" name="Fraction" dataDxfId="37"/>
    <tableColumn id="46" uniqueName="46" name="Stat" dataDxfId="36"/>
    <tableColumn id="5" uniqueName="0" name="Level" dataDxfId="35"/>
    <tableColumn id="10" uniqueName="HP" name="Health" dataDxfId="34">
      <xmlColumnPr mapId="10" xpath="/Units/Unit/HP" xmlDataType="integer"/>
    </tableColumn>
    <tableColumn id="6" uniqueName="Attack" name="Attack" dataDxfId="33">
      <xmlColumnPr mapId="10" xpath="/Units/Unit/Attack" xmlDataType="integer"/>
    </tableColumn>
    <tableColumn id="7" uniqueName="Defense" name="Defence" dataDxfId="32">
      <xmlColumnPr mapId="10" xpath="/Units/Unit/Defense" xmlDataType="integer"/>
    </tableColumn>
    <tableColumn id="8" uniqueName="DamageMinimum" name="Damage min" dataDxfId="31">
      <xmlColumnPr mapId="10" xpath="/Units/Unit/DamageMinimum" xmlDataType="integer"/>
    </tableColumn>
    <tableColumn id="9" uniqueName="DamageMaximum" name="Damage max" dataDxfId="30">
      <xmlColumnPr mapId="10" xpath="/Units/Unit/DamageMaximum" xmlDataType="integer"/>
    </tableColumn>
    <tableColumn id="1" uniqueName="Speed" name="S" dataDxfId="29">
      <xmlColumnPr mapId="10" xpath="/Units/Unit/Speed" xmlDataType="integer"/>
    </tableColumn>
    <tableColumn id="2" uniqueName="Initiative" name="I" dataDxfId="28">
      <xmlColumnPr mapId="10" xpath="/Units/Unit/Initiative" xmlDataType="integer"/>
    </tableColumn>
    <tableColumn id="52" uniqueName="Cost" name="Cena" dataDxfId="0">
      <calculatedColumnFormula>INT(Tabela2[[#This Row],[Cena SIM]])</calculatedColumnFormula>
      <xmlColumnPr mapId="10" xpath="/Units/Unit/Cost" xmlDataType="integer"/>
    </tableColumn>
    <tableColumn id="44" uniqueName="44" name="Sk" dataDxfId="27"/>
    <tableColumn id="42" uniqueName="Skill1" name="Skill1" dataDxfId="26">
      <xmlColumnPr mapId="10" xpath="/Units/Unit/Skills/Skill1" xmlDataType="string"/>
    </tableColumn>
    <tableColumn id="40" uniqueName="Skill2" name="Skill2" dataDxfId="25">
      <xmlColumnPr mapId="10" xpath="/Units/Unit/Skills/Skill2" xmlDataType="string"/>
    </tableColumn>
    <tableColumn id="36" uniqueName="Skill3" name="Skill3" dataDxfId="24">
      <xmlColumnPr mapId="10" xpath="/Units/Unit/Skills/Skill3" xmlDataType="string"/>
    </tableColumn>
    <tableColumn id="34" uniqueName="Skill4" name="Skill4" dataDxfId="23">
      <xmlColumnPr mapId="10" xpath="/Units/Unit/Skills/Skill4" xmlDataType="string"/>
    </tableColumn>
    <tableColumn id="48" uniqueName="48" name="Wsk" dataDxfId="22"/>
    <tableColumn id="29" uniqueName="0" name="ZBALANSOWANA ILOSC" dataDxfId="21">
      <calculatedColumnFormula>AF9*Tabela2[[#This Row],[Odchyłka]]</calculatedColumnFormula>
    </tableColumn>
    <tableColumn id="27" uniqueName="0" name="Toughnessness" dataDxfId="20">
      <calculatedColumnFormula>Tabela2[[#This Row],[VWD]]/Tabela2[[#This Row],[VWO]]</calculatedColumnFormula>
    </tableColumn>
    <tableColumn id="17" uniqueName="0" name="VWO" dataDxfId="19">
      <calculatedColumnFormula>AVERAGE((Tabela2[[#This Row],[Damage max]],Tabela2[[#This Row],[Damage min]]))*(1+(Tabela2[[#This Row],[Attack]]-$G$10)*IF(Tabela2[[#This Row],[Attack]]-$G$10 = 0, 1, IF(Tabela2[[#This Row],[Attack]]-$G$10 &gt; 0, $G$4,-$J$4)))/$E$10</calculatedColumnFormula>
    </tableColumn>
    <tableColumn id="28" uniqueName="0" name="VWO_R" dataDxfId="18">
      <calculatedColumnFormula>MAX(Tabela2[VWO])/Tabela2[[#This Row],[VWO]]</calculatedColumnFormula>
    </tableColumn>
    <tableColumn id="18" uniqueName="0" name="VWD" dataDxfId="17">
      <calculatedColumnFormula>Tabela2[[#This Row],[Health]]/(AVERAGE($H$10,$I$10)*(1+($F$10-Tabela2[[#This Row],[Defence]])*IF($F$10-Tabela2[[#This Row],[Defence]] = 0, 1, IF($F$10-Tabela2[[#This Row],[Defence]] &gt; 0, $G$4,$J$4))))</calculatedColumnFormula>
    </tableColumn>
    <tableColumn id="14" uniqueName="0" name="VWD_R" dataDxfId="16">
      <calculatedColumnFormula>MAX(Tabela2[VWD])/Tabela2[[#This Row],[VWD]]</calculatedColumnFormula>
    </tableColumn>
    <tableColumn id="15" uniqueName="0" name="V_Off" dataDxfId="15">
      <calculatedColumnFormula>Tabela2[[#This Row],[VWO]]*Tabela2[[#This Row],[VWD_R]]</calculatedColumnFormula>
    </tableColumn>
    <tableColumn id="16" uniqueName="0" name="V_Def" dataDxfId="14">
      <calculatedColumnFormula>Tabela2[[#This Row],[VWO_R]]*Tabela2[[#This Row],[VWD]]</calculatedColumnFormula>
    </tableColumn>
    <tableColumn id="33" uniqueName="0" name="!ŚREDNIA" dataDxfId="13">
      <calculatedColumnFormula>(Tabela2[[#This Row],[V_Def]]+Tabela2[[#This Row],[V_Off]])/2</calculatedColumnFormula>
    </tableColumn>
    <tableColumn id="35" uniqueName="0" name="Odchyłka" dataDxfId="12">
      <calculatedColumnFormula>472.09/Tabela2[[#This Row],[!ŚREDNIA]]</calculatedColumnFormula>
    </tableColumn>
    <tableColumn id="38" uniqueName="0" name="Suma VW" dataDxfId="11">
      <calculatedColumnFormula>Tabela2[[#This Row],[VWO]]+Tabela2[[#This Row],[VWD]]</calculatedColumnFormula>
    </tableColumn>
    <tableColumn id="39" uniqueName="0" name="Suma*Odchyłka" dataDxfId="10">
      <calculatedColumnFormula>Tabela2[[#This Row],[Suma VW]]*Tabela2[[#This Row],[Odchyłka]]</calculatedColumnFormula>
    </tableColumn>
    <tableColumn id="37" uniqueName="0" name="V/HP" dataDxfId="9">
      <calculatedColumnFormula>Tabela2[[#This Row],[Suma*Odchyłka]]/2*1.17</calculatedColumnFormula>
    </tableColumn>
    <tableColumn id="70" uniqueName="70" name="Kolumna1" dataDxfId="8">
      <calculatedColumnFormula>15000/Tabela2[[#This Row],[V/HP]]/27.17</calculatedColumnFormula>
    </tableColumn>
    <tableColumn id="11" uniqueName="0" name="SIM" dataDxfId="7"/>
    <tableColumn id="13" uniqueName="0" name="FixedAmountAfterSearching" dataDxfId="6"/>
    <tableColumn id="31" uniqueName="0" name="AMT " dataDxfId="5">
      <calculatedColumnFormula>Tabela2[[#This Row],[FixedAmountAfterSearching]]/136</calculatedColumnFormula>
    </tableColumn>
    <tableColumn id="53" uniqueName="53" name="Cena SIM" dataDxfId="4">
      <calculatedColumnFormula>1000/Tabela2[[#This Row],[AMT ]]</calculatedColumnFormula>
    </tableColumn>
    <tableColumn id="54" uniqueName="54" name="Ilość" dataDxfId="3">
      <calculatedColumnFormula>$AK$7/Tabela2[[#This Row],[Cena SIM]]</calculatedColumnFormula>
    </tableColumn>
    <tableColumn id="72" uniqueName="72" name="Data" dataDxfId="2"/>
    <tableColumn id="73" uniqueName="Sprite" name="Sprite" dataDxfId="1">
      <xmlColumnPr mapId="10" xpath="/Units/Unit/Sprite" xmlDataType="string"/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7"/>
  <sheetViews>
    <sheetView tabSelected="1" zoomScale="120" zoomScaleNormal="120" workbookViewId="0">
      <pane xSplit="1" ySplit="10" topLeftCell="AJ11" activePane="bottomRight" state="frozen"/>
      <selection pane="topRight" activeCell="B1" sqref="B1"/>
      <selection pane="bottomLeft" activeCell="A11" sqref="A11"/>
      <selection pane="bottomRight" activeCell="AM22" sqref="AM22"/>
    </sheetView>
  </sheetViews>
  <sheetFormatPr defaultRowHeight="15" x14ac:dyDescent="0.25"/>
  <cols>
    <col min="1" max="1" width="12.7109375" style="130" customWidth="1"/>
    <col min="2" max="2" width="10.42578125" style="140" customWidth="1"/>
    <col min="3" max="3" width="10.42578125" style="223" customWidth="1"/>
    <col min="4" max="6" width="7" style="130" customWidth="1"/>
    <col min="7" max="11" width="7" style="131" customWidth="1"/>
    <col min="12" max="12" width="7" style="132" customWidth="1"/>
    <col min="13" max="13" width="10.140625" style="205" customWidth="1"/>
    <col min="14" max="17" width="10.42578125" style="132" customWidth="1"/>
    <col min="18" max="18" width="9.42578125" style="224" customWidth="1"/>
    <col min="19" max="19" width="14.85546875" style="155" hidden="1" customWidth="1"/>
    <col min="20" max="20" width="14.85546875" style="165" hidden="1" customWidth="1"/>
    <col min="21" max="21" width="14.85546875" style="169" hidden="1" customWidth="1"/>
    <col min="22" max="22" width="14.85546875" style="172" hidden="1" customWidth="1"/>
    <col min="23" max="23" width="14.85546875" style="175" hidden="1" customWidth="1"/>
    <col min="24" max="24" width="14.85546875" style="177" hidden="1" customWidth="1"/>
    <col min="25" max="25" width="14.85546875" style="129" hidden="1" customWidth="1"/>
    <col min="26" max="32" width="14.85546875" style="181" hidden="1" customWidth="1"/>
    <col min="33" max="33" width="9.5703125" style="188" customWidth="1"/>
    <col min="34" max="34" width="9.42578125" style="137" customWidth="1"/>
    <col min="35" max="37" width="9.140625" customWidth="1"/>
    <col min="38" max="38" width="7.28515625" style="251" customWidth="1"/>
    <col min="39" max="39" width="8.5703125" customWidth="1"/>
    <col min="40" max="40" width="13.28515625" style="236" bestFit="1" customWidth="1"/>
    <col min="41" max="41" width="14" style="236" hidden="1" customWidth="1"/>
    <col min="42" max="47" width="3.7109375" style="236" hidden="1" customWidth="1"/>
    <col min="48" max="48" width="3.28515625" style="236" hidden="1" customWidth="1"/>
    <col min="49" max="49" width="9.140625" style="237" hidden="1" customWidth="1"/>
    <col min="50" max="50" width="12.42578125" style="237" hidden="1" customWidth="1"/>
    <col min="51" max="51" width="39" style="237" hidden="1" customWidth="1"/>
    <col min="52" max="52" width="27.85546875" style="237" hidden="1" customWidth="1"/>
    <col min="53" max="53" width="11" style="237" hidden="1" customWidth="1"/>
  </cols>
  <sheetData>
    <row r="1" spans="1:53" s="144" customFormat="1" ht="17.25" x14ac:dyDescent="0.3">
      <c r="A1" s="141"/>
      <c r="B1" s="140"/>
      <c r="C1" s="216"/>
      <c r="D1" s="142" t="s">
        <v>0</v>
      </c>
      <c r="E1" s="142"/>
      <c r="F1" s="145"/>
      <c r="G1" s="145"/>
      <c r="H1" s="145"/>
      <c r="I1" s="145"/>
      <c r="J1" s="143"/>
      <c r="K1" s="143"/>
      <c r="L1" s="143"/>
      <c r="M1" s="205"/>
      <c r="N1" s="143"/>
      <c r="O1" s="143"/>
      <c r="P1" s="143"/>
      <c r="Q1" s="143"/>
      <c r="R1" s="224"/>
      <c r="U1" s="156" t="s">
        <v>225</v>
      </c>
      <c r="V1" s="156"/>
      <c r="W1" s="156"/>
      <c r="X1" s="156"/>
      <c r="Y1" s="173"/>
      <c r="Z1" s="156"/>
      <c r="AA1" s="178" t="s">
        <v>231</v>
      </c>
      <c r="AB1" s="178"/>
      <c r="AC1" s="178"/>
      <c r="AD1" s="178"/>
      <c r="AE1" s="178"/>
      <c r="AF1" s="178"/>
      <c r="AG1" s="188"/>
      <c r="AH1" s="144" t="s">
        <v>265</v>
      </c>
      <c r="AJ1" s="196"/>
      <c r="AK1" s="141"/>
      <c r="AL1" s="251"/>
      <c r="AN1" s="236"/>
      <c r="AO1" s="236"/>
      <c r="AP1" s="236"/>
      <c r="AQ1" s="236"/>
      <c r="AR1" s="236"/>
      <c r="AS1" s="236" t="s">
        <v>196</v>
      </c>
      <c r="AT1" s="236"/>
      <c r="AU1" s="236"/>
      <c r="AV1" s="236"/>
      <c r="AW1" s="237"/>
      <c r="AX1" s="237"/>
      <c r="AY1" s="238" t="s">
        <v>249</v>
      </c>
      <c r="AZ1" s="239"/>
      <c r="BA1" s="239"/>
    </row>
    <row r="2" spans="1:53" s="144" customFormat="1" ht="15" customHeight="1" x14ac:dyDescent="0.25">
      <c r="A2" s="149"/>
      <c r="B2" s="140"/>
      <c r="C2" s="217"/>
      <c r="D2" s="149"/>
      <c r="E2" s="149"/>
      <c r="F2" s="146"/>
      <c r="G2" s="146"/>
      <c r="H2" s="146"/>
      <c r="I2" s="146"/>
      <c r="J2" s="146"/>
      <c r="K2" s="146"/>
      <c r="L2" s="195"/>
      <c r="M2" s="206"/>
      <c r="N2" s="195"/>
      <c r="O2" s="195"/>
      <c r="P2" s="195"/>
      <c r="Q2" s="195"/>
      <c r="R2" s="225"/>
      <c r="T2" s="144" t="s">
        <v>234</v>
      </c>
      <c r="U2" s="156"/>
      <c r="V2" s="162" t="s">
        <v>219</v>
      </c>
      <c r="W2" s="156"/>
      <c r="X2" s="156"/>
      <c r="Y2" s="173"/>
      <c r="Z2" s="156"/>
      <c r="AA2" s="178"/>
      <c r="AB2" s="178" t="s">
        <v>235</v>
      </c>
      <c r="AC2" s="178"/>
      <c r="AD2" s="178"/>
      <c r="AE2" s="178"/>
      <c r="AF2" s="178"/>
      <c r="AG2" s="188"/>
      <c r="AI2" s="144" t="s">
        <v>266</v>
      </c>
      <c r="AJ2" s="196"/>
      <c r="AK2" s="141"/>
      <c r="AL2" s="251"/>
      <c r="AN2" s="236"/>
      <c r="AO2" s="236"/>
      <c r="AP2" s="236"/>
      <c r="AQ2" s="236"/>
      <c r="AR2" s="236"/>
      <c r="AS2" s="236" t="s">
        <v>197</v>
      </c>
      <c r="AT2" s="236"/>
      <c r="AU2" s="236"/>
      <c r="AV2" s="236"/>
      <c r="AW2" s="237"/>
      <c r="AX2" s="237"/>
      <c r="AY2" s="238"/>
      <c r="AZ2" s="239"/>
      <c r="BA2" s="239"/>
    </row>
    <row r="3" spans="1:53" s="144" customFormat="1" ht="15" customHeight="1" x14ac:dyDescent="0.25">
      <c r="A3" s="149"/>
      <c r="B3" s="140"/>
      <c r="C3" s="217"/>
      <c r="D3" s="149"/>
      <c r="E3" s="149"/>
      <c r="F3" s="259" t="s">
        <v>210</v>
      </c>
      <c r="G3" s="259"/>
      <c r="H3" s="259"/>
      <c r="I3" s="259" t="s">
        <v>211</v>
      </c>
      <c r="J3" s="259"/>
      <c r="K3" s="259"/>
      <c r="L3" s="195"/>
      <c r="M3" s="206"/>
      <c r="N3" s="195"/>
      <c r="O3" s="195"/>
      <c r="P3" s="195"/>
      <c r="Q3" s="195"/>
      <c r="R3" s="225"/>
      <c r="U3" s="157"/>
      <c r="V3" s="156"/>
      <c r="W3" s="156" t="s">
        <v>224</v>
      </c>
      <c r="X3" s="156"/>
      <c r="Y3" s="173"/>
      <c r="Z3" s="156"/>
      <c r="AA3" s="178"/>
      <c r="AB3" s="178"/>
      <c r="AC3" s="178" t="s">
        <v>236</v>
      </c>
      <c r="AD3" s="178"/>
      <c r="AE3" s="178"/>
      <c r="AF3" s="178"/>
      <c r="AG3" s="188"/>
      <c r="AJ3" s="196" t="s">
        <v>269</v>
      </c>
      <c r="AK3" s="141"/>
      <c r="AL3" s="251"/>
      <c r="AN3" s="236"/>
      <c r="AO3" s="236"/>
      <c r="AP3" s="236"/>
      <c r="AQ3" s="236"/>
      <c r="AR3" s="236"/>
      <c r="AS3" s="236"/>
      <c r="AT3" s="236"/>
      <c r="AU3" s="236"/>
      <c r="AV3" s="236"/>
      <c r="AW3" s="237"/>
      <c r="AX3" s="237"/>
      <c r="AY3" s="238" t="s">
        <v>250</v>
      </c>
      <c r="AZ3" s="239"/>
      <c r="BA3" s="239"/>
    </row>
    <row r="4" spans="1:53" s="144" customFormat="1" x14ac:dyDescent="0.25">
      <c r="A4" s="149"/>
      <c r="B4" s="140"/>
      <c r="C4" s="217" t="s">
        <v>256</v>
      </c>
      <c r="D4" s="149"/>
      <c r="E4" s="149"/>
      <c r="F4" s="149"/>
      <c r="G4" s="147">
        <v>0.04</v>
      </c>
      <c r="H4" s="150"/>
      <c r="I4" s="151"/>
      <c r="J4" s="151">
        <v>1.4E-2</v>
      </c>
      <c r="K4" s="151"/>
      <c r="L4" s="151"/>
      <c r="M4" s="215" t="s">
        <v>260</v>
      </c>
      <c r="N4" s="151"/>
      <c r="O4" s="151"/>
      <c r="P4" s="151"/>
      <c r="Q4" s="151"/>
      <c r="R4" s="246" t="s">
        <v>257</v>
      </c>
      <c r="U4" s="156"/>
      <c r="V4" s="156"/>
      <c r="W4" s="156"/>
      <c r="X4" s="162" t="s">
        <v>218</v>
      </c>
      <c r="Y4" s="173"/>
      <c r="Z4" s="156"/>
      <c r="AA4" s="178"/>
      <c r="AB4" s="178"/>
      <c r="AC4" s="178"/>
      <c r="AD4" s="178" t="s">
        <v>241</v>
      </c>
      <c r="AE4" s="141"/>
      <c r="AF4" s="141"/>
      <c r="AG4" s="250" t="s">
        <v>264</v>
      </c>
      <c r="AJ4" s="196"/>
      <c r="AK4" s="141" t="s">
        <v>270</v>
      </c>
      <c r="AL4" s="252" t="s">
        <v>274</v>
      </c>
      <c r="AN4" s="256" t="s">
        <v>271</v>
      </c>
      <c r="AO4" s="236"/>
      <c r="AP4" s="236"/>
      <c r="AQ4" s="236"/>
      <c r="AR4" s="236"/>
      <c r="AS4" s="236"/>
      <c r="AT4" s="236"/>
      <c r="AU4" s="236"/>
      <c r="AV4" s="236"/>
      <c r="AW4" s="237"/>
      <c r="AX4" s="237"/>
      <c r="AY4" s="238"/>
      <c r="AZ4" s="239" t="s">
        <v>248</v>
      </c>
      <c r="BA4" s="239"/>
    </row>
    <row r="5" spans="1:53" s="144" customFormat="1" ht="15" customHeight="1" x14ac:dyDescent="0.25">
      <c r="A5" s="151"/>
      <c r="B5" s="140"/>
      <c r="C5" s="218"/>
      <c r="D5" s="151"/>
      <c r="E5" s="151"/>
      <c r="F5" s="151"/>
      <c r="G5" s="151"/>
      <c r="H5" s="151"/>
      <c r="I5" s="151"/>
      <c r="J5" s="151"/>
      <c r="K5" s="151"/>
      <c r="L5" s="151"/>
      <c r="M5" s="207"/>
      <c r="N5" s="151"/>
      <c r="O5" s="151"/>
      <c r="P5" s="151"/>
      <c r="Q5" s="151"/>
      <c r="R5" s="226"/>
      <c r="U5" s="156"/>
      <c r="V5" s="156"/>
      <c r="W5" s="156"/>
      <c r="X5" s="156"/>
      <c r="Y5" s="156" t="s">
        <v>220</v>
      </c>
      <c r="Z5" s="156"/>
      <c r="AA5" s="178"/>
      <c r="AB5" s="178"/>
      <c r="AC5" s="178"/>
      <c r="AD5" s="178"/>
      <c r="AE5" s="178" t="s">
        <v>243</v>
      </c>
      <c r="AF5" s="178"/>
      <c r="AG5" s="188"/>
      <c r="AJ5" s="196"/>
      <c r="AK5" s="141"/>
      <c r="AL5" s="251"/>
      <c r="AN5" s="236"/>
      <c r="AO5" s="236"/>
      <c r="AP5" s="236"/>
      <c r="AQ5" s="236"/>
      <c r="AR5" s="236"/>
      <c r="AS5" s="236"/>
      <c r="AT5" s="236"/>
      <c r="AU5" s="236"/>
      <c r="AV5" s="236"/>
      <c r="AW5" s="237"/>
      <c r="AX5" s="237"/>
      <c r="AY5" s="238"/>
      <c r="AZ5" s="239"/>
      <c r="BA5" s="239"/>
    </row>
    <row r="6" spans="1:53" s="144" customFormat="1" x14ac:dyDescent="0.25">
      <c r="A6" s="151"/>
      <c r="B6" s="140"/>
      <c r="C6" s="218"/>
      <c r="D6" s="151"/>
      <c r="E6" s="151"/>
      <c r="F6" s="151"/>
      <c r="G6" s="151"/>
      <c r="H6" s="151"/>
      <c r="I6" s="151"/>
      <c r="J6" s="151"/>
      <c r="K6" s="151"/>
      <c r="L6" s="151"/>
      <c r="M6" s="207"/>
      <c r="N6" s="151"/>
      <c r="O6" s="151"/>
      <c r="P6" s="151"/>
      <c r="Q6" s="151"/>
      <c r="R6" s="226"/>
      <c r="U6" s="156"/>
      <c r="V6" s="156"/>
      <c r="W6" s="156"/>
      <c r="X6" s="156"/>
      <c r="Y6" s="173"/>
      <c r="Z6" s="156" t="s">
        <v>223</v>
      </c>
      <c r="AA6" s="178"/>
      <c r="AB6" s="178"/>
      <c r="AC6" s="178"/>
      <c r="AD6" s="178"/>
      <c r="AE6" s="178"/>
      <c r="AF6" s="178" t="s">
        <v>272</v>
      </c>
      <c r="AG6" s="188"/>
      <c r="AJ6" s="196"/>
      <c r="AK6" s="141"/>
      <c r="AL6" s="251"/>
      <c r="AN6" s="236"/>
      <c r="AO6" s="236"/>
      <c r="AP6" s="236"/>
      <c r="AQ6" s="236"/>
      <c r="AR6" s="236"/>
      <c r="AS6" s="236"/>
      <c r="AT6" s="236"/>
      <c r="AU6" s="236"/>
      <c r="AV6" s="236"/>
      <c r="AW6" s="237"/>
      <c r="AX6" s="237"/>
      <c r="AY6" s="238"/>
      <c r="AZ6" s="239"/>
      <c r="BA6" s="239" t="s">
        <v>252</v>
      </c>
    </row>
    <row r="7" spans="1:53" s="148" customFormat="1" x14ac:dyDescent="0.25">
      <c r="A7" s="151"/>
      <c r="B7" s="140"/>
      <c r="C7" s="218"/>
      <c r="D7" s="214" t="s">
        <v>212</v>
      </c>
      <c r="E7" s="214">
        <f>MAX(Tabela2[Attack])</f>
        <v>50</v>
      </c>
      <c r="F7" s="214">
        <f>MAX(Tabela2[Defence])</f>
        <v>50</v>
      </c>
      <c r="G7" s="214">
        <f>MAX(Tabela2[Damage min])</f>
        <v>50</v>
      </c>
      <c r="H7" s="214">
        <f>MAX(Tabela2[Damage max])</f>
        <v>50</v>
      </c>
      <c r="I7" s="214">
        <f>MAX(Tabela2[Health])</f>
        <v>172</v>
      </c>
      <c r="J7" s="214">
        <f>MAX(Tabela2[Attack])</f>
        <v>50</v>
      </c>
      <c r="K7" s="214">
        <f>MAX(Tabela2[Defence])</f>
        <v>50</v>
      </c>
      <c r="L7" s="152">
        <f>MAX(Tabela2[Damage min])</f>
        <v>50</v>
      </c>
      <c r="M7" s="208"/>
      <c r="N7" s="208"/>
      <c r="O7" s="208"/>
      <c r="P7" s="208"/>
      <c r="Q7" s="208"/>
      <c r="R7" s="227"/>
      <c r="S7" s="226"/>
      <c r="T7" s="226"/>
      <c r="U7" s="226">
        <f>MAX(Tabela2[VWO])</f>
        <v>148</v>
      </c>
      <c r="V7" s="226">
        <f>MAX(Tabela2[VWD])</f>
        <v>547.77070063694282</v>
      </c>
      <c r="W7" s="226" t="e">
        <f>MAX(#REF!)</f>
        <v>#REF!</v>
      </c>
      <c r="X7" s="226" t="e">
        <f>MAX(#REF!)</f>
        <v>#REF!</v>
      </c>
      <c r="Y7" s="226" t="e">
        <f>MAX(#REF!)</f>
        <v>#REF!</v>
      </c>
      <c r="Z7" s="226" t="e">
        <f>MAX(#REF!)</f>
        <v>#REF!</v>
      </c>
      <c r="AA7" s="226"/>
      <c r="AB7" s="226"/>
      <c r="AC7" s="226"/>
      <c r="AD7" s="226"/>
      <c r="AE7" s="226"/>
      <c r="AF7" s="226"/>
      <c r="AG7" s="188"/>
      <c r="AH7" s="188">
        <v>387</v>
      </c>
      <c r="AI7" s="188"/>
      <c r="AJ7" s="188"/>
      <c r="AK7" s="188">
        <v>10000</v>
      </c>
      <c r="AL7" s="251"/>
      <c r="AN7" s="236"/>
      <c r="AO7" s="236" t="e">
        <f>MAX(#REF!)</f>
        <v>#REF!</v>
      </c>
      <c r="AP7" s="236" t="e">
        <f>MAX(Tabela2[VWO_R])</f>
        <v>#DIV/0!</v>
      </c>
      <c r="AQ7" s="236" t="e">
        <f>MAX(Tabela2[VWD_R])</f>
        <v>#DIV/0!</v>
      </c>
      <c r="AR7" s="236" t="e">
        <f>MAX(Tabela2[V_Off])</f>
        <v>#DIV/0!</v>
      </c>
      <c r="AS7" s="236" t="e">
        <f>MAX(Tabela2[V_Def])</f>
        <v>#DIV/0!</v>
      </c>
      <c r="AT7" s="236"/>
      <c r="AU7" s="236">
        <v>5000</v>
      </c>
      <c r="AV7" s="236"/>
      <c r="AW7" s="237"/>
      <c r="AX7" s="237"/>
      <c r="AY7" s="238">
        <v>136</v>
      </c>
      <c r="AZ7" s="239">
        <v>34550</v>
      </c>
      <c r="BA7" s="237"/>
    </row>
    <row r="8" spans="1:53" s="139" customFormat="1" ht="14.25" customHeight="1" thickBot="1" x14ac:dyDescent="0.3">
      <c r="A8" s="139" t="s">
        <v>1</v>
      </c>
      <c r="B8" s="140" t="s">
        <v>13</v>
      </c>
      <c r="C8" s="219" t="s">
        <v>263</v>
      </c>
      <c r="D8" s="139" t="s">
        <v>3</v>
      </c>
      <c r="E8" s="139" t="s">
        <v>8</v>
      </c>
      <c r="F8" s="139" t="s">
        <v>4</v>
      </c>
      <c r="G8" s="139" t="s">
        <v>14</v>
      </c>
      <c r="H8" s="139" t="s">
        <v>15</v>
      </c>
      <c r="I8" s="139" t="s">
        <v>16</v>
      </c>
      <c r="J8" s="139" t="s">
        <v>18</v>
      </c>
      <c r="K8" s="139" t="s">
        <v>19</v>
      </c>
      <c r="L8" s="139" t="s">
        <v>168</v>
      </c>
      <c r="M8" s="209" t="s">
        <v>259</v>
      </c>
      <c r="N8" s="139" t="s">
        <v>176</v>
      </c>
      <c r="O8" s="139" t="s">
        <v>177</v>
      </c>
      <c r="P8" s="139" t="s">
        <v>178</v>
      </c>
      <c r="Q8" s="139" t="s">
        <v>179</v>
      </c>
      <c r="R8" s="228" t="s">
        <v>258</v>
      </c>
      <c r="S8" s="189" t="s">
        <v>244</v>
      </c>
      <c r="T8" s="139" t="s">
        <v>246</v>
      </c>
      <c r="U8" s="158" t="s">
        <v>237</v>
      </c>
      <c r="V8" s="166" t="s">
        <v>240</v>
      </c>
      <c r="W8" s="166" t="s">
        <v>238</v>
      </c>
      <c r="X8" s="166" t="s">
        <v>239</v>
      </c>
      <c r="Y8" s="166" t="s">
        <v>221</v>
      </c>
      <c r="Z8" s="166" t="s">
        <v>222</v>
      </c>
      <c r="AA8" s="166" t="s">
        <v>230</v>
      </c>
      <c r="AB8" s="166" t="s">
        <v>232</v>
      </c>
      <c r="AC8" s="166" t="s">
        <v>236</v>
      </c>
      <c r="AD8" s="166" t="s">
        <v>242</v>
      </c>
      <c r="AE8" s="163" t="s">
        <v>273</v>
      </c>
      <c r="AF8" s="163" t="s">
        <v>214</v>
      </c>
      <c r="AG8" s="189" t="s">
        <v>262</v>
      </c>
      <c r="AH8" s="139" t="s">
        <v>247</v>
      </c>
      <c r="AI8" s="139" t="s">
        <v>267</v>
      </c>
      <c r="AJ8" s="139" t="s">
        <v>268</v>
      </c>
      <c r="AK8" s="139" t="s">
        <v>254</v>
      </c>
      <c r="AL8" s="253" t="s">
        <v>274</v>
      </c>
      <c r="AM8" s="139" t="s">
        <v>69</v>
      </c>
      <c r="AN8" s="236" t="s">
        <v>261</v>
      </c>
      <c r="AO8" s="236" t="s">
        <v>233</v>
      </c>
      <c r="AP8" s="236" t="s">
        <v>226</v>
      </c>
      <c r="AQ8" s="236" t="s">
        <v>227</v>
      </c>
      <c r="AR8" s="236" t="s">
        <v>209</v>
      </c>
      <c r="AS8" s="236" t="s">
        <v>215</v>
      </c>
      <c r="AT8" s="236" t="s">
        <v>213</v>
      </c>
      <c r="AU8" s="236" t="s">
        <v>216</v>
      </c>
      <c r="AV8" s="236" t="s">
        <v>217</v>
      </c>
      <c r="AW8" s="240" t="s">
        <v>228</v>
      </c>
      <c r="AX8" s="240" t="s">
        <v>229</v>
      </c>
      <c r="AY8" s="241" t="s">
        <v>251</v>
      </c>
      <c r="AZ8" s="241" t="s">
        <v>253</v>
      </c>
      <c r="BA8" s="241" t="s">
        <v>252</v>
      </c>
    </row>
    <row r="9" spans="1:53" s="133" customFormat="1" x14ac:dyDescent="0.25">
      <c r="A9" s="199" t="s">
        <v>245</v>
      </c>
      <c r="B9" s="140" t="s">
        <v>208</v>
      </c>
      <c r="C9" s="220"/>
      <c r="E9" s="133">
        <v>172</v>
      </c>
      <c r="F9" s="133">
        <v>50</v>
      </c>
      <c r="G9" s="133">
        <v>50</v>
      </c>
      <c r="H9" s="133">
        <v>50</v>
      </c>
      <c r="I9" s="133">
        <v>50</v>
      </c>
      <c r="J9" s="133">
        <v>4</v>
      </c>
      <c r="K9" s="133">
        <v>5</v>
      </c>
      <c r="L9" s="133">
        <f>INT(Tabela2[[#This Row],[Cena SIM]])</f>
        <v>1000</v>
      </c>
      <c r="M9" s="211"/>
      <c r="N9" s="199" t="s">
        <v>275</v>
      </c>
      <c r="O9" s="199" t="s">
        <v>276</v>
      </c>
      <c r="P9" s="199" t="s">
        <v>277</v>
      </c>
      <c r="Q9" s="199"/>
      <c r="R9" s="229"/>
      <c r="S9" s="190">
        <f>AF9*Tabela2[[#This Row],[Odchyłka]]</f>
        <v>1.3563745055921186</v>
      </c>
      <c r="T9" s="154">
        <f>Tabela2[[#This Row],[VWD]]/Tabela2[[#This Row],[VWO]]</f>
        <v>3.7011533826820462</v>
      </c>
      <c r="U9" s="159">
        <f>AVERAGE((Tabela2[[#This Row],[Damage max]],Tabela2[[#This Row],[Damage min]]))*(1+(Tabela2[[#This Row],[Attack]]-$G$10)*IF(Tabela2[[#This Row],[Attack]]-$G$10 = 0, 1, IF(Tabela2[[#This Row],[Attack]]-$G$10 &gt; 0, $G$4,-$J$4)))/$E$10</f>
        <v>148</v>
      </c>
      <c r="V9" s="167">
        <f>MAX(Tabela2[VWO])/Tabela2[[#This Row],[VWO]]</f>
        <v>1</v>
      </c>
      <c r="W9" s="167">
        <f>Tabela2[[#This Row],[Health]]/(AVERAGE($H$10,$I$10)*(1+($F$10-Tabela2[[#This Row],[Defence]])*IF($F$10-Tabela2[[#This Row],[Defence]] = 0, 1, IF($F$10-Tabela2[[#This Row],[Defence]] &gt; 0, $G$4,$J$4))))</f>
        <v>547.77070063694282</v>
      </c>
      <c r="X9" s="167">
        <f>MAX(Tabela2[VWD])/Tabela2[[#This Row],[VWD]]</f>
        <v>1</v>
      </c>
      <c r="Y9" s="167">
        <f>Tabela2[[#This Row],[VWO]]*Tabela2[[#This Row],[VWD_R]]</f>
        <v>148</v>
      </c>
      <c r="Z9" s="167">
        <f>Tabela2[[#This Row],[VWO_R]]*Tabela2[[#This Row],[VWD]]</f>
        <v>547.77070063694282</v>
      </c>
      <c r="AA9" s="179">
        <f>(Tabela2[[#This Row],[V_Def]]+Tabela2[[#This Row],[V_Off]])/2</f>
        <v>347.88535031847141</v>
      </c>
      <c r="AB9" s="179">
        <f>472.09/Tabela2[[#This Row],[!ŚREDNIA]]</f>
        <v>1.3570275367095093</v>
      </c>
      <c r="AC9" s="179">
        <f>Tabela2[[#This Row],[VWO]]+Tabela2[[#This Row],[VWD]]</f>
        <v>695.77070063694282</v>
      </c>
      <c r="AD9" s="179">
        <f>Tabela2[[#This Row],[Suma VW]]*Tabela2[[#This Row],[Odchyłka]]</f>
        <v>944.18</v>
      </c>
      <c r="AE9" s="183">
        <f>Tabela2[[#This Row],[Suma*Odchyłka]]/2*1.17</f>
        <v>552.34529999999995</v>
      </c>
      <c r="AF9" s="183">
        <f>15000/Tabela2[[#This Row],[V/HP]]/27.17</f>
        <v>0.99951877828583047</v>
      </c>
      <c r="AG9" s="234"/>
      <c r="AH9" s="133">
        <v>136</v>
      </c>
      <c r="AI9" s="133">
        <f>Tabela2[[#This Row],[FixedAmountAfterSearching]]/136</f>
        <v>1</v>
      </c>
      <c r="AJ9" s="133">
        <f>1000/Tabela2[[#This Row],[AMT ]]</f>
        <v>1000</v>
      </c>
      <c r="AK9" s="133">
        <f>$AK$7/Tabela2[[#This Row],[Cena SIM]]</f>
        <v>10</v>
      </c>
      <c r="AL9" s="254"/>
      <c r="AM9" s="213" t="s">
        <v>279</v>
      </c>
      <c r="AN9" s="236"/>
      <c r="AO9" s="236" t="e">
        <f>Tabela2[[#This Row],[!ŚREDNIA]]/MAX(Tabela2[!ŚREDNIA])</f>
        <v>#DIV/0!</v>
      </c>
      <c r="AP9" s="236">
        <f>Tabela2[[#This Row],[VWO]]/Tabela2[[#This Row],[V_Off]]*1000</f>
        <v>1000</v>
      </c>
      <c r="AQ9" s="236">
        <f>Tabela2[[#This Row],[VWD]]/Tabela2[[#This Row],[V_Def]]*1000</f>
        <v>1000</v>
      </c>
      <c r="AR9" s="236">
        <f>1/(AVERAGE((Tabela2[[#This Row],[Damage max]],Tabela2[[#This Row],[Damage min]]))*(1+(Tabela2[[#This Row],[Attack]]-$G$9)*IF(Tabela2[[#This Row],[Attack]]-$G$9 = 0, 1, IF(Tabela2[[#This Row],[Attack]]-$G$9 &gt; 0,$G$4,$J$4)))/$E$9)</f>
        <v>3.44</v>
      </c>
      <c r="AS9" s="236">
        <f>(AVERAGE($H$9,$I$9))*(1+(($F$9-Tabela2[[#This Row],[Defence]])*IF($F$9-Tabela2[[#This Row],[Defence]] = 0, 1, IF($F$9-Tabela2[[#This Row],[Defence]] &gt; 0, $G$4,$J$4))))/Tabela2[[#This Row],[Health]]</f>
        <v>0.29069767441860467</v>
      </c>
      <c r="AT9" s="236">
        <f>INT(SQRT(((Tabela2[[#This Row],[VWO]])*Tabela2[[#This Row],[VWD]])))</f>
        <v>284</v>
      </c>
      <c r="AU9" s="236">
        <f>Tabela2[[#This Row],[VWD]]/Tabela2[[#This Row],[VWO]]</f>
        <v>3.7011533826820462</v>
      </c>
      <c r="AV9" s="236" t="e">
        <f>#REF!/#REF!</f>
        <v>#REF!</v>
      </c>
      <c r="AW9" s="242" t="e">
        <f>SUM(#REF!)</f>
        <v>#REF!</v>
      </c>
      <c r="AX9" s="242" t="e">
        <f>300*#REF!</f>
        <v>#REF!</v>
      </c>
      <c r="AY9" s="242">
        <v>136</v>
      </c>
      <c r="AZ9" s="242">
        <v>136</v>
      </c>
      <c r="BA9" s="242" t="e">
        <f>(#REF!+Tabela2[[#This Row],[SIM]]+Tabela2[[#This Row],[FixedAmountAfterSearching]])/3</f>
        <v>#REF!</v>
      </c>
    </row>
    <row r="10" spans="1:53" s="138" customFormat="1" ht="13.5" customHeight="1" x14ac:dyDescent="0.25">
      <c r="A10" s="200" t="s">
        <v>182</v>
      </c>
      <c r="B10" s="140" t="s">
        <v>208</v>
      </c>
      <c r="C10" s="221"/>
      <c r="E10" s="138">
        <v>1</v>
      </c>
      <c r="F10" s="138">
        <v>1</v>
      </c>
      <c r="G10" s="138">
        <v>1</v>
      </c>
      <c r="H10" s="138">
        <v>1</v>
      </c>
      <c r="I10" s="138">
        <v>1</v>
      </c>
      <c r="J10" s="138">
        <v>1</v>
      </c>
      <c r="K10" s="138">
        <v>1</v>
      </c>
      <c r="L10" s="138">
        <f>INT(Tabela2[[#This Row],[Cena SIM]])</f>
        <v>4</v>
      </c>
      <c r="M10" s="212"/>
      <c r="N10" s="200"/>
      <c r="O10" s="200"/>
      <c r="P10" s="200" t="s">
        <v>178</v>
      </c>
      <c r="Q10" s="200"/>
      <c r="R10" s="230"/>
      <c r="S10" s="191">
        <f>AF10*Tabela2[[#This Row],[Odchyłka]]</f>
        <v>471.86282004095767</v>
      </c>
      <c r="T10" s="136">
        <f>Tabela2[[#This Row],[VWD]]/Tabela2[[#This Row],[VWO]]</f>
        <v>1</v>
      </c>
      <c r="U10" s="160">
        <f>AVERAGE((Tabela2[[#This Row],[Damage max]],Tabela2[[#This Row],[Damage min]]))*(1+(Tabela2[[#This Row],[Attack]]-$G$10)*IF(Tabela2[[#This Row],[Attack]]-$G$10 = 0, 1, IF(Tabela2[[#This Row],[Attack]]-$G$10 &gt; 0, $G$4,-$J$4)))/$E$10</f>
        <v>1</v>
      </c>
      <c r="V10" s="168">
        <f>MAX(Tabela2[VWO])/Tabela2[[#This Row],[VWO]]</f>
        <v>148</v>
      </c>
      <c r="W10" s="168">
        <f>Tabela2[[#This Row],[Health]]/(AVERAGE($H$10,$I$10)*(1+($F$10-Tabela2[[#This Row],[Defence]])*IF($F$10-Tabela2[[#This Row],[Defence]] = 0, 1, IF($F$10-Tabela2[[#This Row],[Defence]] &gt; 0, $G$4,$J$4))))</f>
        <v>1</v>
      </c>
      <c r="X10" s="168">
        <f>MAX(Tabela2[VWD])/Tabela2[[#This Row],[VWD]]</f>
        <v>547.77070063694282</v>
      </c>
      <c r="Y10" s="168">
        <f>Tabela2[[#This Row],[VWO]]*Tabela2[[#This Row],[VWD_R]]</f>
        <v>547.77070063694282</v>
      </c>
      <c r="Z10" s="168">
        <f>Tabela2[[#This Row],[VWO_R]]*Tabela2[[#This Row],[VWD]]</f>
        <v>148</v>
      </c>
      <c r="AA10" s="180">
        <f>(Tabela2[[#This Row],[V_Def]]+Tabela2[[#This Row],[V_Off]])/2</f>
        <v>347.88535031847141</v>
      </c>
      <c r="AB10" s="180">
        <f>472.09/Tabela2[[#This Row],[!ŚREDNIA]]</f>
        <v>1.3570275367095093</v>
      </c>
      <c r="AC10" s="180">
        <f>Tabela2[[#This Row],[VWO]]+Tabela2[[#This Row],[VWD]]</f>
        <v>2</v>
      </c>
      <c r="AD10" s="180">
        <f>Tabela2[[#This Row],[Suma VW]]*Tabela2[[#This Row],[Odchyłka]]</f>
        <v>2.7140550734190185</v>
      </c>
      <c r="AE10" s="182">
        <f>Tabela2[[#This Row],[Suma*Odchyłka]]/2*1.17</f>
        <v>1.5877222179501258</v>
      </c>
      <c r="AF10" s="182">
        <f>15000/Tabela2[[#This Row],[V/HP]]/27.17</f>
        <v>347.71794033385669</v>
      </c>
      <c r="AG10" s="235"/>
      <c r="AH10" s="138">
        <v>33308</v>
      </c>
      <c r="AI10" s="138">
        <f>Tabela2[[#This Row],[FixedAmountAfterSearching]]/136</f>
        <v>244.91176470588235</v>
      </c>
      <c r="AJ10" s="138">
        <f>1000/Tabela2[[#This Row],[AMT ]]</f>
        <v>4.0831031584003847</v>
      </c>
      <c r="AK10" s="138">
        <f>$AK$7/Tabela2[[#This Row],[Cena SIM]]</f>
        <v>2449.1176470588234</v>
      </c>
      <c r="AL10" s="255"/>
      <c r="AM10" s="200" t="s">
        <v>188</v>
      </c>
      <c r="AN10" s="236"/>
      <c r="AO10" s="236" t="e">
        <f>Tabela2[[#This Row],[!ŚREDNIA]]/MAX(Tabela2[!ŚREDNIA])</f>
        <v>#DIV/0!</v>
      </c>
      <c r="AP10" s="236">
        <f>Tabela2[[#This Row],[VWO]]/Tabela2[[#This Row],[V_Off]]*1000</f>
        <v>1.8255813953488367</v>
      </c>
      <c r="AQ10" s="236">
        <f>Tabela2[[#This Row],[VWD]]/Tabela2[[#This Row],[V_Def]]*1000</f>
        <v>6.756756756756757</v>
      </c>
      <c r="AR10" s="236">
        <f>1/(AVERAGE((Tabela2[[#This Row],[Damage max]],Tabela2[[#This Row],[Damage min]]))*(1+(Tabela2[[#This Row],[Attack]]-$G$9)*IF(Tabela2[[#This Row],[Attack]]-$G$9 = 0, 1, IF(Tabela2[[#This Row],[Attack]]-$G$9 &gt; 0,$G$4,$J$4)))/$E$9)</f>
        <v>547.77070063694271</v>
      </c>
      <c r="AS10" s="236">
        <f>(AVERAGE($H$9,$I$9))*(1+(($F$9-Tabela2[[#This Row],[Defence]])*IF($F$9-Tabela2[[#This Row],[Defence]] = 0, 1, IF($F$9-Tabela2[[#This Row],[Defence]] &gt; 0, $G$4,$J$4))))/Tabela2[[#This Row],[Health]]</f>
        <v>148</v>
      </c>
      <c r="AT10" s="236">
        <f>INT(SQRT(((Tabela2[[#This Row],[VWO]])*Tabela2[[#This Row],[VWD]])))</f>
        <v>1</v>
      </c>
      <c r="AU10" s="236">
        <f>Tabela2[[#This Row],[VWD]]/Tabela2[[#This Row],[VWO]]</f>
        <v>1</v>
      </c>
      <c r="AV10" s="236" t="e">
        <f>#REF!/#REF!</f>
        <v>#REF!</v>
      </c>
      <c r="AW10" s="243" t="e">
        <f>SUM(#REF!)</f>
        <v>#REF!</v>
      </c>
      <c r="AX10" s="243" t="e">
        <f>300*#REF!</f>
        <v>#REF!</v>
      </c>
      <c r="AY10" s="242">
        <v>34550</v>
      </c>
      <c r="AZ10" s="242">
        <v>34550</v>
      </c>
      <c r="BA10" s="242" t="e">
        <f>(#REF!+Tabela2[[#This Row],[SIM]]+Tabela2[[#This Row],[FixedAmountAfterSearching]])/3</f>
        <v>#REF!</v>
      </c>
    </row>
    <row r="11" spans="1:53" s="137" customFormat="1" x14ac:dyDescent="0.25">
      <c r="A11" s="201" t="s">
        <v>205</v>
      </c>
      <c r="B11" s="140" t="s">
        <v>17</v>
      </c>
      <c r="C11" s="222"/>
      <c r="D11" s="134" t="s">
        <v>19</v>
      </c>
      <c r="E11" s="135">
        <v>7</v>
      </c>
      <c r="F11" s="135">
        <v>5</v>
      </c>
      <c r="G11" s="135">
        <v>3</v>
      </c>
      <c r="H11" s="135">
        <v>2</v>
      </c>
      <c r="I11" s="135">
        <v>2</v>
      </c>
      <c r="J11" s="134"/>
      <c r="K11" s="134"/>
      <c r="L11" s="198">
        <f>INT(Tabela2[[#This Row],[Cena SIM]])</f>
        <v>14</v>
      </c>
      <c r="M11" s="205"/>
      <c r="N11" s="204"/>
      <c r="O11" s="204"/>
      <c r="P11" s="204"/>
      <c r="Q11" s="204"/>
      <c r="R11" s="231"/>
      <c r="S11" s="192">
        <f>AF11*Tabela2[[#This Row],[Odchyłka]]</f>
        <v>99.113706927211737</v>
      </c>
      <c r="T11" s="153">
        <f>Tabela2[[#This Row],[VWD]]/Tabela2[[#This Row],[VWO]]</f>
        <v>3.1041577976443882</v>
      </c>
      <c r="U11" s="161">
        <f>AVERAGE((Tabela2[[#This Row],[Damage max]],Tabela2[[#This Row],[Damage min]]))*(1+(Tabela2[[#This Row],[Attack]]-$G$10)*IF(Tabela2[[#This Row],[Attack]]-$G$10 = 0, 1, IF(Tabela2[[#This Row],[Attack]]-$G$10 &gt; 0, $G$4,-$J$4)))/$E$10</f>
        <v>2.3199999999999998</v>
      </c>
      <c r="V11" s="164">
        <f>MAX(Tabela2[VWO])/Tabela2[[#This Row],[VWO]]</f>
        <v>63.793103448275865</v>
      </c>
      <c r="W11" s="170">
        <f>Tabela2[[#This Row],[Health]]/(AVERAGE($H$10,$I$10)*(1+($F$10-Tabela2[[#This Row],[Defence]])*IF($F$10-Tabela2[[#This Row],[Defence]] = 0, 1, IF($F$10-Tabela2[[#This Row],[Defence]] &gt; 0, $G$4,$J$4))))</f>
        <v>7.2016460905349797</v>
      </c>
      <c r="X11" s="171">
        <f>MAX(Tabela2[VWD])/Tabela2[[#This Row],[VWD]]</f>
        <v>76.061874431301206</v>
      </c>
      <c r="Y11" s="174">
        <f>Tabela2[[#This Row],[VWO]]*Tabela2[[#This Row],[VWD_R]]</f>
        <v>176.46354868061877</v>
      </c>
      <c r="Z11" s="176">
        <f>Tabela2[[#This Row],[VWO_R]]*Tabela2[[#This Row],[VWD]]</f>
        <v>459.41535405136943</v>
      </c>
      <c r="AA11" s="180">
        <f>(Tabela2[[#This Row],[V_Def]]+Tabela2[[#This Row],[V_Off]])/2</f>
        <v>317.9394513659941</v>
      </c>
      <c r="AB11" s="180">
        <f>472.09/Tabela2[[#This Row],[!ŚREDNIA]]</f>
        <v>1.4848424691296218</v>
      </c>
      <c r="AC11" s="180">
        <f>Tabela2[[#This Row],[VWO]]+Tabela2[[#This Row],[VWD]]</f>
        <v>9.5216460905349791</v>
      </c>
      <c r="AD11" s="180">
        <f>Tabela2[[#This Row],[Suma VW]]*Tabela2[[#This Row],[Odchyłka]]</f>
        <v>14.138144491248369</v>
      </c>
      <c r="AE11" s="180">
        <f>Tabela2[[#This Row],[Suma*Odchyłka]]/2*1.17</f>
        <v>8.2708145273802955</v>
      </c>
      <c r="AF11" s="180">
        <f>15000/Tabela2[[#This Row],[V/HP]]/27.17</f>
        <v>66.750317954812914</v>
      </c>
      <c r="AG11" s="188"/>
      <c r="AH11" s="135">
        <v>9080</v>
      </c>
      <c r="AI11" s="197">
        <f>Tabela2[[#This Row],[FixedAmountAfterSearching]]/136</f>
        <v>66.764705882352942</v>
      </c>
      <c r="AJ11" s="197">
        <f>1000/Tabela2[[#This Row],[AMT ]]</f>
        <v>14.977973568281937</v>
      </c>
      <c r="AK11" s="197">
        <f>$AK$7/Tabela2[[#This Row],[Cena SIM]]</f>
        <v>667.64705882352951</v>
      </c>
      <c r="AL11" s="251"/>
      <c r="AM11" s="257" t="s">
        <v>283</v>
      </c>
      <c r="AN11" s="236"/>
      <c r="AO11" s="236" t="e">
        <f>Tabela2[[#This Row],[!ŚREDNIA]]/MAX(Tabela2[!ŚREDNIA])</f>
        <v>#DIV/0!</v>
      </c>
      <c r="AP11" s="236">
        <f>Tabela2[[#This Row],[VWO]]/Tabela2[[#This Row],[V_Off]]*1000</f>
        <v>13.147191118767344</v>
      </c>
      <c r="AQ11" s="236">
        <f>Tabela2[[#This Row],[VWD]]/Tabela2[[#This Row],[V_Def]]*1000</f>
        <v>15.675675675675675</v>
      </c>
      <c r="AR11" s="236">
        <f>1/(AVERAGE((Tabela2[[#This Row],[Damage max]],Tabela2[[#This Row],[Damage min]]))*(1+(Tabela2[[#This Row],[Attack]]-$G$9)*IF(Tabela2[[#This Row],[Attack]]-$G$9 = 0, 1, IF(Tabela2[[#This Row],[Attack]]-$G$9 &gt; 0,$G$4,$J$4)))/$E$9)</f>
        <v>232.43243243243245</v>
      </c>
      <c r="AS11" s="236">
        <f>(AVERAGE($H$9,$I$9))*(1+(($F$9-Tabela2[[#This Row],[Defence]])*IF($F$9-Tabela2[[#This Row],[Defence]] = 0, 1, IF($F$9-Tabela2[[#This Row],[Defence]] &gt; 0, $G$4,$J$4))))/Tabela2[[#This Row],[Health]]</f>
        <v>20.571428571428573</v>
      </c>
      <c r="AT11" s="236">
        <f>INT(SQRT(((Tabela2[[#This Row],[VWO]])*Tabela2[[#This Row],[VWD]])))</f>
        <v>4</v>
      </c>
      <c r="AU11" s="236">
        <f>Tabela2[[#This Row],[VWD]]/Tabela2[[#This Row],[VWO]]</f>
        <v>3.1041577976443882</v>
      </c>
      <c r="AV11" s="236" t="e">
        <f>#REF!/#REF!</f>
        <v>#REF!</v>
      </c>
      <c r="AW11" s="244" t="e">
        <f>SUM(#REF!)</f>
        <v>#REF!</v>
      </c>
      <c r="AX11" s="244" t="e">
        <f>300*#REF!</f>
        <v>#REF!</v>
      </c>
      <c r="AY11" s="242">
        <v>9030</v>
      </c>
      <c r="AZ11" s="242">
        <v>7472</v>
      </c>
      <c r="BA11" s="245" t="e">
        <f>(#REF!+Tabela2[[#This Row],[SIM]]+Tabela2[[#This Row],[FixedAmountAfterSearching]])/3</f>
        <v>#REF!</v>
      </c>
    </row>
    <row r="12" spans="1:53" s="137" customFormat="1" x14ac:dyDescent="0.25">
      <c r="A12" s="201" t="s">
        <v>206</v>
      </c>
      <c r="B12" s="140" t="s">
        <v>17</v>
      </c>
      <c r="C12" s="223"/>
      <c r="D12" s="134" t="s">
        <v>198</v>
      </c>
      <c r="E12" s="140">
        <v>15</v>
      </c>
      <c r="F12" s="140">
        <v>5</v>
      </c>
      <c r="G12" s="140">
        <v>3</v>
      </c>
      <c r="H12" s="140">
        <v>4</v>
      </c>
      <c r="I12" s="140">
        <v>4</v>
      </c>
      <c r="J12" s="134"/>
      <c r="K12" s="134"/>
      <c r="L12" s="198">
        <f>INT(Tabela2[[#This Row],[Cena SIM]])</f>
        <v>30</v>
      </c>
      <c r="M12" s="205"/>
      <c r="N12" s="204"/>
      <c r="O12" s="204"/>
      <c r="P12" s="204"/>
      <c r="Q12" s="204"/>
      <c r="R12" s="231"/>
      <c r="S12" s="192">
        <f>AF12*Tabela2[[#This Row],[Odchyłka]]</f>
        <v>47.016789380649485</v>
      </c>
      <c r="T12" s="187">
        <f>Tabela2[[#This Row],[VWD]]/Tabela2[[#This Row],[VWO]]</f>
        <v>3.3258833546189872</v>
      </c>
      <c r="U12" s="161">
        <f>AVERAGE((Tabela2[[#This Row],[Damage max]],Tabela2[[#This Row],[Damage min]]))*(1+(Tabela2[[#This Row],[Attack]]-$G$10)*IF(Tabela2[[#This Row],[Attack]]-$G$10 = 0, 1, IF(Tabela2[[#This Row],[Attack]]-$G$10 &gt; 0, $G$4,-$J$4)))/$E$10</f>
        <v>4.6399999999999997</v>
      </c>
      <c r="V12" s="164">
        <f>MAX(Tabela2[VWO])/Tabela2[[#This Row],[VWO]]</f>
        <v>31.896551724137932</v>
      </c>
      <c r="W12" s="170">
        <f>Tabela2[[#This Row],[Health]]/(AVERAGE($H$10,$I$10)*(1+($F$10-Tabela2[[#This Row],[Defence]])*IF($F$10-Tabela2[[#This Row],[Defence]] = 0, 1, IF($F$10-Tabela2[[#This Row],[Defence]] &gt; 0, $G$4,$J$4))))</f>
        <v>15.4320987654321</v>
      </c>
      <c r="X12" s="171">
        <f>MAX(Tabela2[VWD])/Tabela2[[#This Row],[VWD]]</f>
        <v>35.49554140127389</v>
      </c>
      <c r="Y12" s="174">
        <f>Tabela2[[#This Row],[VWO]]*Tabela2[[#This Row],[VWD_R]]</f>
        <v>164.69931210191083</v>
      </c>
      <c r="Z12" s="176">
        <f>Tabela2[[#This Row],[VWO_R]]*Tabela2[[#This Row],[VWD]]</f>
        <v>492.23073648361009</v>
      </c>
      <c r="AA12" s="180">
        <f>(Tabela2[[#This Row],[V_Def]]+Tabela2[[#This Row],[V_Off]])/2</f>
        <v>328.46502429276046</v>
      </c>
      <c r="AB12" s="180">
        <f>472.09/Tabela2[[#This Row],[!ŚREDNIA]]</f>
        <v>1.4372610935258263</v>
      </c>
      <c r="AC12" s="180">
        <f>Tabela2[[#This Row],[VWO]]+Tabela2[[#This Row],[VWD]]</f>
        <v>20.072098765432099</v>
      </c>
      <c r="AD12" s="180">
        <f>Tabela2[[#This Row],[Suma VW]]*Tabela2[[#This Row],[Odchyłka]]</f>
        <v>28.848846620963325</v>
      </c>
      <c r="AE12" s="180">
        <f>Tabela2[[#This Row],[Suma*Odchyłka]]/2*1.17</f>
        <v>16.876575273263544</v>
      </c>
      <c r="AF12" s="180">
        <f>15000/Tabela2[[#This Row],[V/HP]]/27.17</f>
        <v>32.712768468051927</v>
      </c>
      <c r="AG12" s="188"/>
      <c r="AH12" s="135">
        <v>4397</v>
      </c>
      <c r="AI12" s="197">
        <f>Tabela2[[#This Row],[FixedAmountAfterSearching]]/136</f>
        <v>32.330882352941174</v>
      </c>
      <c r="AJ12" s="197">
        <f>1000/Tabela2[[#This Row],[AMT ]]</f>
        <v>30.930179667955425</v>
      </c>
      <c r="AK12" s="197">
        <f>$AK$7/Tabela2[[#This Row],[Cena SIM]]</f>
        <v>323.30882352941177</v>
      </c>
      <c r="AL12" s="251"/>
      <c r="AM12" s="257" t="s">
        <v>282</v>
      </c>
      <c r="AN12" s="236"/>
      <c r="AO12" s="236" t="e">
        <f>Tabela2[[#This Row],[!ŚREDNIA]]/MAX(Tabela2[!ŚREDNIA])</f>
        <v>#DIV/0!</v>
      </c>
      <c r="AP12" s="236">
        <f>Tabela2[[#This Row],[VWO]]/Tabela2[[#This Row],[V_Off]]*1000</f>
        <v>28.172552397358597</v>
      </c>
      <c r="AQ12" s="236">
        <f>Tabela2[[#This Row],[VWD]]/Tabela2[[#This Row],[V_Def]]*1000</f>
        <v>31.351351351351351</v>
      </c>
      <c r="AR12" s="236">
        <f>1/(AVERAGE((Tabela2[[#This Row],[Damage max]],Tabela2[[#This Row],[Damage min]]))*(1+(Tabela2[[#This Row],[Attack]]-$G$9)*IF(Tabela2[[#This Row],[Attack]]-$G$9 = 0, 1, IF(Tabela2[[#This Row],[Attack]]-$G$9 &gt; 0,$G$4,$J$4)))/$E$9)</f>
        <v>116.21621621621622</v>
      </c>
      <c r="AS12" s="236">
        <f>(AVERAGE($H$9,$I$9))*(1+(($F$9-Tabela2[[#This Row],[Defence]])*IF($F$9-Tabela2[[#This Row],[Defence]] = 0, 1, IF($F$9-Tabela2[[#This Row],[Defence]] &gt; 0, $G$4,$J$4))))/Tabela2[[#This Row],[Health]]</f>
        <v>9.6</v>
      </c>
      <c r="AT12" s="236">
        <f>INT(SQRT(((Tabela2[[#This Row],[VWO]])*Tabela2[[#This Row],[VWD]])))</f>
        <v>8</v>
      </c>
      <c r="AU12" s="236">
        <f>Tabela2[[#This Row],[VWD]]/Tabela2[[#This Row],[VWO]]</f>
        <v>3.3258833546189872</v>
      </c>
      <c r="AV12" s="236" t="e">
        <f>#REF!/#REF!</f>
        <v>#REF!</v>
      </c>
      <c r="AW12" s="244" t="e">
        <f>SUM(#REF!)</f>
        <v>#REF!</v>
      </c>
      <c r="AX12" s="244" t="e">
        <f>300*#REF!</f>
        <v>#REF!</v>
      </c>
      <c r="AY12" s="242">
        <v>4421</v>
      </c>
      <c r="AZ12" s="242">
        <v>3619</v>
      </c>
      <c r="BA12" s="245" t="e">
        <f>(#REF!+Tabela2[[#This Row],[SIM]]+Tabela2[[#This Row],[FixedAmountAfterSearching]])/3</f>
        <v>#REF!</v>
      </c>
    </row>
    <row r="13" spans="1:53" s="137" customFormat="1" x14ac:dyDescent="0.25">
      <c r="A13" s="201" t="s">
        <v>207</v>
      </c>
      <c r="B13" s="140" t="s">
        <v>17</v>
      </c>
      <c r="C13" s="222"/>
      <c r="D13" s="134" t="s">
        <v>199</v>
      </c>
      <c r="E13" s="135">
        <v>50</v>
      </c>
      <c r="F13" s="135">
        <v>15</v>
      </c>
      <c r="G13" s="135">
        <v>11</v>
      </c>
      <c r="H13" s="135">
        <v>10</v>
      </c>
      <c r="I13" s="135">
        <v>10</v>
      </c>
      <c r="J13" s="134"/>
      <c r="K13" s="134"/>
      <c r="L13" s="198">
        <f>INT(Tabela2[[#This Row],[Cena SIM]])</f>
        <v>105</v>
      </c>
      <c r="M13" s="205"/>
      <c r="N13" s="204"/>
      <c r="O13" s="204"/>
      <c r="P13" s="204"/>
      <c r="Q13" s="204"/>
      <c r="R13" s="231"/>
      <c r="S13" s="192">
        <f>AF13*Tabela2[[#This Row],[Odchyłka]]</f>
        <v>12.798095913814292</v>
      </c>
      <c r="T13" s="187">
        <f>Tabela2[[#This Row],[VWD]]/Tabela2[[#This Row],[VWO]]</f>
        <v>3.7268932617769828</v>
      </c>
      <c r="U13" s="161">
        <f>AVERAGE((Tabela2[[#This Row],[Damage max]],Tabela2[[#This Row],[Damage min]]))*(1+(Tabela2[[#This Row],[Attack]]-$G$10)*IF(Tabela2[[#This Row],[Attack]]-$G$10 = 0, 1, IF(Tabela2[[#This Row],[Attack]]-$G$10 &gt; 0, $G$4,-$J$4)))/$E$10</f>
        <v>15.600000000000001</v>
      </c>
      <c r="V13" s="164">
        <f>MAX(Tabela2[VWO])/Tabela2[[#This Row],[VWO]]</f>
        <v>9.4871794871794854</v>
      </c>
      <c r="W13" s="170">
        <f>Tabela2[[#This Row],[Health]]/(AVERAGE($H$10,$I$10)*(1+($F$10-Tabela2[[#This Row],[Defence]])*IF($F$10-Tabela2[[#This Row],[Defence]] = 0, 1, IF($F$10-Tabela2[[#This Row],[Defence]] &gt; 0, $G$4,$J$4))))</f>
        <v>58.139534883720934</v>
      </c>
      <c r="X13" s="171">
        <f>MAX(Tabela2[VWD])/Tabela2[[#This Row],[VWD]]</f>
        <v>9.4216560509554164</v>
      </c>
      <c r="Y13" s="174">
        <f>Tabela2[[#This Row],[VWO]]*Tabela2[[#This Row],[VWD_R]]</f>
        <v>146.97783439490451</v>
      </c>
      <c r="Z13" s="176">
        <f>Tabela2[[#This Row],[VWO_R]]*Tabela2[[#This Row],[VWD]]</f>
        <v>551.58020274299338</v>
      </c>
      <c r="AA13" s="180">
        <f>(Tabela2[[#This Row],[V_Def]]+Tabela2[[#This Row],[V_Off]])/2</f>
        <v>349.27901856894891</v>
      </c>
      <c r="AB13" s="180">
        <f>472.09/Tabela2[[#This Row],[!ŚREDNIA]]</f>
        <v>1.3516128221335109</v>
      </c>
      <c r="AC13" s="180">
        <f>Tabela2[[#This Row],[VWO]]+Tabela2[[#This Row],[VWD]]</f>
        <v>73.739534883720935</v>
      </c>
      <c r="AD13" s="180">
        <f>Tabela2[[#This Row],[Suma VW]]*Tabela2[[#This Row],[Odchyłka]]</f>
        <v>99.667300846998529</v>
      </c>
      <c r="AE13" s="180">
        <f>Tabela2[[#This Row],[Suma*Odchyłka]]/2*1.17</f>
        <v>58.305370995494137</v>
      </c>
      <c r="AF13" s="180">
        <f>15000/Tabela2[[#This Row],[V/HP]]/27.17</f>
        <v>9.4687588814173811</v>
      </c>
      <c r="AG13" s="188"/>
      <c r="AH13" s="135">
        <v>1291</v>
      </c>
      <c r="AI13" s="197">
        <f>Tabela2[[#This Row],[FixedAmountAfterSearching]]/136</f>
        <v>9.492647058823529</v>
      </c>
      <c r="AJ13" s="197">
        <f>1000/Tabela2[[#This Row],[AMT ]]</f>
        <v>105.34469403563129</v>
      </c>
      <c r="AK13" s="197">
        <f>$AK$7/Tabela2[[#This Row],[Cena SIM]]</f>
        <v>94.92647058823529</v>
      </c>
      <c r="AL13" s="251"/>
      <c r="AM13" s="257" t="s">
        <v>281</v>
      </c>
      <c r="AN13" s="236"/>
      <c r="AO13" s="236" t="e">
        <f>Tabela2[[#This Row],[!ŚREDNIA]]/MAX(Tabela2[!ŚREDNIA])</f>
        <v>#DIV/0!</v>
      </c>
      <c r="AP13" s="236">
        <f>Tabela2[[#This Row],[VWO]]/Tabela2[[#This Row],[V_Off]]*1000</f>
        <v>106.13845321795563</v>
      </c>
      <c r="AQ13" s="236">
        <f>Tabela2[[#This Row],[VWD]]/Tabela2[[#This Row],[V_Def]]*1000</f>
        <v>105.40540540540543</v>
      </c>
      <c r="AR13" s="236">
        <f>1/(AVERAGE((Tabela2[[#This Row],[Damage max]],Tabela2[[#This Row],[Damage min]]))*(1+(Tabela2[[#This Row],[Attack]]-$G$9)*IF(Tabela2[[#This Row],[Attack]]-$G$9 = 0, 1, IF(Tabela2[[#This Row],[Attack]]-$G$9 &gt; 0,$G$4,$J$4)))/$E$9)</f>
        <v>33.725490196078432</v>
      </c>
      <c r="AS13" s="236">
        <f>(AVERAGE($H$9,$I$9))*(1+(($F$9-Tabela2[[#This Row],[Defence]])*IF($F$9-Tabela2[[#This Row],[Defence]] = 0, 1, IF($F$9-Tabela2[[#This Row],[Defence]] &gt; 0, $G$4,$J$4))))/Tabela2[[#This Row],[Health]]</f>
        <v>2.56</v>
      </c>
      <c r="AT13" s="236">
        <f>INT(SQRT(((Tabela2[[#This Row],[VWO]])*Tabela2[[#This Row],[VWD]])))</f>
        <v>30</v>
      </c>
      <c r="AU13" s="236">
        <f>Tabela2[[#This Row],[VWD]]/Tabela2[[#This Row],[VWO]]</f>
        <v>3.7268932617769828</v>
      </c>
      <c r="AV13" s="236" t="e">
        <f>#REF!/#REF!</f>
        <v>#REF!</v>
      </c>
      <c r="AW13" s="244" t="e">
        <f>SUM(#REF!)</f>
        <v>#REF!</v>
      </c>
      <c r="AX13" s="244" t="e">
        <f>300*#REF!</f>
        <v>#REF!</v>
      </c>
      <c r="AY13" s="242">
        <v>1237</v>
      </c>
      <c r="AZ13" s="242">
        <v>1035</v>
      </c>
      <c r="BA13" s="245" t="e">
        <f>(#REF!+Tabela2[[#This Row],[SIM]]+Tabela2[[#This Row],[FixedAmountAfterSearching]])/3</f>
        <v>#REF!</v>
      </c>
    </row>
    <row r="14" spans="1:53" s="137" customFormat="1" x14ac:dyDescent="0.25">
      <c r="A14" s="201" t="s">
        <v>255</v>
      </c>
      <c r="B14" s="140" t="s">
        <v>17</v>
      </c>
      <c r="C14" s="223"/>
      <c r="D14" s="134" t="s">
        <v>200</v>
      </c>
      <c r="E14" s="140">
        <v>145</v>
      </c>
      <c r="F14" s="140">
        <v>28</v>
      </c>
      <c r="G14" s="140">
        <v>15</v>
      </c>
      <c r="H14" s="140">
        <v>24</v>
      </c>
      <c r="I14" s="140">
        <v>24</v>
      </c>
      <c r="J14" s="134"/>
      <c r="K14" s="134"/>
      <c r="L14" s="198">
        <f>INT(Tabela2[[#This Row],[Cena SIM]])</f>
        <v>335</v>
      </c>
      <c r="M14" s="205"/>
      <c r="N14" s="204"/>
      <c r="O14" s="204"/>
      <c r="P14" s="204"/>
      <c r="Q14" s="204"/>
      <c r="R14" s="231"/>
      <c r="S14" s="192">
        <f>AF14*Tabela2[[#This Row],[Odchyłka]]</f>
        <v>4.0983748493313668</v>
      </c>
      <c r="T14" s="187">
        <f>Tabela2[[#This Row],[VWD]]/Tabela2[[#This Row],[VWO]]</f>
        <v>3.6127455670366113</v>
      </c>
      <c r="U14" s="161">
        <f>AVERAGE((Tabela2[[#This Row],[Damage max]],Tabela2[[#This Row],[Damage min]]))*(1+(Tabela2[[#This Row],[Attack]]-$G$10)*IF(Tabela2[[#This Row],[Attack]]-$G$10 = 0, 1, IF(Tabela2[[#This Row],[Attack]]-$G$10 &gt; 0, $G$4,-$J$4)))/$E$10</f>
        <v>49.92</v>
      </c>
      <c r="V14" s="164">
        <f>MAX(Tabela2[VWO])/Tabela2[[#This Row],[VWO]]</f>
        <v>2.9647435897435894</v>
      </c>
      <c r="W14" s="170">
        <f>Tabela2[[#This Row],[Health]]/(AVERAGE($H$10,$I$10)*(1+($F$10-Tabela2[[#This Row],[Defence]])*IF($F$10-Tabela2[[#This Row],[Defence]] = 0, 1, IF($F$10-Tabela2[[#This Row],[Defence]] &gt; 0, $G$4,$J$4))))</f>
        <v>180.34825870646765</v>
      </c>
      <c r="X14" s="171">
        <f>MAX(Tabela2[VWD])/Tabela2[[#This Row],[VWD]]</f>
        <v>3.0372940918076003</v>
      </c>
      <c r="Y14" s="174">
        <f>Tabela2[[#This Row],[VWO]]*Tabela2[[#This Row],[VWD_R]]</f>
        <v>151.62172106303541</v>
      </c>
      <c r="Z14" s="176">
        <f>Tabela2[[#This Row],[VWO_R]]*Tabela2[[#This Row],[VWD]]</f>
        <v>534.68634392141848</v>
      </c>
      <c r="AA14" s="180">
        <f>(Tabela2[[#This Row],[V_Def]]+Tabela2[[#This Row],[V_Off]])/2</f>
        <v>343.15403249222697</v>
      </c>
      <c r="AB14" s="180">
        <f>472.09/Tabela2[[#This Row],[!ŚREDNIA]]</f>
        <v>1.3757378765778998</v>
      </c>
      <c r="AC14" s="180">
        <f>Tabela2[[#This Row],[VWO]]+Tabela2[[#This Row],[VWD]]</f>
        <v>230.26825870646763</v>
      </c>
      <c r="AD14" s="180">
        <f>Tabela2[[#This Row],[Suma VW]]*Tabela2[[#This Row],[Odchyłka]]</f>
        <v>316.7887652761263</v>
      </c>
      <c r="AE14" s="180">
        <f>Tabela2[[#This Row],[Suma*Odchyłka]]/2*1.17</f>
        <v>185.32142768653387</v>
      </c>
      <c r="AF14" s="180">
        <f>15000/Tabela2[[#This Row],[V/HP]]/27.17</f>
        <v>2.9790375907407096</v>
      </c>
      <c r="AG14" s="188"/>
      <c r="AH14" s="135">
        <v>405</v>
      </c>
      <c r="AI14" s="197">
        <f>Tabela2[[#This Row],[FixedAmountAfterSearching]]/136</f>
        <v>2.9779411764705883</v>
      </c>
      <c r="AJ14" s="197">
        <f>1000/Tabela2[[#This Row],[AMT ]]</f>
        <v>335.80246913580248</v>
      </c>
      <c r="AK14" s="197">
        <f>$AK$7/Tabela2[[#This Row],[Cena SIM]]</f>
        <v>29.77941176470588</v>
      </c>
      <c r="AL14" s="251"/>
      <c r="AM14" s="257" t="s">
        <v>284</v>
      </c>
      <c r="AN14" s="236"/>
      <c r="AO14" s="236" t="e">
        <f>Tabela2[[#This Row],[!ŚREDNIA]]/MAX(Tabela2[!ŚREDNIA])</f>
        <v>#DIV/0!</v>
      </c>
      <c r="AP14" s="236">
        <f>Tabela2[[#This Row],[VWO]]/Tabela2[[#This Row],[V_Off]]*1000</f>
        <v>329.24042577808621</v>
      </c>
      <c r="AQ14" s="236">
        <f>Tabela2[[#This Row],[VWD]]/Tabela2[[#This Row],[V_Def]]*1000</f>
        <v>337.29729729729729</v>
      </c>
      <c r="AR14" s="236">
        <f>1/(AVERAGE((Tabela2[[#This Row],[Damage max]],Tabela2[[#This Row],[Damage min]]))*(1+(Tabela2[[#This Row],[Attack]]-$G$9)*IF(Tabela2[[#This Row],[Attack]]-$G$9 = 0, 1, IF(Tabela2[[#This Row],[Attack]]-$G$9 &gt; 0,$G$4,$J$4)))/$E$9)</f>
        <v>10.356454720616572</v>
      </c>
      <c r="AS14" s="236">
        <f>(AVERAGE($H$9,$I$9))*(1+(($F$9-Tabela2[[#This Row],[Defence]])*IF($F$9-Tabela2[[#This Row],[Defence]] = 0, 1, IF($F$9-Tabela2[[#This Row],[Defence]] &gt; 0, $G$4,$J$4))))/Tabela2[[#This Row],[Health]]</f>
        <v>0.82758620689655182</v>
      </c>
      <c r="AT14" s="236">
        <f>INT(SQRT(((Tabela2[[#This Row],[VWO]])*Tabela2[[#This Row],[VWD]])))</f>
        <v>94</v>
      </c>
      <c r="AU14" s="236">
        <f>Tabela2[[#This Row],[VWD]]/Tabela2[[#This Row],[VWO]]</f>
        <v>3.6127455670366113</v>
      </c>
      <c r="AV14" s="236" t="e">
        <f>#REF!/#REF!</f>
        <v>#REF!</v>
      </c>
      <c r="AW14" s="244" t="e">
        <f>SUM(#REF!)</f>
        <v>#REF!</v>
      </c>
      <c r="AX14" s="244" t="e">
        <f>300*#REF!</f>
        <v>#REF!</v>
      </c>
      <c r="AY14" s="242">
        <v>385</v>
      </c>
      <c r="AZ14" s="242">
        <v>326</v>
      </c>
      <c r="BA14" s="245" t="e">
        <f>(#REF!+Tabela2[[#This Row],[SIM]]+Tabela2[[#This Row],[FixedAmountAfterSearching]])/3</f>
        <v>#REF!</v>
      </c>
    </row>
    <row r="15" spans="1:53" s="137" customFormat="1" x14ac:dyDescent="0.25">
      <c r="A15" s="201" t="s">
        <v>204</v>
      </c>
      <c r="B15" s="140" t="s">
        <v>100</v>
      </c>
      <c r="C15" s="222"/>
      <c r="D15" s="134" t="s">
        <v>19</v>
      </c>
      <c r="E15" s="135">
        <v>8</v>
      </c>
      <c r="F15" s="135">
        <v>3</v>
      </c>
      <c r="G15" s="135">
        <v>4</v>
      </c>
      <c r="H15" s="135">
        <v>2</v>
      </c>
      <c r="I15" s="135">
        <v>2</v>
      </c>
      <c r="J15" s="134"/>
      <c r="K15" s="134"/>
      <c r="L15" s="198">
        <f>INT(Tabela2[[#This Row],[Cena SIM]])</f>
        <v>15</v>
      </c>
      <c r="M15" s="205"/>
      <c r="N15" s="204"/>
      <c r="O15" s="204"/>
      <c r="P15" s="204"/>
      <c r="Q15" s="204"/>
      <c r="R15" s="231"/>
      <c r="S15" s="192">
        <f>AF15*Tabela2[[#This Row],[Odchyłka]]</f>
        <v>89.786872864641239</v>
      </c>
      <c r="T15" s="153">
        <f>Tabela2[[#This Row],[VWD]]/Tabela2[[#This Row],[VWO]]</f>
        <v>3.8660790226552231</v>
      </c>
      <c r="U15" s="161">
        <f>AVERAGE((Tabela2[[#This Row],[Damage max]],Tabela2[[#This Row],[Damage min]]))*(1+(Tabela2[[#This Row],[Attack]]-$G$10)*IF(Tabela2[[#This Row],[Attack]]-$G$10 = 0, 1, IF(Tabela2[[#This Row],[Attack]]-$G$10 &gt; 0, $G$4,-$J$4)))/$E$10</f>
        <v>2.16</v>
      </c>
      <c r="V15" s="164">
        <f>MAX(Tabela2[VWO])/Tabela2[[#This Row],[VWO]]</f>
        <v>68.518518518518519</v>
      </c>
      <c r="W15" s="170">
        <f>Tabela2[[#This Row],[Health]]/(AVERAGE($H$10,$I$10)*(1+($F$10-Tabela2[[#This Row],[Defence]])*IF($F$10-Tabela2[[#This Row],[Defence]] = 0, 1, IF($F$10-Tabela2[[#This Row],[Defence]] &gt; 0, $G$4,$J$4))))</f>
        <v>8.3507306889352826</v>
      </c>
      <c r="X15" s="171">
        <f>MAX(Tabela2[VWD])/Tabela2[[#This Row],[VWD]]</f>
        <v>65.595541401273891</v>
      </c>
      <c r="Y15" s="174">
        <f>Tabela2[[#This Row],[VWO]]*Tabela2[[#This Row],[VWD_R]]</f>
        <v>141.68636942675161</v>
      </c>
      <c r="Z15" s="176">
        <f>Tabela2[[#This Row],[VWO_R]]*Tabela2[[#This Row],[VWD]]</f>
        <v>572.17969535297311</v>
      </c>
      <c r="AA15" s="180">
        <f>(Tabela2[[#This Row],[V_Def]]+Tabela2[[#This Row],[V_Off]])/2</f>
        <v>356.93303238986238</v>
      </c>
      <c r="AB15" s="180">
        <f>472.09/Tabela2[[#This Row],[!ŚREDNIA]]</f>
        <v>1.3226290568824592</v>
      </c>
      <c r="AC15" s="180">
        <f>Tabela2[[#This Row],[VWO]]+Tabela2[[#This Row],[VWD]]</f>
        <v>10.510730688935283</v>
      </c>
      <c r="AD15" s="180">
        <f>Tabela2[[#This Row],[Suma VW]]*Tabela2[[#This Row],[Odchyłka]]</f>
        <v>13.901797818251994</v>
      </c>
      <c r="AE15" s="180">
        <f>Tabela2[[#This Row],[Suma*Odchyłka]]/2*1.17</f>
        <v>8.1325517236774161</v>
      </c>
      <c r="AF15" s="180">
        <f>15000/Tabela2[[#This Row],[V/HP]]/27.17</f>
        <v>67.885150713591585</v>
      </c>
      <c r="AG15" s="188"/>
      <c r="AH15" s="197">
        <v>8610</v>
      </c>
      <c r="AI15" s="197">
        <f>Tabela2[[#This Row],[FixedAmountAfterSearching]]/136</f>
        <v>63.308823529411768</v>
      </c>
      <c r="AJ15" s="197">
        <f>1000/Tabela2[[#This Row],[AMT ]]</f>
        <v>15.795586527293844</v>
      </c>
      <c r="AK15" s="197">
        <f>$AK$7/Tabela2[[#This Row],[Cena SIM]]</f>
        <v>633.08823529411768</v>
      </c>
      <c r="AL15" s="251"/>
      <c r="AM15" s="257" t="s">
        <v>286</v>
      </c>
      <c r="AN15" s="236"/>
      <c r="AO15" s="236" t="e">
        <f>Tabela2[[#This Row],[!ŚREDNIA]]/MAX(Tabela2[!ŚREDNIA])</f>
        <v>#DIV/0!</v>
      </c>
      <c r="AP15" s="236">
        <f>Tabela2[[#This Row],[VWO]]/Tabela2[[#This Row],[V_Off]]*1000</f>
        <v>15.244938583288828</v>
      </c>
      <c r="AQ15" s="236">
        <f>Tabela2[[#This Row],[VWD]]/Tabela2[[#This Row],[V_Def]]*1000</f>
        <v>14.594594594594593</v>
      </c>
      <c r="AR15" s="236">
        <f>1/(AVERAGE((Tabela2[[#This Row],[Damage max]],Tabela2[[#This Row],[Damage min]]))*(1+(Tabela2[[#This Row],[Attack]]-$G$9)*IF(Tabela2[[#This Row],[Attack]]-$G$9 = 0, 1, IF(Tabela2[[#This Row],[Attack]]-$G$9 &gt; 0,$G$4,$J$4)))/$E$9)</f>
        <v>251.46198830409358</v>
      </c>
      <c r="AS15" s="236">
        <f>(AVERAGE($H$9,$I$9))*(1+(($F$9-Tabela2[[#This Row],[Defence]])*IF($F$9-Tabela2[[#This Row],[Defence]] = 0, 1, IF($F$9-Tabela2[[#This Row],[Defence]] &gt; 0, $G$4,$J$4))))/Tabela2[[#This Row],[Health]]</f>
        <v>17.75</v>
      </c>
      <c r="AT15" s="236">
        <f>INT(SQRT(((Tabela2[[#This Row],[VWO]])*Tabela2[[#This Row],[VWD]])))</f>
        <v>4</v>
      </c>
      <c r="AU15" s="236">
        <f>Tabela2[[#This Row],[VWD]]/Tabela2[[#This Row],[VWO]]</f>
        <v>3.8660790226552231</v>
      </c>
      <c r="AV15" s="236" t="e">
        <f>#REF!/#REF!</f>
        <v>#REF!</v>
      </c>
      <c r="AW15" s="244" t="e">
        <f>SUM(#REF!)</f>
        <v>#REF!</v>
      </c>
      <c r="AX15" s="244" t="e">
        <f>300*#REF!</f>
        <v>#REF!</v>
      </c>
      <c r="AY15" s="242">
        <v>8939</v>
      </c>
      <c r="AZ15" s="242">
        <v>7332</v>
      </c>
      <c r="BA15" s="245" t="e">
        <f>(#REF!+Tabela2[[#This Row],[SIM]]+Tabela2[[#This Row],[FixedAmountAfterSearching]])/3</f>
        <v>#REF!</v>
      </c>
    </row>
    <row r="16" spans="1:53" s="137" customFormat="1" x14ac:dyDescent="0.25">
      <c r="A16" s="201" t="s">
        <v>203</v>
      </c>
      <c r="B16" s="140" t="s">
        <v>100</v>
      </c>
      <c r="C16" s="223"/>
      <c r="D16" s="134" t="s">
        <v>198</v>
      </c>
      <c r="E16" s="135">
        <v>20</v>
      </c>
      <c r="F16" s="135">
        <v>2</v>
      </c>
      <c r="G16" s="135">
        <v>7</v>
      </c>
      <c r="H16" s="135">
        <v>3</v>
      </c>
      <c r="I16" s="135">
        <v>3</v>
      </c>
      <c r="J16" s="134"/>
      <c r="K16" s="134"/>
      <c r="L16" s="198">
        <f>INT(Tabela2[[#This Row],[Cena SIM]])</f>
        <v>31</v>
      </c>
      <c r="M16" s="205"/>
      <c r="N16" s="204"/>
      <c r="O16" s="204"/>
      <c r="P16" s="204"/>
      <c r="Q16" s="204"/>
      <c r="R16" s="231"/>
      <c r="S16" s="192">
        <f>AF16*Tabela2[[#This Row],[Odchyłka]]</f>
        <v>37.818519196630078</v>
      </c>
      <c r="T16" s="153">
        <f>Tabela2[[#This Row],[VWD]]/Tabela2[[#This Row],[VWO]]</f>
        <v>6.9980965177471726</v>
      </c>
      <c r="U16" s="161">
        <f>AVERAGE((Tabela2[[#This Row],[Damage max]],Tabela2[[#This Row],[Damage min]]))*(1+(Tabela2[[#This Row],[Attack]]-$G$10)*IF(Tabela2[[#This Row],[Attack]]-$G$10 = 0, 1, IF(Tabela2[[#This Row],[Attack]]-$G$10 &gt; 0, $G$4,-$J$4)))/$E$10</f>
        <v>3.12</v>
      </c>
      <c r="V16" s="164">
        <f>MAX(Tabela2[VWO])/Tabela2[[#This Row],[VWO]]</f>
        <v>47.435897435897431</v>
      </c>
      <c r="W16" s="170">
        <f>Tabela2[[#This Row],[Health]]/(AVERAGE($H$10,$I$10)*(1+($F$10-Tabela2[[#This Row],[Defence]])*IF($F$10-Tabela2[[#This Row],[Defence]] = 0, 1, IF($F$10-Tabela2[[#This Row],[Defence]] &gt; 0, $G$4,$J$4))))</f>
        <v>21.834061135371179</v>
      </c>
      <c r="X16" s="171">
        <f>MAX(Tabela2[VWD])/Tabela2[[#This Row],[VWD]]</f>
        <v>25.087898089171979</v>
      </c>
      <c r="Y16" s="174">
        <f>Tabela2[[#This Row],[VWO]]*Tabela2[[#This Row],[VWD_R]]</f>
        <v>78.274242038216585</v>
      </c>
      <c r="Z16" s="176">
        <f>Tabela2[[#This Row],[VWO_R]]*Tabela2[[#This Row],[VWD]]</f>
        <v>1035.7182846265814</v>
      </c>
      <c r="AA16" s="180">
        <f>(Tabela2[[#This Row],[V_Def]]+Tabela2[[#This Row],[V_Off]])/2</f>
        <v>556.99626333239894</v>
      </c>
      <c r="AB16" s="180">
        <f>472.09/Tabela2[[#This Row],[!ŚREDNIA]]</f>
        <v>0.84756403422812654</v>
      </c>
      <c r="AC16" s="180">
        <f>Tabela2[[#This Row],[VWO]]+Tabela2[[#This Row],[VWD]]</f>
        <v>24.95406113537118</v>
      </c>
      <c r="AD16" s="180">
        <f>Tabela2[[#This Row],[Suma VW]]*Tabela2[[#This Row],[Odchyłka]]</f>
        <v>21.1501647262705</v>
      </c>
      <c r="AE16" s="180">
        <f>Tabela2[[#This Row],[Suma*Odchyłka]]/2*1.17</f>
        <v>12.372846364868241</v>
      </c>
      <c r="AF16" s="180">
        <f>15000/Tabela2[[#This Row],[V/HP]]/27.17</f>
        <v>44.620250116053192</v>
      </c>
      <c r="AG16" s="188"/>
      <c r="AH16" s="135">
        <v>4359</v>
      </c>
      <c r="AI16" s="197">
        <f>Tabela2[[#This Row],[FixedAmountAfterSearching]]/136</f>
        <v>32.051470588235297</v>
      </c>
      <c r="AJ16" s="197">
        <f>1000/Tabela2[[#This Row],[AMT ]]</f>
        <v>31.199816471667813</v>
      </c>
      <c r="AK16" s="197">
        <f>$AK$7/Tabela2[[#This Row],[Cena SIM]]</f>
        <v>320.51470588235293</v>
      </c>
      <c r="AL16" s="251"/>
      <c r="AM16" s="257" t="s">
        <v>285</v>
      </c>
      <c r="AN16" s="236"/>
      <c r="AO16" s="236" t="e">
        <f>Tabela2[[#This Row],[!ŚREDNIA]]/MAX(Tabela2[!ŚREDNIA])</f>
        <v>#DIV/0!</v>
      </c>
      <c r="AP16" s="236">
        <f>Tabela2[[#This Row],[VWO]]/Tabela2[[#This Row],[V_Off]]*1000</f>
        <v>39.859855793642723</v>
      </c>
      <c r="AQ16" s="236">
        <f>Tabela2[[#This Row],[VWD]]/Tabela2[[#This Row],[V_Def]]*1000</f>
        <v>21.081081081081084</v>
      </c>
      <c r="AR16" s="236">
        <f>1/(AVERAGE((Tabela2[[#This Row],[Damage max]],Tabela2[[#This Row],[Damage min]]))*(1+(Tabela2[[#This Row],[Attack]]-$G$9)*IF(Tabela2[[#This Row],[Attack]]-$G$9 = 0, 1, IF(Tabela2[[#This Row],[Attack]]-$G$9 &gt; 0,$G$4,$J$4)))/$E$9)</f>
        <v>174.79674796747972</v>
      </c>
      <c r="AS16" s="236">
        <f>(AVERAGE($H$9,$I$9))*(1+(($F$9-Tabela2[[#This Row],[Defence]])*IF($F$9-Tabela2[[#This Row],[Defence]] = 0, 1, IF($F$9-Tabela2[[#This Row],[Defence]] &gt; 0, $G$4,$J$4))))/Tabela2[[#This Row],[Health]]</f>
        <v>6.8</v>
      </c>
      <c r="AT16" s="236">
        <f>INT(SQRT(((Tabela2[[#This Row],[VWO]])*Tabela2[[#This Row],[VWD]])))</f>
        <v>8</v>
      </c>
      <c r="AU16" s="236">
        <f>Tabela2[[#This Row],[VWD]]/Tabela2[[#This Row],[VWO]]</f>
        <v>6.9980965177471726</v>
      </c>
      <c r="AV16" s="236" t="e">
        <f>#REF!/#REF!</f>
        <v>#REF!</v>
      </c>
      <c r="AW16" s="244" t="e">
        <f>SUM(#REF!)</f>
        <v>#REF!</v>
      </c>
      <c r="AX16" s="244" t="e">
        <f>300*#REF!</f>
        <v>#REF!</v>
      </c>
      <c r="AY16" s="242">
        <v>4676</v>
      </c>
      <c r="AZ16" s="242">
        <v>3982</v>
      </c>
      <c r="BA16" s="245" t="e">
        <f>(#REF!+Tabela2[[#This Row],[SIM]]+Tabela2[[#This Row],[FixedAmountAfterSearching]])/3</f>
        <v>#REF!</v>
      </c>
    </row>
    <row r="17" spans="1:53" s="137" customFormat="1" x14ac:dyDescent="0.25">
      <c r="A17" s="201" t="s">
        <v>202</v>
      </c>
      <c r="B17" s="140" t="s">
        <v>100</v>
      </c>
      <c r="C17" s="222"/>
      <c r="D17" s="134" t="s">
        <v>200</v>
      </c>
      <c r="E17" s="135">
        <v>45</v>
      </c>
      <c r="F17" s="135">
        <v>6</v>
      </c>
      <c r="G17" s="135">
        <v>6</v>
      </c>
      <c r="H17" s="135">
        <v>7</v>
      </c>
      <c r="I17" s="135">
        <v>7</v>
      </c>
      <c r="J17" s="134"/>
      <c r="K17" s="134"/>
      <c r="L17" s="198">
        <f>INT(Tabela2[[#This Row],[Cena SIM]])</f>
        <v>72</v>
      </c>
      <c r="M17" s="205"/>
      <c r="N17" s="204"/>
      <c r="O17" s="204"/>
      <c r="P17" s="204"/>
      <c r="Q17" s="204"/>
      <c r="R17" s="231"/>
      <c r="S17" s="192">
        <f>AF17*Tabela2[[#This Row],[Odchyłka]]</f>
        <v>16.618663282514987</v>
      </c>
      <c r="T17" s="153">
        <f>Tabela2[[#This Row],[VWD]]/Tabela2[[#This Row],[VWO]]</f>
        <v>5.7603686635944698</v>
      </c>
      <c r="U17" s="161">
        <f>AVERAGE((Tabela2[[#This Row],[Damage max]],Tabela2[[#This Row],[Damage min]]))*(1+(Tabela2[[#This Row],[Attack]]-$G$10)*IF(Tabela2[[#This Row],[Attack]]-$G$10 = 0, 1, IF(Tabela2[[#This Row],[Attack]]-$G$10 &gt; 0, $G$4,-$J$4)))/$E$10</f>
        <v>8.4</v>
      </c>
      <c r="V17" s="164">
        <f>MAX(Tabela2[VWO])/Tabela2[[#This Row],[VWO]]</f>
        <v>17.619047619047617</v>
      </c>
      <c r="W17" s="170">
        <f>Tabela2[[#This Row],[Health]]/(AVERAGE($H$10,$I$10)*(1+($F$10-Tabela2[[#This Row],[Defence]])*IF($F$10-Tabela2[[#This Row],[Defence]] = 0, 1, IF($F$10-Tabela2[[#This Row],[Defence]] &gt; 0, $G$4,$J$4))))</f>
        <v>48.387096774193552</v>
      </c>
      <c r="X17" s="171">
        <f>MAX(Tabela2[VWD])/Tabela2[[#This Row],[VWD]]</f>
        <v>11.320594479830151</v>
      </c>
      <c r="Y17" s="174">
        <f>Tabela2[[#This Row],[VWO]]*Tabela2[[#This Row],[VWD_R]]</f>
        <v>95.092993630573275</v>
      </c>
      <c r="Z17" s="176">
        <f>Tabela2[[#This Row],[VWO_R]]*Tabela2[[#This Row],[VWD]]</f>
        <v>852.53456221198155</v>
      </c>
      <c r="AA17" s="180">
        <f>(Tabela2[[#This Row],[V_Def]]+Tabela2[[#This Row],[V_Off]])/2</f>
        <v>473.81377792127739</v>
      </c>
      <c r="AB17" s="180">
        <f>472.09/Tabela2[[#This Row],[!ŚREDNIA]]</f>
        <v>0.99636190840874239</v>
      </c>
      <c r="AC17" s="180">
        <f>Tabela2[[#This Row],[VWO]]+Tabela2[[#This Row],[VWD]]</f>
        <v>56.78709677419355</v>
      </c>
      <c r="AD17" s="180">
        <f>Tabela2[[#This Row],[Suma VW]]*Tabela2[[#This Row],[Odchyłka]]</f>
        <v>56.580500114927425</v>
      </c>
      <c r="AE17" s="180">
        <f>Tabela2[[#This Row],[Suma*Odchyłka]]/2*1.17</f>
        <v>33.099592567232541</v>
      </c>
      <c r="AF17" s="180">
        <f>15000/Tabela2[[#This Row],[V/HP]]/27.17</f>
        <v>16.679344264631833</v>
      </c>
      <c r="AG17" s="188"/>
      <c r="AH17" s="135">
        <v>1865</v>
      </c>
      <c r="AI17" s="197">
        <f>Tabela2[[#This Row],[FixedAmountAfterSearching]]/136</f>
        <v>13.713235294117647</v>
      </c>
      <c r="AJ17" s="197">
        <f>1000/Tabela2[[#This Row],[AMT ]]</f>
        <v>72.922252010723867</v>
      </c>
      <c r="AK17" s="197">
        <f>$AK$7/Tabela2[[#This Row],[Cena SIM]]</f>
        <v>137.13235294117646</v>
      </c>
      <c r="AL17" s="251"/>
      <c r="AM17" s="257" t="s">
        <v>287</v>
      </c>
      <c r="AN17" s="236"/>
      <c r="AO17" s="236" t="e">
        <f>Tabela2[[#This Row],[!ŚREDNIA]]/MAX(Tabela2[!ŚREDNIA])</f>
        <v>#DIV/0!</v>
      </c>
      <c r="AP17" s="236">
        <f>Tabela2[[#This Row],[VWO]]/Tabela2[[#This Row],[V_Off]]*1000</f>
        <v>88.334583645911451</v>
      </c>
      <c r="AQ17" s="236">
        <f>Tabela2[[#This Row],[VWD]]/Tabela2[[#This Row],[V_Def]]*1000</f>
        <v>56.756756756756758</v>
      </c>
      <c r="AR17" s="236">
        <f>1/(AVERAGE((Tabela2[[#This Row],[Damage max]],Tabela2[[#This Row],[Damage min]]))*(1+(Tabela2[[#This Row],[Attack]]-$G$9)*IF(Tabela2[[#This Row],[Attack]]-$G$9 = 0, 1, IF(Tabela2[[#This Row],[Attack]]-$G$9 &gt; 0,$G$4,$J$4)))/$E$9)</f>
        <v>63.988095238095241</v>
      </c>
      <c r="AS17" s="236">
        <f>(AVERAGE($H$9,$I$9))*(1+(($F$9-Tabela2[[#This Row],[Defence]])*IF($F$9-Tabela2[[#This Row],[Defence]] = 0, 1, IF($F$9-Tabela2[[#This Row],[Defence]] &gt; 0, $G$4,$J$4))))/Tabela2[[#This Row],[Health]]</f>
        <v>3.0666666666666669</v>
      </c>
      <c r="AT17" s="236">
        <f>INT(SQRT(((Tabela2[[#This Row],[VWO]])*Tabela2[[#This Row],[VWD]])))</f>
        <v>20</v>
      </c>
      <c r="AU17" s="236">
        <f>Tabela2[[#This Row],[VWD]]/Tabela2[[#This Row],[VWO]]</f>
        <v>5.7603686635944698</v>
      </c>
      <c r="AV17" s="236" t="e">
        <f>#REF!/#REF!</f>
        <v>#REF!</v>
      </c>
      <c r="AW17" s="244" t="e">
        <f>SUM(#REF!)</f>
        <v>#REF!</v>
      </c>
      <c r="AX17" s="244" t="e">
        <f>300*#REF!</f>
        <v>#REF!</v>
      </c>
      <c r="AY17" s="242">
        <v>1872</v>
      </c>
      <c r="AZ17" s="242">
        <v>1601</v>
      </c>
      <c r="BA17" s="245" t="e">
        <f>(#REF!+Tabela2[[#This Row],[SIM]]+Tabela2[[#This Row],[FixedAmountAfterSearching]])/3</f>
        <v>#REF!</v>
      </c>
    </row>
    <row r="18" spans="1:53" s="137" customFormat="1" ht="14.25" customHeight="1" x14ac:dyDescent="0.25">
      <c r="A18" s="201" t="s">
        <v>201</v>
      </c>
      <c r="B18" s="140" t="s">
        <v>100</v>
      </c>
      <c r="C18" s="223"/>
      <c r="D18" s="134" t="s">
        <v>200</v>
      </c>
      <c r="E18" s="140">
        <v>165</v>
      </c>
      <c r="F18" s="140">
        <v>12</v>
      </c>
      <c r="G18" s="140">
        <v>17</v>
      </c>
      <c r="H18" s="140">
        <v>16</v>
      </c>
      <c r="I18" s="140">
        <v>16</v>
      </c>
      <c r="J18" s="134"/>
      <c r="K18" s="134"/>
      <c r="L18" s="198">
        <f>INT(Tabela2[[#This Row],[Cena SIM]])</f>
        <v>252</v>
      </c>
      <c r="M18" s="205"/>
      <c r="N18" s="204"/>
      <c r="O18" s="204"/>
      <c r="P18" s="204"/>
      <c r="Q18" s="204"/>
      <c r="R18" s="231"/>
      <c r="S18" s="192">
        <f>AF18*Tabela2[[#This Row],[Odchyłka]]</f>
        <v>4.00445615147349</v>
      </c>
      <c r="T18" s="153">
        <f>Tabela2[[#This Row],[VWD]]/Tabela2[[#This Row],[VWO]]</f>
        <v>9.2286834192439855</v>
      </c>
      <c r="U18" s="161">
        <f>AVERAGE((Tabela2[[#This Row],[Damage max]],Tabela2[[#This Row],[Damage min]]))*(1+(Tabela2[[#This Row],[Attack]]-$G$10)*IF(Tabela2[[#This Row],[Attack]]-$G$10 = 0, 1, IF(Tabela2[[#This Row],[Attack]]-$G$10 &gt; 0, $G$4,-$J$4)))/$E$10</f>
        <v>23.04</v>
      </c>
      <c r="V18" s="164">
        <f>MAX(Tabela2[VWO])/Tabela2[[#This Row],[VWO]]</f>
        <v>6.4236111111111116</v>
      </c>
      <c r="W18" s="170">
        <f>Tabela2[[#This Row],[Health]]/(AVERAGE($H$10,$I$10)*(1+($F$10-Tabela2[[#This Row],[Defence]])*IF($F$10-Tabela2[[#This Row],[Defence]] = 0, 1, IF($F$10-Tabela2[[#This Row],[Defence]] &gt; 0, $G$4,$J$4))))</f>
        <v>212.62886597938143</v>
      </c>
      <c r="X18" s="171">
        <f>MAX(Tabela2[VWD])/Tabela2[[#This Row],[VWD]]</f>
        <v>2.576182204207683</v>
      </c>
      <c r="Y18" s="174">
        <f>Tabela2[[#This Row],[VWO]]*Tabela2[[#This Row],[VWD_R]]</f>
        <v>59.355237984945013</v>
      </c>
      <c r="Z18" s="176">
        <f>Tabela2[[#This Row],[VWO_R]]*Tabela2[[#This Row],[VWD]]</f>
        <v>1365.8451460481099</v>
      </c>
      <c r="AA18" s="180">
        <f>(Tabela2[[#This Row],[V_Def]]+Tabela2[[#This Row],[V_Off]])/2</f>
        <v>712.60019201652744</v>
      </c>
      <c r="AB18" s="180">
        <f>472.09/Tabela2[[#This Row],[!ŚREDNIA]]</f>
        <v>0.66248929664763645</v>
      </c>
      <c r="AC18" s="180">
        <f>Tabela2[[#This Row],[VWO]]+Tabela2[[#This Row],[VWD]]</f>
        <v>235.66886597938142</v>
      </c>
      <c r="AD18" s="180">
        <f>Tabela2[[#This Row],[Suma VW]]*Tabela2[[#This Row],[Odchyłka]]</f>
        <v>156.1281012644265</v>
      </c>
      <c r="AE18" s="180">
        <f>Tabela2[[#This Row],[Suma*Odchyłka]]/2*1.17</f>
        <v>91.334939239689504</v>
      </c>
      <c r="AF18" s="180">
        <f>15000/Tabela2[[#This Row],[V/HP]]/27.17</f>
        <v>6.0445597713609134</v>
      </c>
      <c r="AG18" s="188"/>
      <c r="AH18" s="135">
        <v>538</v>
      </c>
      <c r="AI18" s="197">
        <f>Tabela2[[#This Row],[FixedAmountAfterSearching]]/136</f>
        <v>3.9558823529411766</v>
      </c>
      <c r="AJ18" s="197">
        <f>1000/Tabela2[[#This Row],[AMT ]]</f>
        <v>252.78810408921933</v>
      </c>
      <c r="AK18" s="197">
        <f>$AK$7/Tabela2[[#This Row],[Cena SIM]]</f>
        <v>39.558823529411768</v>
      </c>
      <c r="AL18" s="251"/>
      <c r="AM18" s="257" t="s">
        <v>288</v>
      </c>
      <c r="AN18" s="236"/>
      <c r="AO18" s="236" t="e">
        <f>Tabela2[[#This Row],[!ŚREDNIA]]/MAX(Tabela2[!ŚREDNIA])</f>
        <v>#DIV/0!</v>
      </c>
      <c r="AP18" s="236">
        <f>Tabela2[[#This Row],[VWO]]/Tabela2[[#This Row],[V_Off]]*1000</f>
        <v>388.17130184607987</v>
      </c>
      <c r="AQ18" s="236">
        <f>Tabela2[[#This Row],[VWD]]/Tabela2[[#This Row],[V_Def]]*1000</f>
        <v>155.67567567567568</v>
      </c>
      <c r="AR18" s="236">
        <f>1/(AVERAGE((Tabela2[[#This Row],[Damage max]],Tabela2[[#This Row],[Damage min]]))*(1+(Tabela2[[#This Row],[Attack]]-$G$9)*IF(Tabela2[[#This Row],[Attack]]-$G$9 = 0, 1, IF(Tabela2[[#This Row],[Attack]]-$G$9 &gt; 0,$G$4,$J$4)))/$E$9)</f>
        <v>22.970085470085472</v>
      </c>
      <c r="AS18" s="236">
        <f>(AVERAGE($H$9,$I$9))*(1+(($F$9-Tabela2[[#This Row],[Defence]])*IF($F$9-Tabela2[[#This Row],[Defence]] = 0, 1, IF($F$9-Tabela2[[#This Row],[Defence]] &gt; 0, $G$4,$J$4))))/Tabela2[[#This Row],[Health]]</f>
        <v>0.70303030303030312</v>
      </c>
      <c r="AT18" s="236">
        <f>INT(SQRT(((Tabela2[[#This Row],[VWO]])*Tabela2[[#This Row],[VWD]])))</f>
        <v>69</v>
      </c>
      <c r="AU18" s="236">
        <f>Tabela2[[#This Row],[VWD]]/Tabela2[[#This Row],[VWO]]</f>
        <v>9.2286834192439855</v>
      </c>
      <c r="AV18" s="236" t="e">
        <f>#REF!/#REF!</f>
        <v>#REF!</v>
      </c>
      <c r="AW18" s="244" t="e">
        <f>SUM(#REF!)</f>
        <v>#REF!</v>
      </c>
      <c r="AX18" s="244" t="e">
        <f>300*#REF!</f>
        <v>#REF!</v>
      </c>
      <c r="AY18" s="242">
        <v>544</v>
      </c>
      <c r="AZ18" s="242">
        <v>477</v>
      </c>
      <c r="BA18" s="245" t="e">
        <f>(#REF!+Tabela2[[#This Row],[SIM]]+Tabela2[[#This Row],[FixedAmountAfterSearching]])/3</f>
        <v>#REF!</v>
      </c>
    </row>
    <row r="19" spans="1:53" s="137" customFormat="1" ht="14.25" customHeight="1" x14ac:dyDescent="0.25">
      <c r="A19" s="201" t="s">
        <v>183</v>
      </c>
      <c r="B19" s="140" t="s">
        <v>208</v>
      </c>
      <c r="C19" s="222"/>
      <c r="D19" s="134"/>
      <c r="E19" s="135">
        <v>40</v>
      </c>
      <c r="F19" s="135">
        <v>14</v>
      </c>
      <c r="G19" s="135">
        <v>7</v>
      </c>
      <c r="H19" s="135">
        <v>13</v>
      </c>
      <c r="I19" s="135">
        <v>13</v>
      </c>
      <c r="J19" s="134">
        <v>7</v>
      </c>
      <c r="K19" s="134">
        <v>7</v>
      </c>
      <c r="L19" s="198">
        <f>INT(Tabela2[[#This Row],[Cena SIM]])</f>
        <v>103</v>
      </c>
      <c r="M19" s="205"/>
      <c r="N19" s="204"/>
      <c r="O19" s="204"/>
      <c r="P19" s="204"/>
      <c r="Q19" s="204"/>
      <c r="R19" s="231"/>
      <c r="S19" s="192">
        <f>AF19*Tabela2[[#This Row],[Odchyłka]]</f>
        <v>14.878662749208168</v>
      </c>
      <c r="T19" s="153">
        <f>Tabela2[[#This Row],[VWD]]/Tabela2[[#This Row],[VWO]]</f>
        <v>2.2099252161306859</v>
      </c>
      <c r="U19" s="161">
        <f>AVERAGE((Tabela2[[#This Row],[Damage max]],Tabela2[[#This Row],[Damage min]]))*(1+(Tabela2[[#This Row],[Attack]]-$G$10)*IF(Tabela2[[#This Row],[Attack]]-$G$10 = 0, 1, IF(Tabela2[[#This Row],[Attack]]-$G$10 &gt; 0, $G$4,-$J$4)))/$E$10</f>
        <v>19.760000000000002</v>
      </c>
      <c r="V19" s="164">
        <f>MAX(Tabela2[VWO])/Tabela2[[#This Row],[VWO]]</f>
        <v>7.4898785425101213</v>
      </c>
      <c r="W19" s="170">
        <f>Tabela2[[#This Row],[Health]]/(AVERAGE($H$10,$I$10)*(1+($F$10-Tabela2[[#This Row],[Defence]])*IF($F$10-Tabela2[[#This Row],[Defence]] = 0, 1, IF($F$10-Tabela2[[#This Row],[Defence]] &gt; 0, $G$4,$J$4))))</f>
        <v>43.668122270742359</v>
      </c>
      <c r="X19" s="171">
        <f>MAX(Tabela2[VWD])/Tabela2[[#This Row],[VWD]]</f>
        <v>12.54394904458599</v>
      </c>
      <c r="Y19" s="174">
        <f>Tabela2[[#This Row],[VWO]]*Tabela2[[#This Row],[VWD_R]]</f>
        <v>247.86843312101917</v>
      </c>
      <c r="Z19" s="176">
        <f>Tabela2[[#This Row],[VWO_R]]*Tabela2[[#This Row],[VWD]]</f>
        <v>327.06893198734156</v>
      </c>
      <c r="AA19" s="180">
        <f>(Tabela2[[#This Row],[V_Def]]+Tabela2[[#This Row],[V_Off]])/2</f>
        <v>287.46868255418036</v>
      </c>
      <c r="AB19" s="180">
        <f>472.09/Tabela2[[#This Row],[!ŚREDNIA]]</f>
        <v>1.6422310625472161</v>
      </c>
      <c r="AC19" s="180">
        <f>Tabela2[[#This Row],[VWO]]+Tabela2[[#This Row],[VWD]]</f>
        <v>63.428122270742364</v>
      </c>
      <c r="AD19" s="180">
        <f>Tabela2[[#This Row],[Suma VW]]*Tabela2[[#This Row],[Odchyłka]]</f>
        <v>104.16363263205596</v>
      </c>
      <c r="AE19" s="180">
        <f>Tabela2[[#This Row],[Suma*Odchyłka]]/2*1.17</f>
        <v>60.935725089752736</v>
      </c>
      <c r="AF19" s="180">
        <f>15000/Tabela2[[#This Row],[V/HP]]/27.17</f>
        <v>9.060030033855476</v>
      </c>
      <c r="AG19" s="188"/>
      <c r="AH19" s="135">
        <v>1315</v>
      </c>
      <c r="AI19" s="197">
        <f>Tabela2[[#This Row],[FixedAmountAfterSearching]]/136</f>
        <v>9.6691176470588243</v>
      </c>
      <c r="AJ19" s="197">
        <f>1000/Tabela2[[#This Row],[AMT ]]</f>
        <v>103.42205323193916</v>
      </c>
      <c r="AK19" s="197">
        <f>$AK$7/Tabela2[[#This Row],[Cena SIM]]</f>
        <v>96.691176470588246</v>
      </c>
      <c r="AL19" s="251"/>
      <c r="AM19" s="257" t="s">
        <v>280</v>
      </c>
      <c r="AN19" s="236"/>
      <c r="AO19" s="236" t="e">
        <f>Tabela2[[#This Row],[!ŚREDNIA]]/MAX(Tabela2[!ŚREDNIA])</f>
        <v>#DIV/0!</v>
      </c>
      <c r="AP19" s="236">
        <f>Tabela2[[#This Row],[VWO]]/Tabela2[[#This Row],[V_Off]]*1000</f>
        <v>79.71971158728546</v>
      </c>
      <c r="AQ19" s="236">
        <f>Tabela2[[#This Row],[VWD]]/Tabela2[[#This Row],[V_Def]]*1000</f>
        <v>133.51351351351352</v>
      </c>
      <c r="AR19" s="236">
        <f>1/(AVERAGE((Tabela2[[#This Row],[Damage max]],Tabela2[[#This Row],[Damage min]]))*(1+(Tabela2[[#This Row],[Attack]]-$G$9)*IF(Tabela2[[#This Row],[Attack]]-$G$9 = 0, 1, IF(Tabela2[[#This Row],[Attack]]-$G$9 &gt; 0,$G$4,$J$4)))/$E$9)</f>
        <v>26.674937965260547</v>
      </c>
      <c r="AS19" s="236">
        <f>(AVERAGE($H$9,$I$9))*(1+(($F$9-Tabela2[[#This Row],[Defence]])*IF($F$9-Tabela2[[#This Row],[Defence]] = 0, 1, IF($F$9-Tabela2[[#This Row],[Defence]] &gt; 0, $G$4,$J$4))))/Tabela2[[#This Row],[Health]]</f>
        <v>3.4</v>
      </c>
      <c r="AT19" s="236">
        <f>INT(SQRT(((Tabela2[[#This Row],[VWO]])*Tabela2[[#This Row],[VWD]])))</f>
        <v>29</v>
      </c>
      <c r="AU19" s="236">
        <f>Tabela2[[#This Row],[VWD]]/Tabela2[[#This Row],[VWO]]</f>
        <v>2.2099252161306859</v>
      </c>
      <c r="AV19" s="236" t="e">
        <f>#REF!/#REF!</f>
        <v>#REF!</v>
      </c>
      <c r="AW19" s="244" t="e">
        <f>SUM(#REF!)</f>
        <v>#REF!</v>
      </c>
      <c r="AX19" s="244" t="e">
        <f>300*#REF!</f>
        <v>#REF!</v>
      </c>
      <c r="AY19" s="242">
        <v>1217</v>
      </c>
      <c r="AZ19" s="242">
        <v>1233</v>
      </c>
      <c r="BA19" s="245" t="e">
        <f>(#REF!+Tabela2[[#This Row],[SIM]]+Tabela2[[#This Row],[FixedAmountAfterSearching]])/3</f>
        <v>#REF!</v>
      </c>
    </row>
    <row r="20" spans="1:53" s="137" customFormat="1" ht="14.25" customHeight="1" x14ac:dyDescent="0.25">
      <c r="A20" s="201" t="s">
        <v>184</v>
      </c>
      <c r="B20" s="140" t="s">
        <v>208</v>
      </c>
      <c r="C20" s="223"/>
      <c r="D20" s="134"/>
      <c r="E20" s="140">
        <v>53</v>
      </c>
      <c r="F20" s="140">
        <v>13</v>
      </c>
      <c r="G20" s="140">
        <v>10</v>
      </c>
      <c r="H20" s="140">
        <v>11</v>
      </c>
      <c r="I20" s="140">
        <v>11</v>
      </c>
      <c r="J20" s="134">
        <v>7</v>
      </c>
      <c r="K20" s="134">
        <v>7</v>
      </c>
      <c r="L20" s="198">
        <f>INT(Tabela2[[#This Row],[Cena SIM]])</f>
        <v>111</v>
      </c>
      <c r="M20" s="205"/>
      <c r="N20" s="204" t="s">
        <v>191</v>
      </c>
      <c r="O20" s="204" t="s">
        <v>192</v>
      </c>
      <c r="P20" s="204" t="s">
        <v>193</v>
      </c>
      <c r="Q20" s="204"/>
      <c r="R20" s="231"/>
      <c r="S20" s="192">
        <f>AF20*Tabela2[[#This Row],[Odchyłka]]</f>
        <v>12.268807281048847</v>
      </c>
      <c r="T20" s="153">
        <f>Tabela2[[#This Row],[VWD]]/Tabela2[[#This Row],[VWO]]</f>
        <v>3.7248607042657382</v>
      </c>
      <c r="U20" s="161">
        <f>AVERAGE((Tabela2[[#This Row],[Damage max]],Tabela2[[#This Row],[Damage min]]))*(1+(Tabela2[[#This Row],[Attack]]-$G$10)*IF(Tabela2[[#This Row],[Attack]]-$G$10 = 0, 1, IF(Tabela2[[#This Row],[Attack]]-$G$10 &gt; 0, $G$4,-$J$4)))/$E$10</f>
        <v>16.28</v>
      </c>
      <c r="V20" s="164">
        <f>MAX(Tabela2[VWO])/Tabela2[[#This Row],[VWO]]</f>
        <v>9.0909090909090899</v>
      </c>
      <c r="W20" s="170">
        <f>Tabela2[[#This Row],[Health]]/(AVERAGE($H$10,$I$10)*(1+($F$10-Tabela2[[#This Row],[Defence]])*IF($F$10-Tabela2[[#This Row],[Defence]] = 0, 1, IF($F$10-Tabela2[[#This Row],[Defence]] &gt; 0, $G$4,$J$4))))</f>
        <v>60.640732265446225</v>
      </c>
      <c r="X20" s="171">
        <f>MAX(Tabela2[VWD])/Tabela2[[#This Row],[VWD]]</f>
        <v>9.0330489123903401</v>
      </c>
      <c r="Y20" s="174">
        <f>Tabela2[[#This Row],[VWO]]*Tabela2[[#This Row],[VWD_R]]</f>
        <v>147.05803629371474</v>
      </c>
      <c r="Z20" s="176">
        <f>Tabela2[[#This Row],[VWO_R]]*Tabela2[[#This Row],[VWD]]</f>
        <v>551.27938423132923</v>
      </c>
      <c r="AA20" s="180">
        <f>(Tabela2[[#This Row],[V_Def]]+Tabela2[[#This Row],[V_Off]])/2</f>
        <v>349.16871026252198</v>
      </c>
      <c r="AB20" s="180">
        <f>472.09/Tabela2[[#This Row],[!ŚREDNIA]]</f>
        <v>1.3520398195046166</v>
      </c>
      <c r="AC20" s="180">
        <f>Tabela2[[#This Row],[VWO]]+Tabela2[[#This Row],[VWD]]</f>
        <v>76.920732265446219</v>
      </c>
      <c r="AD20" s="180">
        <f>Tabela2[[#This Row],[Suma VW]]*Tabela2[[#This Row],[Odchyłka]]</f>
        <v>103.99989296833684</v>
      </c>
      <c r="AE20" s="180">
        <f>Tabela2[[#This Row],[Suma*Odchyłka]]/2*1.17</f>
        <v>60.839937386477047</v>
      </c>
      <c r="AF20" s="180">
        <f>15000/Tabela2[[#This Row],[V/HP]]/27.17</f>
        <v>9.0742943396031794</v>
      </c>
      <c r="AG20" s="188"/>
      <c r="AH20" s="135">
        <v>1217</v>
      </c>
      <c r="AI20" s="197">
        <f>Tabela2[[#This Row],[FixedAmountAfterSearching]]/136</f>
        <v>8.9485294117647065</v>
      </c>
      <c r="AJ20" s="197">
        <f>1000/Tabela2[[#This Row],[AMT ]]</f>
        <v>111.75020542317172</v>
      </c>
      <c r="AK20" s="197">
        <f>$AK$7/Tabela2[[#This Row],[Cena SIM]]</f>
        <v>89.485294117647072</v>
      </c>
      <c r="AL20" s="251"/>
      <c r="AM20" s="257" t="s">
        <v>189</v>
      </c>
      <c r="AN20" s="236"/>
      <c r="AO20" s="236" t="e">
        <f>Tabela2[[#This Row],[!ŚREDNIA]]/MAX(Tabela2[!ŚREDNIA])</f>
        <v>#DIV/0!</v>
      </c>
      <c r="AP20" s="236">
        <f>Tabela2[[#This Row],[VWO]]/Tabela2[[#This Row],[V_Off]]*1000</f>
        <v>110.70459262412855</v>
      </c>
      <c r="AQ20" s="236">
        <f>Tabela2[[#This Row],[VWD]]/Tabela2[[#This Row],[V_Def]]*1000</f>
        <v>110.00000000000001</v>
      </c>
      <c r="AR20" s="236">
        <f>1/(AVERAGE((Tabela2[[#This Row],[Damage max]],Tabela2[[#This Row],[Damage min]]))*(1+(Tabela2[[#This Row],[Attack]]-$G$9)*IF(Tabela2[[#This Row],[Attack]]-$G$9 = 0, 1, IF(Tabela2[[#This Row],[Attack]]-$G$9 &gt; 0,$G$4,$J$4)))/$E$9)</f>
        <v>32.440588457185967</v>
      </c>
      <c r="AS20" s="236">
        <f>(AVERAGE($H$9,$I$9))*(1+(($F$9-Tabela2[[#This Row],[Defence]])*IF($F$9-Tabela2[[#This Row],[Defence]] = 0, 1, IF($F$9-Tabela2[[#This Row],[Defence]] &gt; 0, $G$4,$J$4))))/Tabela2[[#This Row],[Health]]</f>
        <v>2.4528301886792452</v>
      </c>
      <c r="AT20" s="236">
        <f>INT(SQRT(((Tabela2[[#This Row],[VWO]])*Tabela2[[#This Row],[VWD]])))</f>
        <v>31</v>
      </c>
      <c r="AU20" s="236">
        <f>Tabela2[[#This Row],[VWD]]/Tabela2[[#This Row],[VWO]]</f>
        <v>3.7248607042657382</v>
      </c>
      <c r="AV20" s="236" t="e">
        <f>#REF!/#REF!</f>
        <v>#REF!</v>
      </c>
      <c r="AW20" s="244" t="e">
        <f>SUM(#REF!)</f>
        <v>#REF!</v>
      </c>
      <c r="AX20" s="244" t="e">
        <f>300*#REF!</f>
        <v>#REF!</v>
      </c>
      <c r="AY20" s="242">
        <v>1182</v>
      </c>
      <c r="AZ20" s="242">
        <v>982</v>
      </c>
      <c r="BA20" s="245" t="e">
        <f>(#REF!+Tabela2[[#This Row],[SIM]]+Tabela2[[#This Row],[FixedAmountAfterSearching]])/3</f>
        <v>#REF!</v>
      </c>
    </row>
    <row r="21" spans="1:53" s="137" customFormat="1" ht="14.25" customHeight="1" x14ac:dyDescent="0.25">
      <c r="A21" s="201" t="s">
        <v>180</v>
      </c>
      <c r="B21" s="140" t="s">
        <v>208</v>
      </c>
      <c r="C21" s="222"/>
      <c r="D21" s="134"/>
      <c r="E21" s="135">
        <v>125</v>
      </c>
      <c r="F21" s="135">
        <v>25</v>
      </c>
      <c r="G21" s="135">
        <v>25</v>
      </c>
      <c r="H21" s="135">
        <v>25</v>
      </c>
      <c r="I21" s="135">
        <v>25</v>
      </c>
      <c r="J21" s="134">
        <v>10</v>
      </c>
      <c r="K21" s="134">
        <v>6</v>
      </c>
      <c r="L21" s="198">
        <f>INT(Tabela2[[#This Row],[Cena SIM]])</f>
        <v>351</v>
      </c>
      <c r="M21" s="205"/>
      <c r="N21" s="204" t="s">
        <v>176</v>
      </c>
      <c r="O21" s="204"/>
      <c r="P21" s="204"/>
      <c r="Q21" s="204"/>
      <c r="R21" s="231"/>
      <c r="S21" s="192">
        <f>AF21*Tabela2[[#This Row],[Odchyłka]]</f>
        <v>3.9777182676619427</v>
      </c>
      <c r="T21" s="153">
        <f>Tabela2[[#This Row],[VWD]]/Tabela2[[#This Row],[VWO]]</f>
        <v>3.8418982050651591</v>
      </c>
      <c r="U21" s="161">
        <f>AVERAGE((Tabela2[[#This Row],[Damage max]],Tabela2[[#This Row],[Damage min]]))*(1+(Tabela2[[#This Row],[Attack]]-$G$10)*IF(Tabela2[[#This Row],[Attack]]-$G$10 = 0, 1, IF(Tabela2[[#This Row],[Attack]]-$G$10 &gt; 0, $G$4,-$J$4)))/$E$10</f>
        <v>49</v>
      </c>
      <c r="V21" s="164">
        <f>MAX(Tabela2[VWO])/Tabela2[[#This Row],[VWO]]</f>
        <v>3.0204081632653059</v>
      </c>
      <c r="W21" s="170">
        <f>Tabela2[[#This Row],[Health]]/(AVERAGE($H$10,$I$10)*(1+($F$10-Tabela2[[#This Row],[Defence]])*IF($F$10-Tabela2[[#This Row],[Defence]] = 0, 1, IF($F$10-Tabela2[[#This Row],[Defence]] &gt; 0, $G$4,$J$4))))</f>
        <v>188.2530120481928</v>
      </c>
      <c r="X21" s="171">
        <f>MAX(Tabela2[VWD])/Tabela2[[#This Row],[VWD]]</f>
        <v>2.9097579617834399</v>
      </c>
      <c r="Y21" s="174">
        <f>Tabela2[[#This Row],[VWO]]*Tabela2[[#This Row],[VWD_R]]</f>
        <v>142.57814012738856</v>
      </c>
      <c r="Z21" s="176">
        <f>Tabela2[[#This Row],[VWO_R]]*Tabela2[[#This Row],[VWD]]</f>
        <v>568.60093434964358</v>
      </c>
      <c r="AA21" s="180">
        <f>(Tabela2[[#This Row],[V_Def]]+Tabela2[[#This Row],[V_Off]])/2</f>
        <v>355.58953723851607</v>
      </c>
      <c r="AB21" s="180">
        <f>472.09/Tabela2[[#This Row],[!ŚREDNIA]]</f>
        <v>1.32762623913577</v>
      </c>
      <c r="AC21" s="180">
        <f>Tabela2[[#This Row],[VWO]]+Tabela2[[#This Row],[VWD]]</f>
        <v>237.2530120481928</v>
      </c>
      <c r="AD21" s="180">
        <f>Tabela2[[#This Row],[Suma VW]]*Tabela2[[#This Row],[Odchyłka]]</f>
        <v>314.98332410917573</v>
      </c>
      <c r="AE21" s="180">
        <f>Tabela2[[#This Row],[Suma*Odchyłka]]/2*1.17</f>
        <v>184.26524460386779</v>
      </c>
      <c r="AF21" s="180">
        <f>15000/Tabela2[[#This Row],[V/HP]]/27.17</f>
        <v>2.9961130251924466</v>
      </c>
      <c r="AG21" s="188"/>
      <c r="AH21" s="135">
        <v>387</v>
      </c>
      <c r="AI21" s="197">
        <f>Tabela2[[#This Row],[FixedAmountAfterSearching]]/136</f>
        <v>2.8455882352941178</v>
      </c>
      <c r="AJ21" s="197">
        <f>1000/Tabela2[[#This Row],[AMT ]]</f>
        <v>351.42118863049092</v>
      </c>
      <c r="AK21" s="197">
        <f>$AK$7/Tabela2[[#This Row],[Cena SIM]]</f>
        <v>28.455882352941181</v>
      </c>
      <c r="AL21" s="251"/>
      <c r="AM21" s="257" t="s">
        <v>186</v>
      </c>
      <c r="AN21" s="236"/>
      <c r="AO21" s="236" t="e">
        <f>Tabela2[[#This Row],[!ŚREDNIA]]/MAX(Tabela2[!ŚREDNIA])</f>
        <v>#DIV/0!</v>
      </c>
      <c r="AP21" s="236">
        <f>Tabela2[[#This Row],[VWO]]/Tabela2[[#This Row],[V_Off]]*1000</f>
        <v>343.67119641356112</v>
      </c>
      <c r="AQ21" s="236">
        <f>Tabela2[[#This Row],[VWD]]/Tabela2[[#This Row],[V_Def]]*1000</f>
        <v>331.08108108108109</v>
      </c>
      <c r="AR21" s="236">
        <f>1/(AVERAGE((Tabela2[[#This Row],[Damage max]],Tabela2[[#This Row],[Damage min]]))*(1+(Tabela2[[#This Row],[Attack]]-$G$9)*IF(Tabela2[[#This Row],[Attack]]-$G$9 = 0, 1, IF(Tabela2[[#This Row],[Attack]]-$G$9 &gt; 0,$G$4,$J$4)))/$E$9)</f>
        <v>10.584615384615388</v>
      </c>
      <c r="AS21" s="236">
        <f>(AVERAGE($H$9,$I$9))*(1+(($F$9-Tabela2[[#This Row],[Defence]])*IF($F$9-Tabela2[[#This Row],[Defence]] = 0, 1, IF($F$9-Tabela2[[#This Row],[Defence]] &gt; 0, $G$4,$J$4))))/Tabela2[[#This Row],[Health]]</f>
        <v>0.8</v>
      </c>
      <c r="AT21" s="236">
        <f>INT(SQRT(((Tabela2[[#This Row],[VWO]])*Tabela2[[#This Row],[VWD]])))</f>
        <v>96</v>
      </c>
      <c r="AU21" s="236">
        <f>Tabela2[[#This Row],[VWD]]/Tabela2[[#This Row],[VWO]]</f>
        <v>3.8418982050651591</v>
      </c>
      <c r="AV21" s="236" t="e">
        <f>#REF!/#REF!</f>
        <v>#REF!</v>
      </c>
      <c r="AW21" s="244" t="e">
        <f>SUM(#REF!)</f>
        <v>#REF!</v>
      </c>
      <c r="AX21" s="244" t="e">
        <f>300*#REF!</f>
        <v>#REF!</v>
      </c>
      <c r="AY21" s="242">
        <v>387</v>
      </c>
      <c r="AZ21" s="242">
        <v>387</v>
      </c>
      <c r="BA21" s="245" t="e">
        <f>(#REF!+Tabela2[[#This Row],[SIM]]+Tabela2[[#This Row],[FixedAmountAfterSearching]])/3</f>
        <v>#REF!</v>
      </c>
    </row>
    <row r="22" spans="1:53" s="137" customFormat="1" ht="14.25" customHeight="1" x14ac:dyDescent="0.25">
      <c r="A22" s="201" t="s">
        <v>181</v>
      </c>
      <c r="B22" s="140" t="s">
        <v>208</v>
      </c>
      <c r="C22" s="223"/>
      <c r="D22" s="134"/>
      <c r="E22" s="140">
        <v>100</v>
      </c>
      <c r="F22" s="140">
        <v>1</v>
      </c>
      <c r="G22" s="140">
        <v>50</v>
      </c>
      <c r="H22" s="140">
        <v>5</v>
      </c>
      <c r="I22" s="140">
        <v>5</v>
      </c>
      <c r="J22" s="134">
        <v>2</v>
      </c>
      <c r="K22" s="134">
        <v>2</v>
      </c>
      <c r="L22" s="198">
        <f>INT(Tabela2[[#This Row],[Cena SIM]])</f>
        <v>141</v>
      </c>
      <c r="M22" s="205"/>
      <c r="N22" s="204"/>
      <c r="O22" s="204" t="s">
        <v>177</v>
      </c>
      <c r="P22" s="204"/>
      <c r="Q22" s="204"/>
      <c r="R22" s="231"/>
      <c r="S22" s="192">
        <f>AF22*Tabela2[[#This Row],[Odchyłka]]</f>
        <v>2.9174938563130981</v>
      </c>
      <c r="T22" s="153">
        <f>Tabela2[[#This Row],[VWD]]/Tabela2[[#This Row],[VWO]]</f>
        <v>63.694267515923585</v>
      </c>
      <c r="U22" s="161">
        <f>AVERAGE((Tabela2[[#This Row],[Damage max]],Tabela2[[#This Row],[Damage min]]))*(1+(Tabela2[[#This Row],[Attack]]-$G$10)*IF(Tabela2[[#This Row],[Attack]]-$G$10 = 0, 1, IF(Tabela2[[#This Row],[Attack]]-$G$10 &gt; 0, $G$4,-$J$4)))/$E$10</f>
        <v>5</v>
      </c>
      <c r="V22" s="164">
        <f>MAX(Tabela2[VWO])/Tabela2[[#This Row],[VWO]]</f>
        <v>29.6</v>
      </c>
      <c r="W22" s="170">
        <f>Tabela2[[#This Row],[Health]]/(AVERAGE($H$10,$I$10)*(1+($F$10-Tabela2[[#This Row],[Defence]])*IF($F$10-Tabela2[[#This Row],[Defence]] = 0, 1, IF($F$10-Tabela2[[#This Row],[Defence]] &gt; 0, $G$4,$J$4))))</f>
        <v>318.47133757961791</v>
      </c>
      <c r="X22" s="171">
        <f>MAX(Tabela2[VWD])/Tabela2[[#This Row],[VWD]]</f>
        <v>1.72</v>
      </c>
      <c r="Y22" s="174">
        <f>Tabela2[[#This Row],[VWO]]*Tabela2[[#This Row],[VWD_R]]</f>
        <v>8.6</v>
      </c>
      <c r="Z22" s="176">
        <f>Tabela2[[#This Row],[VWO_R]]*Tabela2[[#This Row],[VWD]]</f>
        <v>9426.7515923566898</v>
      </c>
      <c r="AA22" s="180">
        <f>(Tabela2[[#This Row],[V_Def]]+Tabela2[[#This Row],[V_Off]])/2</f>
        <v>4717.6757961783451</v>
      </c>
      <c r="AB22" s="180">
        <f>472.09/Tabela2[[#This Row],[!ŚREDNIA]]</f>
        <v>0.10006834305621989</v>
      </c>
      <c r="AC22" s="180">
        <f>Tabela2[[#This Row],[VWO]]+Tabela2[[#This Row],[VWD]]</f>
        <v>323.47133757961791</v>
      </c>
      <c r="AD22" s="180">
        <f>Tabela2[[#This Row],[Suma VW]]*Tabela2[[#This Row],[Odchyłka]]</f>
        <v>32.369240777771516</v>
      </c>
      <c r="AE22" s="180">
        <f>Tabela2[[#This Row],[Suma*Odchyłka]]/2*1.17</f>
        <v>18.936005854996335</v>
      </c>
      <c r="AF22" s="180">
        <f>15000/Tabela2[[#This Row],[V/HP]]/27.17</f>
        <v>29.155013136112451</v>
      </c>
      <c r="AG22" s="188"/>
      <c r="AH22" s="135">
        <v>958</v>
      </c>
      <c r="AI22" s="197">
        <f>Tabela2[[#This Row],[FixedAmountAfterSearching]]/136</f>
        <v>7.0441176470588234</v>
      </c>
      <c r="AJ22" s="197">
        <f>1000/Tabela2[[#This Row],[AMT ]]</f>
        <v>141.96242171189979</v>
      </c>
      <c r="AK22" s="197">
        <f>$AK$7/Tabela2[[#This Row],[Cena SIM]]</f>
        <v>70.441176470588232</v>
      </c>
      <c r="AL22" s="251"/>
      <c r="AM22" s="257" t="s">
        <v>187</v>
      </c>
      <c r="AN22" s="236"/>
      <c r="AO22" s="236" t="e">
        <f>Tabela2[[#This Row],[!ŚREDNIA]]/MAX(Tabela2[!ŚREDNIA])</f>
        <v>#DIV/0!</v>
      </c>
      <c r="AP22" s="236">
        <f>Tabela2[[#This Row],[VWO]]/Tabela2[[#This Row],[V_Off]]*1000</f>
        <v>581.39534883720933</v>
      </c>
      <c r="AQ22" s="236">
        <f>Tabela2[[#This Row],[VWD]]/Tabela2[[#This Row],[V_Def]]*1000</f>
        <v>33.783783783783782</v>
      </c>
      <c r="AR22" s="236">
        <f>1/(AVERAGE((Tabela2[[#This Row],[Damage max]],Tabela2[[#This Row],[Damage min]]))*(1+(Tabela2[[#This Row],[Attack]]-$G$9)*IF(Tabela2[[#This Row],[Attack]]-$G$9 = 0, 1, IF(Tabela2[[#This Row],[Attack]]-$G$9 &gt; 0,$G$4,$J$4)))/$E$9)</f>
        <v>109.55414012738855</v>
      </c>
      <c r="AS22" s="236">
        <f>(AVERAGE($H$9,$I$9))*(1+(($F$9-Tabela2[[#This Row],[Defence]])*IF($F$9-Tabela2[[#This Row],[Defence]] = 0, 1, IF($F$9-Tabela2[[#This Row],[Defence]] &gt; 0, $G$4,$J$4))))/Tabela2[[#This Row],[Health]]</f>
        <v>0.5</v>
      </c>
      <c r="AT22" s="236">
        <f>INT(SQRT(((Tabela2[[#This Row],[VWO]])*Tabela2[[#This Row],[VWD]])))</f>
        <v>39</v>
      </c>
      <c r="AU22" s="236">
        <f>Tabela2[[#This Row],[VWD]]/Tabela2[[#This Row],[VWO]]</f>
        <v>63.694267515923585</v>
      </c>
      <c r="AV22" s="236" t="e">
        <f>#REF!/#REF!</f>
        <v>#REF!</v>
      </c>
      <c r="AW22" s="244" t="e">
        <f>SUM(#REF!)</f>
        <v>#REF!</v>
      </c>
      <c r="AX22" s="244" t="e">
        <f>300*#REF!</f>
        <v>#REF!</v>
      </c>
      <c r="AY22" s="242">
        <v>1013</v>
      </c>
      <c r="AZ22" s="242">
        <v>860</v>
      </c>
      <c r="BA22" s="245" t="e">
        <f>(#REF!+Tabela2[[#This Row],[SIM]]+Tabela2[[#This Row],[FixedAmountAfterSearching]])/3</f>
        <v>#REF!</v>
      </c>
    </row>
    <row r="23" spans="1:53" x14ac:dyDescent="0.25">
      <c r="A23" s="202" t="s">
        <v>185</v>
      </c>
      <c r="B23" s="140" t="s">
        <v>208</v>
      </c>
      <c r="D23" s="131"/>
      <c r="E23" s="131">
        <v>40</v>
      </c>
      <c r="F23" s="131">
        <v>21</v>
      </c>
      <c r="G23" s="131">
        <v>25</v>
      </c>
      <c r="H23" s="131">
        <v>9</v>
      </c>
      <c r="I23" s="131">
        <v>9</v>
      </c>
      <c r="J23" s="186">
        <v>4</v>
      </c>
      <c r="K23" s="186">
        <v>4</v>
      </c>
      <c r="L23" s="198">
        <f>INT(Tabela2[[#This Row],[Cena SIM]])</f>
        <v>117</v>
      </c>
      <c r="N23" s="203" t="s">
        <v>194</v>
      </c>
      <c r="O23" s="203" t="s">
        <v>195</v>
      </c>
      <c r="P23" s="203" t="s">
        <v>195</v>
      </c>
      <c r="Q23" s="203"/>
      <c r="R23" s="231"/>
      <c r="S23" s="193">
        <f>AF23*Tabela2[[#This Row],[Odchyłka]]</f>
        <v>12.345810315354626</v>
      </c>
      <c r="T23" s="184">
        <f>Tabela2[[#This Row],[VWD]]/Tabela2[[#This Row],[VWO]]</f>
        <v>3.7185780157667714</v>
      </c>
      <c r="U23" s="185">
        <f>AVERAGE((Tabela2[[#This Row],[Damage max]],Tabela2[[#This Row],[Damage min]]))*(1+(Tabela2[[#This Row],[Attack]]-$G$10)*IF(Tabela2[[#This Row],[Attack]]-$G$10 = 0, 1, IF(Tabela2[[#This Row],[Attack]]-$G$10 &gt; 0, $G$4,-$J$4)))/$E$10</f>
        <v>16.2</v>
      </c>
      <c r="V23" s="164">
        <f>MAX(Tabela2[VWO])/Tabela2[[#This Row],[VWO]]</f>
        <v>9.1358024691358022</v>
      </c>
      <c r="W23" s="170">
        <f>Tabela2[[#This Row],[Health]]/(AVERAGE($H$10,$I$10)*(1+($F$10-Tabela2[[#This Row],[Defence]])*IF($F$10-Tabela2[[#This Row],[Defence]] = 0, 1, IF($F$10-Tabela2[[#This Row],[Defence]] &gt; 0, $G$4,$J$4))))</f>
        <v>60.240963855421697</v>
      </c>
      <c r="X23" s="171">
        <f>MAX(Tabela2[VWD])/Tabela2[[#This Row],[VWD]]</f>
        <v>9.0929936305732486</v>
      </c>
      <c r="Y23" s="174">
        <f>Tabela2[[#This Row],[VWO]]*Tabela2[[#This Row],[VWD_R]]</f>
        <v>147.30649681528661</v>
      </c>
      <c r="Z23" s="176">
        <f>Tabela2[[#This Row],[VWO_R]]*Tabela2[[#This Row],[VWD]]</f>
        <v>550.34954633348218</v>
      </c>
      <c r="AA23" s="180">
        <f>(Tabela2[[#This Row],[V_Def]]+Tabela2[[#This Row],[V_Off]])/2</f>
        <v>348.82802157438437</v>
      </c>
      <c r="AB23" s="180">
        <f>472.09/Tabela2[[#This Row],[!ŚREDNIA]]</f>
        <v>1.3533603116782036</v>
      </c>
      <c r="AC23" s="180">
        <f>Tabela2[[#This Row],[VWO]]+Tabela2[[#This Row],[VWD]]</f>
        <v>76.4409638554217</v>
      </c>
      <c r="AD23" s="180">
        <f>Tabela2[[#This Row],[Suma VW]]*Tabela2[[#This Row],[Odchyłka]]</f>
        <v>103.4521666683558</v>
      </c>
      <c r="AE23" s="180">
        <f>Tabela2[[#This Row],[Suma*Odchyłka]]/2*1.17</f>
        <v>60.519517500988137</v>
      </c>
      <c r="AF23" s="180">
        <f>15000/Tabela2[[#This Row],[V/HP]]/27.17</f>
        <v>9.1223380860382157</v>
      </c>
      <c r="AH23" s="135">
        <v>1162</v>
      </c>
      <c r="AI23" s="233">
        <f>Tabela2[[#This Row],[FixedAmountAfterSearching]]/136</f>
        <v>8.5441176470588243</v>
      </c>
      <c r="AJ23" s="233">
        <f>1000/Tabela2[[#This Row],[AMT ]]</f>
        <v>117.03958691910498</v>
      </c>
      <c r="AK23" s="233">
        <f>$AK$7/Tabela2[[#This Row],[Cena SIM]]</f>
        <v>85.441176470588246</v>
      </c>
      <c r="AM23" s="258" t="s">
        <v>190</v>
      </c>
      <c r="AO23" s="236" t="e">
        <f>Tabela2[[#This Row],[!ŚREDNIA]]/MAX(Tabela2[!ŚREDNIA])</f>
        <v>#DIV/0!</v>
      </c>
      <c r="AP23" s="236">
        <f>Tabela2[[#This Row],[VWO]]/Tabela2[[#This Row],[V_Off]]*1000</f>
        <v>109.9747828523396</v>
      </c>
      <c r="AQ23" s="236">
        <f>Tabela2[[#This Row],[VWD]]/Tabela2[[#This Row],[V_Def]]*1000</f>
        <v>109.45945945945945</v>
      </c>
      <c r="AR23" s="236">
        <f>1/(AVERAGE((Tabela2[[#This Row],[Damage max]],Tabela2[[#This Row],[Damage min]]))*(1+(Tabela2[[#This Row],[Attack]]-$G$9)*IF(Tabela2[[#This Row],[Attack]]-$G$9 = 0, 1, IF(Tabela2[[#This Row],[Attack]]-$G$9 &gt; 0,$G$4,$J$4)))/$E$9)</f>
        <v>32.173587729143286</v>
      </c>
      <c r="AS23" s="236">
        <f>(AVERAGE($H$9,$I$9))*(1+(($F$9-Tabela2[[#This Row],[Defence]])*IF($F$9-Tabela2[[#This Row],[Defence]] = 0, 1, IF($F$9-Tabela2[[#This Row],[Defence]] &gt; 0, $G$4,$J$4))))/Tabela2[[#This Row],[Health]]</f>
        <v>2.5</v>
      </c>
      <c r="AT23" s="236">
        <f>INT(SQRT(((Tabela2[[#This Row],[VWO]])*Tabela2[[#This Row],[VWD]])))</f>
        <v>31</v>
      </c>
      <c r="AU23" s="236">
        <f>Tabela2[[#This Row],[VWD]]/Tabela2[[#This Row],[VWO]]</f>
        <v>3.7185780157667714</v>
      </c>
      <c r="AV23" s="236" t="e">
        <f>#REF!/#REF!</f>
        <v>#REF!</v>
      </c>
      <c r="AW23" s="244" t="e">
        <f>SUM(#REF!)</f>
        <v>#REF!</v>
      </c>
      <c r="AX23" s="244" t="e">
        <f>300*#REF!</f>
        <v>#REF!</v>
      </c>
      <c r="AY23" s="242">
        <v>1196</v>
      </c>
      <c r="AZ23" s="242">
        <v>999</v>
      </c>
      <c r="BA23" s="245" t="e">
        <f>(#REF!+Tabela2[[#This Row],[SIM]]+Tabela2[[#This Row],[FixedAmountAfterSearching]])/3</f>
        <v>#REF!</v>
      </c>
    </row>
    <row r="24" spans="1:53" x14ac:dyDescent="0.25">
      <c r="A24" s="130" t="s">
        <v>278</v>
      </c>
      <c r="B24" s="140" t="s">
        <v>208</v>
      </c>
      <c r="D24" s="247">
        <v>0</v>
      </c>
      <c r="E24" s="131">
        <v>0</v>
      </c>
      <c r="F24" s="131">
        <v>0</v>
      </c>
      <c r="G24" s="131">
        <v>0</v>
      </c>
      <c r="H24" s="131">
        <v>0</v>
      </c>
      <c r="I24" s="131">
        <v>0</v>
      </c>
      <c r="J24" s="248">
        <v>0</v>
      </c>
      <c r="K24" s="186">
        <v>0</v>
      </c>
      <c r="L24" s="198">
        <f>INT(Tabela2[[#This Row],[Cena SIM]])</f>
        <v>0</v>
      </c>
      <c r="N24" s="132" t="s">
        <v>275</v>
      </c>
      <c r="O24" s="132" t="s">
        <v>276</v>
      </c>
      <c r="R24" s="231"/>
      <c r="S24" s="193" t="e">
        <f>AF24*Tabela2[[#This Row],[Odchyłka]]</f>
        <v>#DIV/0!</v>
      </c>
      <c r="T24" s="184" t="e">
        <f>Tabela2[[#This Row],[VWD]]/Tabela2[[#This Row],[VWO]]</f>
        <v>#DIV/0!</v>
      </c>
      <c r="U24" s="185">
        <f>AVERAGE((Tabela2[[#This Row],[Damage max]],Tabela2[[#This Row],[Damage min]]))*(1+(Tabela2[[#This Row],[Attack]]-$G$10)*IF(Tabela2[[#This Row],[Attack]]-$G$10 = 0, 1, IF(Tabela2[[#This Row],[Attack]]-$G$10 &gt; 0, $G$4,-$J$4)))/$E$10</f>
        <v>0</v>
      </c>
      <c r="V24" s="164" t="e">
        <f>MAX(Tabela2[VWO])/Tabela2[[#This Row],[VWO]]</f>
        <v>#DIV/0!</v>
      </c>
      <c r="W24" s="170">
        <f>Tabela2[[#This Row],[Health]]/(AVERAGE($H$10,$I$10)*(1+($F$10-Tabela2[[#This Row],[Defence]])*IF($F$10-Tabela2[[#This Row],[Defence]] = 0, 1, IF($F$10-Tabela2[[#This Row],[Defence]] &gt; 0, $G$4,$J$4))))</f>
        <v>0</v>
      </c>
      <c r="X24" s="171" t="e">
        <f>MAX(Tabela2[VWD])/Tabela2[[#This Row],[VWD]]</f>
        <v>#DIV/0!</v>
      </c>
      <c r="Y24" s="187" t="e">
        <f>Tabela2[[#This Row],[VWO]]*Tabela2[[#This Row],[VWD_R]]</f>
        <v>#DIV/0!</v>
      </c>
      <c r="Z24" s="194" t="e">
        <f>Tabela2[[#This Row],[VWO_R]]*Tabela2[[#This Row],[VWD]]</f>
        <v>#DIV/0!</v>
      </c>
      <c r="AA24" s="180" t="e">
        <f>(Tabela2[[#This Row],[V_Def]]+Tabela2[[#This Row],[V_Off]])/2</f>
        <v>#DIV/0!</v>
      </c>
      <c r="AB24" s="180" t="e">
        <f>472.09/Tabela2[[#This Row],[!ŚREDNIA]]</f>
        <v>#DIV/0!</v>
      </c>
      <c r="AC24" s="180">
        <f>Tabela2[[#This Row],[VWO]]+Tabela2[[#This Row],[VWD]]</f>
        <v>0</v>
      </c>
      <c r="AD24" s="180" t="e">
        <f>Tabela2[[#This Row],[Suma VW]]*Tabela2[[#This Row],[Odchyłka]]</f>
        <v>#DIV/0!</v>
      </c>
      <c r="AE24" s="180" t="e">
        <f>Tabela2[[#This Row],[Suma*Odchyłka]]/2*1.17</f>
        <v>#DIV/0!</v>
      </c>
      <c r="AF24" s="180" t="e">
        <f>15000/Tabela2[[#This Row],[V/HP]]/27.17</f>
        <v>#DIV/0!</v>
      </c>
      <c r="AG24" s="249"/>
      <c r="AH24" s="198">
        <v>0</v>
      </c>
      <c r="AI24" s="198">
        <v>10000000000</v>
      </c>
      <c r="AJ24" s="132">
        <f>1000/Tabela2[[#This Row],[AMT ]]</f>
        <v>9.9999999999999995E-8</v>
      </c>
      <c r="AK24" s="132">
        <f>$AK$7/Tabela2[[#This Row],[Cena SIM]]</f>
        <v>100000000000</v>
      </c>
      <c r="AM24" s="213" t="s">
        <v>279</v>
      </c>
    </row>
    <row r="25" spans="1:53" x14ac:dyDescent="0.25">
      <c r="A25" s="129"/>
      <c r="C25" s="216"/>
      <c r="D25" s="129"/>
      <c r="E25" s="129"/>
      <c r="F25" s="129"/>
      <c r="G25" s="129"/>
      <c r="H25" s="129"/>
      <c r="I25" s="129"/>
      <c r="J25" s="129"/>
      <c r="K25" s="129"/>
      <c r="L25" s="129"/>
      <c r="M25" s="210"/>
      <c r="N25" s="129"/>
      <c r="O25" s="129"/>
      <c r="P25" s="129"/>
      <c r="Q25" s="129"/>
      <c r="R25" s="232"/>
    </row>
    <row r="26" spans="1:53" x14ac:dyDescent="0.25">
      <c r="A26" s="129"/>
      <c r="C26" s="216"/>
      <c r="D26" s="129"/>
      <c r="E26" s="129"/>
      <c r="F26" s="129"/>
      <c r="G26" s="129"/>
      <c r="H26" s="129"/>
      <c r="I26" s="129"/>
      <c r="J26" s="129"/>
      <c r="K26" s="129"/>
      <c r="L26" s="129"/>
      <c r="M26" s="210"/>
      <c r="N26" s="129"/>
      <c r="O26" s="129"/>
      <c r="P26" s="129"/>
      <c r="Q26" s="129"/>
      <c r="R26" s="232"/>
    </row>
    <row r="27" spans="1:53" x14ac:dyDescent="0.25">
      <c r="A27" s="129"/>
      <c r="C27" s="216"/>
      <c r="D27" s="129"/>
      <c r="E27" s="129"/>
      <c r="F27" s="129"/>
      <c r="G27" s="129"/>
      <c r="H27" s="129"/>
      <c r="I27" s="129"/>
      <c r="J27" s="129"/>
      <c r="K27" s="129"/>
      <c r="L27" s="129"/>
      <c r="M27" s="210"/>
      <c r="N27" s="129"/>
      <c r="O27" s="129"/>
      <c r="P27" s="129"/>
      <c r="Q27" s="129"/>
      <c r="R27" s="232"/>
    </row>
    <row r="28" spans="1:53" x14ac:dyDescent="0.25">
      <c r="A28" s="129"/>
      <c r="C28" s="216"/>
      <c r="D28" s="129"/>
      <c r="E28" s="129"/>
      <c r="F28" s="129"/>
      <c r="G28" s="129"/>
      <c r="H28" s="129"/>
      <c r="I28" s="129"/>
      <c r="J28" s="129"/>
      <c r="K28" s="129"/>
      <c r="L28" s="129"/>
      <c r="M28" s="210"/>
      <c r="N28" s="129"/>
      <c r="O28" s="129"/>
      <c r="P28" s="129"/>
      <c r="Q28" s="129"/>
      <c r="R28" s="232"/>
    </row>
    <row r="29" spans="1:53" x14ac:dyDescent="0.25">
      <c r="A29" s="129"/>
      <c r="C29" s="216"/>
      <c r="D29" s="129"/>
      <c r="E29" s="129"/>
      <c r="F29" s="129"/>
      <c r="G29" s="129"/>
      <c r="H29" s="129"/>
      <c r="I29" s="129"/>
      <c r="J29" s="129"/>
      <c r="K29" s="129"/>
      <c r="L29" s="129"/>
      <c r="M29" s="210"/>
      <c r="N29" s="129"/>
      <c r="O29" s="129"/>
      <c r="P29" s="129"/>
      <c r="Q29" s="129"/>
      <c r="R29" s="232"/>
    </row>
    <row r="30" spans="1:53" x14ac:dyDescent="0.25">
      <c r="A30" s="129"/>
      <c r="C30" s="216"/>
      <c r="D30" s="129"/>
      <c r="E30" s="129"/>
      <c r="F30" s="132"/>
      <c r="G30" s="132"/>
      <c r="H30" s="132"/>
      <c r="I30" s="132"/>
      <c r="J30" s="132"/>
      <c r="K30" s="132"/>
    </row>
    <row r="31" spans="1:53" x14ac:dyDescent="0.25">
      <c r="A31" s="129"/>
      <c r="C31" s="216"/>
      <c r="D31" s="129"/>
      <c r="E31" s="129"/>
      <c r="F31" s="132"/>
      <c r="G31" s="132"/>
      <c r="H31" s="132"/>
      <c r="I31" s="132"/>
      <c r="J31" s="132"/>
      <c r="K31" s="132"/>
    </row>
    <row r="32" spans="1:53" x14ac:dyDescent="0.25">
      <c r="A32" s="129"/>
      <c r="C32" s="216"/>
      <c r="D32" s="129"/>
      <c r="E32" s="129"/>
      <c r="F32" s="129"/>
      <c r="G32" s="132"/>
      <c r="H32" s="132"/>
      <c r="I32" s="132"/>
      <c r="J32" s="132"/>
      <c r="K32" s="132"/>
    </row>
    <row r="33" spans="1:11" x14ac:dyDescent="0.25">
      <c r="A33" s="129"/>
      <c r="C33" s="216"/>
      <c r="D33" s="129"/>
      <c r="E33" s="129"/>
      <c r="F33" s="129"/>
      <c r="G33" s="132"/>
      <c r="H33" s="132"/>
      <c r="I33" s="132"/>
      <c r="J33" s="132"/>
      <c r="K33" s="132"/>
    </row>
    <row r="34" spans="1:11" x14ac:dyDescent="0.25">
      <c r="A34" s="129"/>
      <c r="C34" s="216"/>
      <c r="D34" s="129"/>
      <c r="E34" s="129"/>
      <c r="F34" s="129"/>
      <c r="G34" s="132"/>
      <c r="H34" s="132"/>
      <c r="I34" s="132"/>
      <c r="J34" s="132"/>
      <c r="K34" s="132"/>
    </row>
    <row r="35" spans="1:11" x14ac:dyDescent="0.25">
      <c r="A35" s="129"/>
      <c r="C35" s="216"/>
      <c r="D35" s="129"/>
      <c r="E35" s="129"/>
      <c r="F35" s="129"/>
      <c r="G35" s="132"/>
      <c r="H35" s="132"/>
      <c r="I35" s="132"/>
      <c r="J35" s="132"/>
      <c r="K35" s="132"/>
    </row>
    <row r="36" spans="1:11" x14ac:dyDescent="0.25">
      <c r="A36" s="129"/>
      <c r="C36" s="216"/>
      <c r="D36" s="129"/>
      <c r="E36" s="129"/>
      <c r="F36" s="129"/>
      <c r="G36" s="132"/>
      <c r="H36" s="132"/>
      <c r="I36" s="132"/>
      <c r="J36" s="132"/>
      <c r="K36" s="132"/>
    </row>
    <row r="37" spans="1:11" x14ac:dyDescent="0.25">
      <c r="A37" s="129"/>
      <c r="C37" s="216"/>
      <c r="D37" s="129"/>
      <c r="E37" s="129"/>
      <c r="F37" s="129"/>
      <c r="G37" s="132"/>
      <c r="H37" s="132"/>
      <c r="I37" s="132"/>
      <c r="J37" s="132"/>
      <c r="K37" s="132"/>
    </row>
  </sheetData>
  <mergeCells count="2">
    <mergeCell ref="F3:H3"/>
    <mergeCell ref="I3:K3"/>
  </mergeCells>
  <conditionalFormatting sqref="E1:E6 E24:E1048576 B23:C23 B8:C20 B1:B1048576">
    <cfRule type="containsText" dxfId="59" priority="19" operator="containsText" text="Lizardman">
      <formula>NOT(ISERROR(SEARCH("Lizardman",B1)))</formula>
    </cfRule>
    <cfRule type="containsText" dxfId="58" priority="20" operator="containsText" text="Barbarians">
      <formula>NOT(ISERROR(SEARCH("Barbarians",B1)))</formula>
    </cfRule>
    <cfRule type="containsText" dxfId="57" priority="21" operator="containsText" text="Toster">
      <formula>NOT(ISERROR(SEARCH("Toster",B1)))</formula>
    </cfRule>
    <cfRule type="expression" dxfId="56" priority="22">
      <formula>Toster</formula>
    </cfRule>
    <cfRule type="expression" dxfId="55" priority="23">
      <formula>$B$9</formula>
    </cfRule>
    <cfRule type="expression" dxfId="54" priority="24">
      <formula>"Toster"</formula>
    </cfRule>
  </conditionalFormatting>
  <conditionalFormatting sqref="B21:C21">
    <cfRule type="containsText" dxfId="53" priority="7" operator="containsText" text="Lizardman">
      <formula>NOT(ISERROR(SEARCH("Lizardman",B21)))</formula>
    </cfRule>
    <cfRule type="containsText" dxfId="52" priority="8" operator="containsText" text="Barbarians">
      <formula>NOT(ISERROR(SEARCH("Barbarians",B21)))</formula>
    </cfRule>
    <cfRule type="containsText" dxfId="51" priority="9" operator="containsText" text="Toster">
      <formula>NOT(ISERROR(SEARCH("Toster",B21)))</formula>
    </cfRule>
    <cfRule type="expression" dxfId="50" priority="10">
      <formula>Toster</formula>
    </cfRule>
    <cfRule type="expression" dxfId="49" priority="11">
      <formula>$B$9</formula>
    </cfRule>
    <cfRule type="expression" dxfId="48" priority="12">
      <formula>"Toster"</formula>
    </cfRule>
  </conditionalFormatting>
  <conditionalFormatting sqref="B22:C22">
    <cfRule type="containsText" dxfId="47" priority="1" operator="containsText" text="Lizardman">
      <formula>NOT(ISERROR(SEARCH("Lizardman",B22)))</formula>
    </cfRule>
    <cfRule type="containsText" dxfId="46" priority="2" operator="containsText" text="Barbarians">
      <formula>NOT(ISERROR(SEARCH("Barbarians",B22)))</formula>
    </cfRule>
    <cfRule type="containsText" dxfId="45" priority="3" operator="containsText" text="Toster">
      <formula>NOT(ISERROR(SEARCH("Toster",B22)))</formula>
    </cfRule>
    <cfRule type="expression" dxfId="44" priority="4">
      <formula>Toster</formula>
    </cfRule>
    <cfRule type="expression" dxfId="43" priority="5">
      <formula>$B$9</formula>
    </cfRule>
    <cfRule type="expression" dxfId="42" priority="6">
      <formula>"Toster"</formula>
    </cfRule>
  </conditionalFormatting>
  <pageMargins left="0.7" right="0.7" top="0.75" bottom="0.75" header="0.3" footer="0.3"/>
  <pageSetup paperSize="9" orientation="portrait" r:id="rId1"/>
  <rowBreaks count="1" manualBreakCount="1">
    <brk id="23" max="16383" man="1"/>
  </rowBreaks>
  <colBreaks count="1" manualBreakCount="1">
    <brk id="38" max="1048575" man="1"/>
  </colBreak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opLeftCell="B1" workbookViewId="0">
      <pane ySplit="1" topLeftCell="A92" activePane="bottomLeft" state="frozen"/>
      <selection activeCell="B1" sqref="B1"/>
      <selection pane="bottomLeft" activeCell="B118" sqref="A118:XFD118"/>
    </sheetView>
  </sheetViews>
  <sheetFormatPr defaultRowHeight="15" x14ac:dyDescent="0.25"/>
  <cols>
    <col min="1" max="1" width="9.140625" hidden="1" customWidth="1"/>
    <col min="2" max="2" width="17.140625" customWidth="1"/>
    <col min="19" max="19" width="20.140625" customWidth="1"/>
    <col min="22" max="22" width="8.28515625" bestFit="1" customWidth="1"/>
  </cols>
  <sheetData>
    <row r="1" spans="1:29" ht="27" thickBot="1" x14ac:dyDescent="0.3"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4" t="s">
        <v>12</v>
      </c>
      <c r="M1" s="126" t="s">
        <v>167</v>
      </c>
      <c r="N1" s="126" t="s">
        <v>167</v>
      </c>
      <c r="O1" s="126" t="s">
        <v>167</v>
      </c>
      <c r="P1" s="126" t="s">
        <v>167</v>
      </c>
      <c r="Q1" s="126" t="s">
        <v>167</v>
      </c>
      <c r="R1" s="126" t="s">
        <v>167</v>
      </c>
      <c r="S1" s="2" t="s">
        <v>1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127"/>
      <c r="Z1" s="2" t="s">
        <v>173</v>
      </c>
      <c r="AA1" s="2" t="s">
        <v>174</v>
      </c>
      <c r="AB1" s="128" t="s">
        <v>175</v>
      </c>
      <c r="AC1" s="2"/>
    </row>
    <row r="2" spans="1:29" ht="15.75" thickBot="1" x14ac:dyDescent="0.3">
      <c r="A2" s="5"/>
      <c r="B2" s="125" t="s">
        <v>127</v>
      </c>
      <c r="C2" s="53">
        <v>4</v>
      </c>
      <c r="D2" s="6">
        <v>10</v>
      </c>
      <c r="E2" s="6">
        <v>10</v>
      </c>
      <c r="F2" s="6">
        <v>5</v>
      </c>
      <c r="G2" s="6">
        <v>8</v>
      </c>
      <c r="H2" s="6">
        <v>40</v>
      </c>
      <c r="I2" s="6">
        <v>9</v>
      </c>
      <c r="J2" s="7">
        <v>500</v>
      </c>
      <c r="K2" s="8">
        <v>9.43</v>
      </c>
      <c r="L2" s="9">
        <v>51.61</v>
      </c>
      <c r="M2" s="10">
        <v>13</v>
      </c>
      <c r="N2" s="10">
        <v>16.146000000000001</v>
      </c>
      <c r="O2" s="11">
        <v>14.571999999999999</v>
      </c>
      <c r="P2" s="12">
        <v>670.83</v>
      </c>
      <c r="Q2" s="12">
        <v>152.16999999999999</v>
      </c>
      <c r="R2" s="13">
        <v>411.5</v>
      </c>
      <c r="S2" s="14" t="s">
        <v>135</v>
      </c>
      <c r="T2" s="12">
        <v>372.5</v>
      </c>
      <c r="U2" s="15">
        <v>116.78</v>
      </c>
      <c r="V2" s="15">
        <v>1101</v>
      </c>
      <c r="W2" s="15">
        <v>6027</v>
      </c>
      <c r="X2" s="15">
        <v>7128</v>
      </c>
      <c r="Y2" s="6">
        <v>9</v>
      </c>
      <c r="Z2" s="15">
        <v>372.5</v>
      </c>
      <c r="AA2" s="15">
        <v>116.77705640000001</v>
      </c>
      <c r="AB2" s="104">
        <v>-45.55</v>
      </c>
      <c r="AC2" s="15">
        <v>7128</v>
      </c>
    </row>
    <row r="3" spans="1:29" ht="15.75" thickBot="1" x14ac:dyDescent="0.3">
      <c r="A3" s="17"/>
      <c r="B3" s="55" t="s">
        <v>67</v>
      </c>
      <c r="C3" s="6">
        <v>1</v>
      </c>
      <c r="D3" s="6">
        <v>2</v>
      </c>
      <c r="E3" s="6">
        <v>2</v>
      </c>
      <c r="F3" s="6">
        <v>1</v>
      </c>
      <c r="G3" s="6">
        <v>3</v>
      </c>
      <c r="H3" s="6">
        <v>3</v>
      </c>
      <c r="I3" s="6">
        <v>9</v>
      </c>
      <c r="J3" s="7">
        <v>30</v>
      </c>
      <c r="K3" s="8">
        <v>2.1</v>
      </c>
      <c r="L3" s="9">
        <v>3.08</v>
      </c>
      <c r="M3" s="10">
        <v>58.33</v>
      </c>
      <c r="N3" s="10">
        <v>270.83199999999999</v>
      </c>
      <c r="O3" s="11">
        <v>164.583</v>
      </c>
      <c r="P3" s="12">
        <v>179.49</v>
      </c>
      <c r="Q3" s="12">
        <v>568.75</v>
      </c>
      <c r="R3" s="13">
        <v>374.12</v>
      </c>
      <c r="S3" s="14" t="s">
        <v>69</v>
      </c>
      <c r="T3" s="12">
        <v>27.45</v>
      </c>
      <c r="U3" s="15">
        <v>1584.65</v>
      </c>
      <c r="V3" s="15">
        <v>3328</v>
      </c>
      <c r="W3" s="15">
        <v>4876</v>
      </c>
      <c r="X3" s="15">
        <v>8204</v>
      </c>
      <c r="Y3" s="6">
        <v>9</v>
      </c>
      <c r="Z3" s="15">
        <v>27.45</v>
      </c>
      <c r="AA3" s="15">
        <v>1584.6489469999999</v>
      </c>
      <c r="AB3" s="67">
        <v>-37.33</v>
      </c>
      <c r="AC3" s="15">
        <v>8204</v>
      </c>
    </row>
    <row r="4" spans="1:29" ht="15.75" thickBot="1" x14ac:dyDescent="0.3">
      <c r="A4" s="17"/>
      <c r="B4" s="5" t="s">
        <v>67</v>
      </c>
      <c r="C4" s="6">
        <v>6</v>
      </c>
      <c r="D4" s="6">
        <v>15</v>
      </c>
      <c r="E4" s="6">
        <v>13</v>
      </c>
      <c r="F4" s="6">
        <v>15</v>
      </c>
      <c r="G4" s="6">
        <v>25</v>
      </c>
      <c r="H4" s="6">
        <v>80</v>
      </c>
      <c r="I4" s="6">
        <v>9</v>
      </c>
      <c r="J4" s="7">
        <v>800</v>
      </c>
      <c r="K4" s="8">
        <v>34</v>
      </c>
      <c r="L4" s="9">
        <v>114.29</v>
      </c>
      <c r="M4" s="10">
        <v>3.6</v>
      </c>
      <c r="N4" s="10">
        <v>7.2919999999999998</v>
      </c>
      <c r="O4" s="11">
        <v>5.4470000000000001</v>
      </c>
      <c r="P4" s="12">
        <v>411.76</v>
      </c>
      <c r="Q4" s="12">
        <v>247.92</v>
      </c>
      <c r="R4" s="13">
        <v>329.84</v>
      </c>
      <c r="S4" s="14" t="s">
        <v>79</v>
      </c>
      <c r="T4" s="12">
        <v>762.02</v>
      </c>
      <c r="U4" s="15">
        <v>57.09</v>
      </c>
      <c r="V4" s="15">
        <v>1941</v>
      </c>
      <c r="W4" s="15">
        <v>6524</v>
      </c>
      <c r="X4" s="15">
        <v>8465</v>
      </c>
      <c r="Y4" s="6">
        <v>9</v>
      </c>
      <c r="Z4" s="15">
        <v>762.02</v>
      </c>
      <c r="AA4" s="15">
        <v>57.085408520000001</v>
      </c>
      <c r="AB4" s="77">
        <v>-35.33</v>
      </c>
      <c r="AC4" s="15">
        <v>8465</v>
      </c>
    </row>
    <row r="5" spans="1:29" ht="15.75" thickBot="1" x14ac:dyDescent="0.3">
      <c r="A5" s="5"/>
      <c r="B5" s="5" t="s">
        <v>22</v>
      </c>
      <c r="C5" s="6">
        <v>2</v>
      </c>
      <c r="D5" s="6">
        <v>8</v>
      </c>
      <c r="E5" s="6">
        <v>5</v>
      </c>
      <c r="F5" s="6">
        <v>3</v>
      </c>
      <c r="G5" s="6">
        <v>4</v>
      </c>
      <c r="H5" s="6">
        <v>10</v>
      </c>
      <c r="I5" s="6">
        <v>8</v>
      </c>
      <c r="J5" s="7">
        <v>140</v>
      </c>
      <c r="K5" s="8">
        <v>4.7300000000000004</v>
      </c>
      <c r="L5" s="9">
        <v>11.11</v>
      </c>
      <c r="M5" s="10">
        <v>25.93</v>
      </c>
      <c r="N5" s="10">
        <v>75</v>
      </c>
      <c r="O5" s="11">
        <v>50.463000000000001</v>
      </c>
      <c r="P5" s="12">
        <v>288.07</v>
      </c>
      <c r="Q5" s="12">
        <v>354.37</v>
      </c>
      <c r="R5" s="13">
        <v>321.22000000000003</v>
      </c>
      <c r="S5" s="14" t="s">
        <v>26</v>
      </c>
      <c r="T5" s="12">
        <v>78.06</v>
      </c>
      <c r="U5" s="15">
        <v>557.25</v>
      </c>
      <c r="V5" s="15">
        <v>2633</v>
      </c>
      <c r="W5" s="15">
        <v>6192</v>
      </c>
      <c r="X5" s="15">
        <v>8825</v>
      </c>
      <c r="Y5" s="6">
        <v>8</v>
      </c>
      <c r="Z5" s="15">
        <v>78.06</v>
      </c>
      <c r="AA5" s="15">
        <v>557.24565629999995</v>
      </c>
      <c r="AB5" s="20">
        <v>-32.590000000000003</v>
      </c>
      <c r="AC5" s="15">
        <v>8825</v>
      </c>
    </row>
    <row r="6" spans="1:29" ht="15.75" thickBot="1" x14ac:dyDescent="0.3">
      <c r="A6" s="17"/>
      <c r="B6" s="5" t="s">
        <v>112</v>
      </c>
      <c r="C6" s="6">
        <v>3</v>
      </c>
      <c r="D6" s="6">
        <v>10</v>
      </c>
      <c r="E6" s="6">
        <v>8</v>
      </c>
      <c r="F6" s="6">
        <v>2</v>
      </c>
      <c r="G6" s="6">
        <v>7</v>
      </c>
      <c r="H6" s="6">
        <v>25</v>
      </c>
      <c r="I6" s="6">
        <v>8</v>
      </c>
      <c r="J6" s="7">
        <v>250</v>
      </c>
      <c r="K6" s="8">
        <v>6.53</v>
      </c>
      <c r="L6" s="9">
        <v>30.3</v>
      </c>
      <c r="M6" s="10">
        <v>18.77</v>
      </c>
      <c r="N6" s="10">
        <v>27.5</v>
      </c>
      <c r="O6" s="11">
        <v>23.137</v>
      </c>
      <c r="P6" s="12">
        <v>568.91</v>
      </c>
      <c r="Q6" s="12">
        <v>179.44</v>
      </c>
      <c r="R6" s="13">
        <v>374.17</v>
      </c>
      <c r="S6" s="14" t="s">
        <v>118</v>
      </c>
      <c r="T6" s="12">
        <v>175.25</v>
      </c>
      <c r="U6" s="15">
        <v>248.21</v>
      </c>
      <c r="V6" s="15">
        <v>1620</v>
      </c>
      <c r="W6" s="15">
        <v>7522</v>
      </c>
      <c r="X6" s="15">
        <v>9141</v>
      </c>
      <c r="Y6" s="6">
        <v>8</v>
      </c>
      <c r="Z6" s="15">
        <v>175.25</v>
      </c>
      <c r="AA6" s="15">
        <v>248.21016560000001</v>
      </c>
      <c r="AB6" s="94">
        <v>-30.17</v>
      </c>
      <c r="AC6" s="15">
        <v>9141</v>
      </c>
    </row>
    <row r="7" spans="1:29" ht="15.75" thickBot="1" x14ac:dyDescent="0.3">
      <c r="A7" s="17"/>
      <c r="B7" s="17" t="s">
        <v>127</v>
      </c>
      <c r="C7" s="6">
        <v>4</v>
      </c>
      <c r="D7" s="6">
        <v>10</v>
      </c>
      <c r="E7" s="6">
        <v>9</v>
      </c>
      <c r="F7" s="6">
        <v>5</v>
      </c>
      <c r="G7" s="6">
        <v>8</v>
      </c>
      <c r="H7" s="6">
        <v>30</v>
      </c>
      <c r="I7" s="6">
        <v>6</v>
      </c>
      <c r="J7" s="7">
        <v>360</v>
      </c>
      <c r="K7" s="8">
        <v>9.43</v>
      </c>
      <c r="L7" s="9">
        <v>37.5</v>
      </c>
      <c r="M7" s="10">
        <v>13</v>
      </c>
      <c r="N7" s="10">
        <v>22.222000000000001</v>
      </c>
      <c r="O7" s="11">
        <v>17.61</v>
      </c>
      <c r="P7" s="12">
        <v>487.4</v>
      </c>
      <c r="Q7" s="12">
        <v>209.44</v>
      </c>
      <c r="R7" s="13">
        <v>348.42</v>
      </c>
      <c r="S7" s="14" t="s">
        <v>134</v>
      </c>
      <c r="T7" s="12">
        <v>222.55</v>
      </c>
      <c r="U7" s="15">
        <v>195.47</v>
      </c>
      <c r="V7" s="15">
        <v>1842</v>
      </c>
      <c r="W7" s="15">
        <v>7330</v>
      </c>
      <c r="X7" s="15">
        <v>9172</v>
      </c>
      <c r="Y7" s="6">
        <v>6</v>
      </c>
      <c r="Z7" s="15">
        <v>222.55</v>
      </c>
      <c r="AA7" s="15">
        <v>195.46505500000001</v>
      </c>
      <c r="AB7" s="103">
        <v>-29.93</v>
      </c>
      <c r="AC7" s="15">
        <v>9172</v>
      </c>
    </row>
    <row r="8" spans="1:29" ht="15.75" thickBot="1" x14ac:dyDescent="0.3">
      <c r="A8" s="17"/>
      <c r="B8" s="17" t="s">
        <v>67</v>
      </c>
      <c r="C8" s="6">
        <v>6</v>
      </c>
      <c r="D8" s="6">
        <v>15</v>
      </c>
      <c r="E8" s="6">
        <v>13</v>
      </c>
      <c r="F8" s="6">
        <v>10</v>
      </c>
      <c r="G8" s="6">
        <v>20</v>
      </c>
      <c r="H8" s="6">
        <v>75</v>
      </c>
      <c r="I8" s="6">
        <v>7</v>
      </c>
      <c r="J8" s="7">
        <v>750</v>
      </c>
      <c r="K8" s="8">
        <v>25.5</v>
      </c>
      <c r="L8" s="9">
        <v>107.14</v>
      </c>
      <c r="M8" s="10">
        <v>4.8</v>
      </c>
      <c r="N8" s="10">
        <v>7.7779999999999996</v>
      </c>
      <c r="O8" s="11">
        <v>6.2910000000000004</v>
      </c>
      <c r="P8" s="12">
        <v>514.71</v>
      </c>
      <c r="Q8" s="12">
        <v>198.33</v>
      </c>
      <c r="R8" s="13">
        <v>356.52</v>
      </c>
      <c r="S8" s="14" t="s">
        <v>78</v>
      </c>
      <c r="T8" s="12">
        <v>625.37</v>
      </c>
      <c r="U8" s="15">
        <v>69.56</v>
      </c>
      <c r="V8" s="15">
        <v>1774</v>
      </c>
      <c r="W8" s="15">
        <v>7453</v>
      </c>
      <c r="X8" s="15">
        <v>9226</v>
      </c>
      <c r="Y8" s="6">
        <v>7</v>
      </c>
      <c r="Z8" s="15">
        <v>625.37</v>
      </c>
      <c r="AA8" s="15">
        <v>69.558646940000003</v>
      </c>
      <c r="AB8" s="76">
        <v>-29.52</v>
      </c>
      <c r="AC8" s="15">
        <v>9226</v>
      </c>
    </row>
    <row r="9" spans="1:29" ht="15.75" thickBot="1" x14ac:dyDescent="0.3">
      <c r="A9" s="5"/>
      <c r="B9" s="17" t="s">
        <v>37</v>
      </c>
      <c r="C9" s="6">
        <v>6</v>
      </c>
      <c r="D9" s="6">
        <v>16</v>
      </c>
      <c r="E9" s="6">
        <v>13</v>
      </c>
      <c r="F9" s="6">
        <v>20</v>
      </c>
      <c r="G9" s="6">
        <v>20</v>
      </c>
      <c r="H9" s="6">
        <v>110</v>
      </c>
      <c r="I9" s="6">
        <v>5</v>
      </c>
      <c r="J9" s="7">
        <v>1100</v>
      </c>
      <c r="K9" s="8">
        <v>35</v>
      </c>
      <c r="L9" s="9">
        <v>157.13999999999999</v>
      </c>
      <c r="M9" s="10">
        <v>3.5</v>
      </c>
      <c r="N9" s="10">
        <v>5.3029999999999999</v>
      </c>
      <c r="O9" s="11">
        <v>4.4020000000000001</v>
      </c>
      <c r="P9" s="12">
        <v>550</v>
      </c>
      <c r="Q9" s="12">
        <v>185.61</v>
      </c>
      <c r="R9" s="13">
        <v>367.8</v>
      </c>
      <c r="S9" s="14" t="s">
        <v>48</v>
      </c>
      <c r="T9" s="12">
        <v>904.4</v>
      </c>
      <c r="U9" s="15">
        <v>48.1</v>
      </c>
      <c r="V9" s="15">
        <v>1683</v>
      </c>
      <c r="W9" s="15">
        <v>7558</v>
      </c>
      <c r="X9" s="15">
        <v>9242</v>
      </c>
      <c r="Y9" s="6">
        <v>5</v>
      </c>
      <c r="Z9" s="15">
        <v>904.4</v>
      </c>
      <c r="AA9" s="15">
        <v>48.09799941</v>
      </c>
      <c r="AB9" s="49">
        <v>-29.4</v>
      </c>
      <c r="AC9" s="15">
        <v>9242</v>
      </c>
    </row>
    <row r="10" spans="1:29" ht="15.75" thickBot="1" x14ac:dyDescent="0.3">
      <c r="A10" s="5"/>
      <c r="B10" s="17" t="s">
        <v>67</v>
      </c>
      <c r="C10" s="6">
        <v>1</v>
      </c>
      <c r="D10" s="6">
        <v>2</v>
      </c>
      <c r="E10" s="6">
        <v>2</v>
      </c>
      <c r="F10" s="6">
        <v>1</v>
      </c>
      <c r="G10" s="6">
        <v>2</v>
      </c>
      <c r="H10" s="6">
        <v>3</v>
      </c>
      <c r="I10" s="6">
        <v>7</v>
      </c>
      <c r="J10" s="7">
        <v>25</v>
      </c>
      <c r="K10" s="8">
        <v>1.58</v>
      </c>
      <c r="L10" s="9">
        <v>3.08</v>
      </c>
      <c r="M10" s="10">
        <v>77.78</v>
      </c>
      <c r="N10" s="10">
        <v>270.83199999999999</v>
      </c>
      <c r="O10" s="11">
        <v>174.30500000000001</v>
      </c>
      <c r="P10" s="12">
        <v>239.32</v>
      </c>
      <c r="Q10" s="12">
        <v>426.56</v>
      </c>
      <c r="R10" s="13">
        <v>332.94</v>
      </c>
      <c r="S10" s="14" t="s">
        <v>68</v>
      </c>
      <c r="T10" s="12">
        <v>21.56</v>
      </c>
      <c r="U10" s="15">
        <v>2017.37</v>
      </c>
      <c r="V10" s="15">
        <v>3177</v>
      </c>
      <c r="W10" s="15">
        <v>6207</v>
      </c>
      <c r="X10" s="15">
        <v>9385</v>
      </c>
      <c r="Y10" s="6">
        <v>7</v>
      </c>
      <c r="Z10" s="15">
        <v>21.56</v>
      </c>
      <c r="AA10" s="15">
        <v>2017.3683590000001</v>
      </c>
      <c r="AB10" s="66">
        <v>-28.31</v>
      </c>
      <c r="AC10" s="15">
        <v>9385</v>
      </c>
    </row>
    <row r="11" spans="1:29" ht="15.75" thickBot="1" x14ac:dyDescent="0.3">
      <c r="A11" s="5"/>
      <c r="B11" s="17" t="s">
        <v>97</v>
      </c>
      <c r="C11" s="6">
        <v>7</v>
      </c>
      <c r="D11" s="6">
        <v>16</v>
      </c>
      <c r="E11" s="6">
        <v>18</v>
      </c>
      <c r="F11" s="6">
        <v>25</v>
      </c>
      <c r="G11" s="6">
        <v>45</v>
      </c>
      <c r="H11" s="6">
        <v>175</v>
      </c>
      <c r="I11" s="6">
        <v>5</v>
      </c>
      <c r="J11" s="7">
        <v>2200</v>
      </c>
      <c r="K11" s="8">
        <v>61.25</v>
      </c>
      <c r="L11" s="9">
        <v>304.35000000000002</v>
      </c>
      <c r="M11" s="10">
        <v>2</v>
      </c>
      <c r="N11" s="10">
        <v>2.738</v>
      </c>
      <c r="O11" s="11">
        <v>2.3690000000000002</v>
      </c>
      <c r="P11" s="12">
        <v>608.70000000000005</v>
      </c>
      <c r="Q11" s="12">
        <v>167.71</v>
      </c>
      <c r="R11" s="13">
        <v>388.2</v>
      </c>
      <c r="S11" s="14" t="s">
        <v>110</v>
      </c>
      <c r="T11" s="12">
        <v>1682.68</v>
      </c>
      <c r="U11" s="15">
        <v>25.85</v>
      </c>
      <c r="V11" s="15">
        <v>1583</v>
      </c>
      <c r="W11" s="15">
        <v>7868</v>
      </c>
      <c r="X11" s="15">
        <v>9451</v>
      </c>
      <c r="Y11" s="6">
        <v>5</v>
      </c>
      <c r="Z11" s="15">
        <v>1682.68</v>
      </c>
      <c r="AA11" s="15">
        <v>25.8515877</v>
      </c>
      <c r="AB11" s="92">
        <v>-27.8</v>
      </c>
      <c r="AC11" s="15">
        <v>9451</v>
      </c>
    </row>
    <row r="12" spans="1:29" ht="15.75" thickBot="1" x14ac:dyDescent="0.3">
      <c r="A12" s="17"/>
      <c r="B12" s="17" t="s">
        <v>37</v>
      </c>
      <c r="C12" s="6">
        <v>6</v>
      </c>
      <c r="D12" s="6">
        <v>16</v>
      </c>
      <c r="E12" s="6">
        <v>13</v>
      </c>
      <c r="F12" s="6">
        <v>30</v>
      </c>
      <c r="G12" s="6">
        <v>30</v>
      </c>
      <c r="H12" s="6">
        <v>110</v>
      </c>
      <c r="I12" s="6">
        <v>7</v>
      </c>
      <c r="J12" s="7">
        <v>1600</v>
      </c>
      <c r="K12" s="8">
        <v>52.5</v>
      </c>
      <c r="L12" s="9">
        <v>157.13999999999999</v>
      </c>
      <c r="M12" s="10">
        <v>2.33</v>
      </c>
      <c r="N12" s="10">
        <v>5.3029999999999999</v>
      </c>
      <c r="O12" s="11">
        <v>3.8180000000000001</v>
      </c>
      <c r="P12" s="12">
        <v>366.67</v>
      </c>
      <c r="Q12" s="12">
        <v>278.41000000000003</v>
      </c>
      <c r="R12" s="13">
        <v>322.54000000000002</v>
      </c>
      <c r="S12" s="14" t="s">
        <v>49</v>
      </c>
      <c r="T12" s="12">
        <v>943</v>
      </c>
      <c r="U12" s="15">
        <v>46.13</v>
      </c>
      <c r="V12" s="15">
        <v>2422</v>
      </c>
      <c r="W12" s="15">
        <v>7249</v>
      </c>
      <c r="X12" s="15">
        <v>9671</v>
      </c>
      <c r="Y12" s="6">
        <v>7</v>
      </c>
      <c r="Z12" s="15">
        <v>943</v>
      </c>
      <c r="AA12" s="15">
        <v>46.129612590000001</v>
      </c>
      <c r="AB12" s="50">
        <v>-26.12</v>
      </c>
      <c r="AC12" s="15">
        <v>9671</v>
      </c>
    </row>
    <row r="13" spans="1:29" ht="15.75" thickBot="1" x14ac:dyDescent="0.3">
      <c r="A13" s="17"/>
      <c r="B13" s="5" t="s">
        <v>112</v>
      </c>
      <c r="C13" s="6">
        <v>5</v>
      </c>
      <c r="D13" s="6">
        <v>13</v>
      </c>
      <c r="E13" s="6">
        <v>13</v>
      </c>
      <c r="F13" s="6">
        <v>13</v>
      </c>
      <c r="G13" s="6">
        <v>17</v>
      </c>
      <c r="H13" s="6">
        <v>45</v>
      </c>
      <c r="I13" s="6">
        <v>7</v>
      </c>
      <c r="J13" s="7">
        <v>700</v>
      </c>
      <c r="K13" s="8">
        <v>24</v>
      </c>
      <c r="L13" s="9">
        <v>64.290000000000006</v>
      </c>
      <c r="M13" s="10">
        <v>5.0999999999999996</v>
      </c>
      <c r="N13" s="10">
        <v>12.962999999999999</v>
      </c>
      <c r="O13" s="11">
        <v>9.0340000000000007</v>
      </c>
      <c r="P13" s="12">
        <v>328.13</v>
      </c>
      <c r="Q13" s="12">
        <v>311.11</v>
      </c>
      <c r="R13" s="13">
        <v>319.62</v>
      </c>
      <c r="S13" s="14" t="s">
        <v>122</v>
      </c>
      <c r="T13" s="12">
        <v>396.1</v>
      </c>
      <c r="U13" s="15">
        <v>109.82</v>
      </c>
      <c r="V13" s="15">
        <v>2636</v>
      </c>
      <c r="W13" s="15">
        <v>7060</v>
      </c>
      <c r="X13" s="15">
        <v>9696</v>
      </c>
      <c r="Y13" s="6">
        <v>7</v>
      </c>
      <c r="Z13" s="15">
        <v>396.1</v>
      </c>
      <c r="AA13" s="15">
        <v>109.8195851</v>
      </c>
      <c r="AB13" s="96">
        <v>-25.93</v>
      </c>
      <c r="AC13" s="15">
        <v>9696</v>
      </c>
    </row>
    <row r="14" spans="1:29" ht="15.75" thickBot="1" x14ac:dyDescent="0.3">
      <c r="A14" s="17"/>
      <c r="B14" s="5" t="s">
        <v>37</v>
      </c>
      <c r="C14" s="6">
        <v>5</v>
      </c>
      <c r="D14" s="6">
        <v>12</v>
      </c>
      <c r="E14" s="6">
        <v>12</v>
      </c>
      <c r="F14" s="6">
        <v>13</v>
      </c>
      <c r="G14" s="6">
        <v>16</v>
      </c>
      <c r="H14" s="6">
        <v>40</v>
      </c>
      <c r="I14" s="6">
        <v>11</v>
      </c>
      <c r="J14" s="7">
        <v>600</v>
      </c>
      <c r="K14" s="8">
        <v>22.48</v>
      </c>
      <c r="L14" s="9">
        <v>55.17</v>
      </c>
      <c r="M14" s="10">
        <v>5.45</v>
      </c>
      <c r="N14" s="10">
        <v>15.103999999999999</v>
      </c>
      <c r="O14" s="11">
        <v>10.276999999999999</v>
      </c>
      <c r="P14" s="12">
        <v>300.72000000000003</v>
      </c>
      <c r="Q14" s="12">
        <v>339.46</v>
      </c>
      <c r="R14" s="13">
        <v>320.08999999999997</v>
      </c>
      <c r="S14" s="14" t="s">
        <v>47</v>
      </c>
      <c r="T14" s="12">
        <v>347.35</v>
      </c>
      <c r="U14" s="15">
        <v>125.23</v>
      </c>
      <c r="V14" s="15">
        <v>2815</v>
      </c>
      <c r="W14" s="15">
        <v>6909</v>
      </c>
      <c r="X14" s="15">
        <v>9724</v>
      </c>
      <c r="Y14" s="6">
        <v>11</v>
      </c>
      <c r="Z14" s="15">
        <v>347.35</v>
      </c>
      <c r="AA14" s="15">
        <v>125.2322029</v>
      </c>
      <c r="AB14" s="48">
        <v>-25.71</v>
      </c>
      <c r="AC14" s="15">
        <v>9724</v>
      </c>
    </row>
    <row r="15" spans="1:29" ht="15.75" thickBot="1" x14ac:dyDescent="0.3">
      <c r="A15" s="17"/>
      <c r="B15" s="5" t="s">
        <v>52</v>
      </c>
      <c r="C15" s="6">
        <v>4</v>
      </c>
      <c r="D15" s="6">
        <v>12</v>
      </c>
      <c r="E15" s="6">
        <v>12</v>
      </c>
      <c r="F15" s="6">
        <v>7</v>
      </c>
      <c r="G15" s="6">
        <v>10</v>
      </c>
      <c r="H15" s="6">
        <v>35</v>
      </c>
      <c r="I15" s="6">
        <v>6</v>
      </c>
      <c r="J15" s="7">
        <v>400</v>
      </c>
      <c r="K15" s="8">
        <v>13.18</v>
      </c>
      <c r="L15" s="9">
        <v>48.28</v>
      </c>
      <c r="M15" s="10">
        <v>9.3000000000000007</v>
      </c>
      <c r="N15" s="10">
        <v>17.262</v>
      </c>
      <c r="O15" s="11">
        <v>13.28</v>
      </c>
      <c r="P15" s="12">
        <v>448.86</v>
      </c>
      <c r="Q15" s="12">
        <v>227.42</v>
      </c>
      <c r="R15" s="13">
        <v>338.14</v>
      </c>
      <c r="S15" s="14" t="s">
        <v>60</v>
      </c>
      <c r="T15" s="12">
        <v>271.76</v>
      </c>
      <c r="U15" s="15">
        <v>160.07</v>
      </c>
      <c r="V15" s="15">
        <v>2109</v>
      </c>
      <c r="W15" s="15">
        <v>7727</v>
      </c>
      <c r="X15" s="15">
        <v>9836</v>
      </c>
      <c r="Y15" s="6">
        <v>6</v>
      </c>
      <c r="Z15" s="15">
        <v>271.76</v>
      </c>
      <c r="AA15" s="15">
        <v>160.0651743</v>
      </c>
      <c r="AB15" s="60">
        <v>-24.86</v>
      </c>
      <c r="AC15" s="15">
        <v>9836</v>
      </c>
    </row>
    <row r="16" spans="1:29" ht="15.75" thickBot="1" x14ac:dyDescent="0.3">
      <c r="A16" s="17"/>
      <c r="B16" s="5" t="s">
        <v>82</v>
      </c>
      <c r="C16" s="6">
        <v>2</v>
      </c>
      <c r="D16" s="6">
        <v>6</v>
      </c>
      <c r="E16" s="6">
        <v>6</v>
      </c>
      <c r="F16" s="6">
        <v>1</v>
      </c>
      <c r="G16" s="6">
        <v>4</v>
      </c>
      <c r="H16" s="6">
        <v>14</v>
      </c>
      <c r="I16" s="6">
        <v>9</v>
      </c>
      <c r="J16" s="7">
        <v>170</v>
      </c>
      <c r="K16" s="8">
        <v>3.13</v>
      </c>
      <c r="L16" s="9">
        <v>16</v>
      </c>
      <c r="M16" s="10">
        <v>39.200000000000003</v>
      </c>
      <c r="N16" s="10">
        <v>52.082999999999998</v>
      </c>
      <c r="O16" s="11">
        <v>45.642000000000003</v>
      </c>
      <c r="P16" s="12">
        <v>627.20000000000005</v>
      </c>
      <c r="Q16" s="12">
        <v>162.76</v>
      </c>
      <c r="R16" s="13">
        <v>394.98</v>
      </c>
      <c r="S16" s="14" t="s">
        <v>86</v>
      </c>
      <c r="T16" s="12">
        <v>84.52</v>
      </c>
      <c r="U16" s="15">
        <v>514.67999999999995</v>
      </c>
      <c r="V16" s="15">
        <v>1608</v>
      </c>
      <c r="W16" s="15">
        <v>8235</v>
      </c>
      <c r="X16" s="15">
        <v>9843</v>
      </c>
      <c r="Y16" s="6">
        <v>9</v>
      </c>
      <c r="Z16" s="15">
        <v>84.52</v>
      </c>
      <c r="AA16" s="15">
        <v>514.68167119999998</v>
      </c>
      <c r="AB16" s="60">
        <v>-24.8</v>
      </c>
      <c r="AC16" s="15">
        <v>9843</v>
      </c>
    </row>
    <row r="17" spans="1:29" ht="15.75" thickBot="1" x14ac:dyDescent="0.3">
      <c r="A17" s="17"/>
      <c r="B17" s="5" t="s">
        <v>112</v>
      </c>
      <c r="C17" s="6">
        <v>6</v>
      </c>
      <c r="D17" s="6">
        <v>16</v>
      </c>
      <c r="E17" s="6">
        <v>14</v>
      </c>
      <c r="F17" s="6">
        <v>16</v>
      </c>
      <c r="G17" s="6">
        <v>24</v>
      </c>
      <c r="H17" s="6">
        <v>90</v>
      </c>
      <c r="I17" s="6">
        <v>13</v>
      </c>
      <c r="J17" s="7">
        <v>1100</v>
      </c>
      <c r="K17" s="8">
        <v>35</v>
      </c>
      <c r="L17" s="9">
        <v>133.33000000000001</v>
      </c>
      <c r="M17" s="10">
        <v>3.5</v>
      </c>
      <c r="N17" s="10">
        <v>6.25</v>
      </c>
      <c r="O17" s="11">
        <v>4.875</v>
      </c>
      <c r="P17" s="12">
        <v>466.67</v>
      </c>
      <c r="Q17" s="12">
        <v>218.75</v>
      </c>
      <c r="R17" s="13">
        <v>342.71</v>
      </c>
      <c r="S17" s="14" t="s">
        <v>124</v>
      </c>
      <c r="T17" s="12">
        <v>725.69</v>
      </c>
      <c r="U17" s="15">
        <v>59.94</v>
      </c>
      <c r="V17" s="15">
        <v>2098</v>
      </c>
      <c r="W17" s="15">
        <v>7992</v>
      </c>
      <c r="X17" s="15">
        <v>10090</v>
      </c>
      <c r="Y17" s="6">
        <v>13</v>
      </c>
      <c r="Z17" s="15">
        <v>725.69</v>
      </c>
      <c r="AA17" s="15">
        <v>59.94332215</v>
      </c>
      <c r="AB17" s="98">
        <v>-22.91</v>
      </c>
      <c r="AC17" s="15">
        <v>10090</v>
      </c>
    </row>
    <row r="18" spans="1:29" ht="15.75" thickBot="1" x14ac:dyDescent="0.3">
      <c r="A18" s="5"/>
      <c r="B18" s="17" t="s">
        <v>82</v>
      </c>
      <c r="C18" s="6">
        <v>5</v>
      </c>
      <c r="D18" s="6">
        <v>14</v>
      </c>
      <c r="E18" s="6">
        <v>12</v>
      </c>
      <c r="F18" s="6">
        <v>12</v>
      </c>
      <c r="G18" s="6">
        <v>20</v>
      </c>
      <c r="H18" s="6">
        <v>50</v>
      </c>
      <c r="I18" s="6">
        <v>6</v>
      </c>
      <c r="J18" s="7">
        <v>500</v>
      </c>
      <c r="K18" s="8">
        <v>26.4</v>
      </c>
      <c r="L18" s="9">
        <v>68.97</v>
      </c>
      <c r="M18" s="10">
        <v>4.6399999999999997</v>
      </c>
      <c r="N18" s="10">
        <v>12.083</v>
      </c>
      <c r="O18" s="11">
        <v>8.3620000000000001</v>
      </c>
      <c r="P18" s="12">
        <v>320.01</v>
      </c>
      <c r="Q18" s="12">
        <v>319</v>
      </c>
      <c r="R18" s="13">
        <v>319.5</v>
      </c>
      <c r="S18" s="14" t="s">
        <v>91</v>
      </c>
      <c r="T18" s="12">
        <v>408.91</v>
      </c>
      <c r="U18" s="15">
        <v>106.38</v>
      </c>
      <c r="V18" s="15">
        <v>2808</v>
      </c>
      <c r="W18" s="15">
        <v>7337</v>
      </c>
      <c r="X18" s="15">
        <v>10145</v>
      </c>
      <c r="Y18" s="6">
        <v>6</v>
      </c>
      <c r="Z18" s="15">
        <v>408.91</v>
      </c>
      <c r="AA18" s="15">
        <v>106.379666</v>
      </c>
      <c r="AB18" s="29">
        <v>-22.5</v>
      </c>
      <c r="AC18" s="15">
        <v>10145</v>
      </c>
    </row>
    <row r="19" spans="1:29" ht="15.75" thickBot="1" x14ac:dyDescent="0.3">
      <c r="A19" s="17"/>
      <c r="B19" s="17" t="s">
        <v>22</v>
      </c>
      <c r="C19" s="6">
        <v>7</v>
      </c>
      <c r="D19" s="6">
        <v>17</v>
      </c>
      <c r="E19" s="6">
        <v>17</v>
      </c>
      <c r="F19" s="6">
        <v>30</v>
      </c>
      <c r="G19" s="6">
        <v>50</v>
      </c>
      <c r="H19" s="6">
        <v>160</v>
      </c>
      <c r="I19" s="6">
        <v>6</v>
      </c>
      <c r="J19" s="7">
        <v>1500</v>
      </c>
      <c r="K19" s="8">
        <v>72</v>
      </c>
      <c r="L19" s="9">
        <v>266.67</v>
      </c>
      <c r="M19" s="10">
        <v>1.7</v>
      </c>
      <c r="N19" s="10">
        <v>3.125</v>
      </c>
      <c r="O19" s="11">
        <v>2.4129999999999998</v>
      </c>
      <c r="P19" s="12">
        <v>453.7</v>
      </c>
      <c r="Q19" s="12">
        <v>225</v>
      </c>
      <c r="R19" s="13">
        <v>339.35</v>
      </c>
      <c r="S19" s="14" t="s">
        <v>35</v>
      </c>
      <c r="T19" s="12">
        <v>1450.56</v>
      </c>
      <c r="U19" s="15">
        <v>29.99</v>
      </c>
      <c r="V19" s="15">
        <v>2159</v>
      </c>
      <c r="W19" s="15">
        <v>7997</v>
      </c>
      <c r="X19" s="15">
        <v>10156</v>
      </c>
      <c r="Y19" s="6">
        <v>6</v>
      </c>
      <c r="Z19" s="15">
        <v>1450.56</v>
      </c>
      <c r="AA19" s="15">
        <v>29.988517380000001</v>
      </c>
      <c r="AB19" s="29">
        <v>-22.41</v>
      </c>
      <c r="AC19" s="15">
        <v>10156</v>
      </c>
    </row>
    <row r="20" spans="1:29" ht="15.75" thickBot="1" x14ac:dyDescent="0.3">
      <c r="A20" s="17"/>
      <c r="B20" s="17" t="s">
        <v>37</v>
      </c>
      <c r="C20" s="6">
        <v>5</v>
      </c>
      <c r="D20" s="6">
        <v>12</v>
      </c>
      <c r="E20" s="6">
        <v>12</v>
      </c>
      <c r="F20" s="6">
        <v>13</v>
      </c>
      <c r="G20" s="6">
        <v>16</v>
      </c>
      <c r="H20" s="6">
        <v>40</v>
      </c>
      <c r="I20" s="6">
        <v>7</v>
      </c>
      <c r="J20" s="7">
        <v>550</v>
      </c>
      <c r="K20" s="8">
        <v>22.48</v>
      </c>
      <c r="L20" s="9">
        <v>55.17</v>
      </c>
      <c r="M20" s="10">
        <v>5.45</v>
      </c>
      <c r="N20" s="10">
        <v>15.103999999999999</v>
      </c>
      <c r="O20" s="11">
        <v>10.276999999999999</v>
      </c>
      <c r="P20" s="12">
        <v>300.72000000000003</v>
      </c>
      <c r="Q20" s="12">
        <v>339.46</v>
      </c>
      <c r="R20" s="13">
        <v>320.08999999999997</v>
      </c>
      <c r="S20" s="14" t="s">
        <v>46</v>
      </c>
      <c r="T20" s="12">
        <v>331.57</v>
      </c>
      <c r="U20" s="15">
        <v>131.19999999999999</v>
      </c>
      <c r="V20" s="15">
        <v>2949</v>
      </c>
      <c r="W20" s="15">
        <v>7238</v>
      </c>
      <c r="X20" s="15">
        <v>10187</v>
      </c>
      <c r="Y20" s="6">
        <v>7</v>
      </c>
      <c r="Z20" s="15">
        <v>331.57</v>
      </c>
      <c r="AA20" s="15">
        <v>131.19564109999999</v>
      </c>
      <c r="AB20" s="47">
        <v>-22.18</v>
      </c>
      <c r="AC20" s="15">
        <v>10187</v>
      </c>
    </row>
    <row r="21" spans="1:29" ht="15.75" thickBot="1" x14ac:dyDescent="0.3">
      <c r="A21" s="17"/>
      <c r="B21" s="5" t="s">
        <v>97</v>
      </c>
      <c r="C21" s="6">
        <v>7</v>
      </c>
      <c r="D21" s="6">
        <v>18</v>
      </c>
      <c r="E21" s="6">
        <v>20</v>
      </c>
      <c r="F21" s="6">
        <v>25</v>
      </c>
      <c r="G21" s="6">
        <v>45</v>
      </c>
      <c r="H21" s="6">
        <v>250</v>
      </c>
      <c r="I21" s="6">
        <v>7</v>
      </c>
      <c r="J21" s="7">
        <v>3500</v>
      </c>
      <c r="K21" s="8">
        <v>64.75</v>
      </c>
      <c r="L21" s="9">
        <v>476.19</v>
      </c>
      <c r="M21" s="10">
        <v>1.89</v>
      </c>
      <c r="N21" s="10">
        <v>1.75</v>
      </c>
      <c r="O21" s="11">
        <v>1.821</v>
      </c>
      <c r="P21" s="12">
        <v>900.9</v>
      </c>
      <c r="Q21" s="12">
        <v>113.31</v>
      </c>
      <c r="R21" s="13">
        <v>507.11</v>
      </c>
      <c r="S21" s="14" t="s">
        <v>111</v>
      </c>
      <c r="T21" s="12">
        <v>2287.91</v>
      </c>
      <c r="U21" s="15">
        <v>19.010000000000002</v>
      </c>
      <c r="V21" s="15">
        <v>1231</v>
      </c>
      <c r="W21" s="15">
        <v>9054</v>
      </c>
      <c r="X21" s="15">
        <v>10285</v>
      </c>
      <c r="Y21" s="6">
        <v>7</v>
      </c>
      <c r="Z21" s="15">
        <v>2287.91</v>
      </c>
      <c r="AA21" s="15">
        <v>19.012965650000002</v>
      </c>
      <c r="AB21" s="86">
        <v>-21.43</v>
      </c>
      <c r="AC21" s="15">
        <v>10285</v>
      </c>
    </row>
    <row r="22" spans="1:29" ht="15.75" thickBot="1" x14ac:dyDescent="0.3">
      <c r="A22" s="17"/>
      <c r="B22" s="5" t="s">
        <v>97</v>
      </c>
      <c r="C22" s="6">
        <v>1</v>
      </c>
      <c r="D22" s="6">
        <v>4</v>
      </c>
      <c r="E22" s="6">
        <v>6</v>
      </c>
      <c r="F22" s="6">
        <v>2</v>
      </c>
      <c r="G22" s="6">
        <v>3</v>
      </c>
      <c r="H22" s="6">
        <v>6</v>
      </c>
      <c r="I22" s="6">
        <v>5</v>
      </c>
      <c r="J22" s="7">
        <v>70</v>
      </c>
      <c r="K22" s="8">
        <v>2.88</v>
      </c>
      <c r="L22" s="9">
        <v>6.86</v>
      </c>
      <c r="M22" s="10">
        <v>42.61</v>
      </c>
      <c r="N22" s="10">
        <v>121.527</v>
      </c>
      <c r="O22" s="11">
        <v>82.067999999999998</v>
      </c>
      <c r="P22" s="12">
        <v>292.17</v>
      </c>
      <c r="Q22" s="12">
        <v>349.39</v>
      </c>
      <c r="R22" s="13">
        <v>320.77999999999997</v>
      </c>
      <c r="S22" s="14" t="s">
        <v>99</v>
      </c>
      <c r="T22" s="12">
        <v>41.16</v>
      </c>
      <c r="U22" s="15">
        <v>1056.79</v>
      </c>
      <c r="V22" s="15">
        <v>3038</v>
      </c>
      <c r="W22" s="15">
        <v>7247</v>
      </c>
      <c r="X22" s="15">
        <v>10285</v>
      </c>
      <c r="Y22" s="6">
        <v>5</v>
      </c>
      <c r="Z22" s="15">
        <v>41.16</v>
      </c>
      <c r="AA22" s="15">
        <v>1056.7907929999999</v>
      </c>
      <c r="AB22" s="86">
        <v>-21.43</v>
      </c>
      <c r="AC22" s="15">
        <v>10285</v>
      </c>
    </row>
    <row r="23" spans="1:29" ht="15.75" thickBot="1" x14ac:dyDescent="0.3">
      <c r="A23" s="5"/>
      <c r="B23" s="5" t="s">
        <v>127</v>
      </c>
      <c r="C23" s="6">
        <v>6</v>
      </c>
      <c r="D23" s="6">
        <v>18</v>
      </c>
      <c r="E23" s="6">
        <v>18</v>
      </c>
      <c r="F23" s="6">
        <v>15</v>
      </c>
      <c r="G23" s="6">
        <v>30</v>
      </c>
      <c r="H23" s="6">
        <v>120</v>
      </c>
      <c r="I23" s="6">
        <v>9</v>
      </c>
      <c r="J23" s="7">
        <v>1500</v>
      </c>
      <c r="K23" s="8">
        <v>41.63</v>
      </c>
      <c r="L23" s="9">
        <v>208.7</v>
      </c>
      <c r="M23" s="10">
        <v>2.94</v>
      </c>
      <c r="N23" s="10">
        <v>3.9929999999999999</v>
      </c>
      <c r="O23" s="11">
        <v>3.468</v>
      </c>
      <c r="P23" s="12">
        <v>614.17999999999995</v>
      </c>
      <c r="Q23" s="12">
        <v>166.21</v>
      </c>
      <c r="R23" s="13">
        <v>390.19</v>
      </c>
      <c r="S23" s="14" t="s">
        <v>139</v>
      </c>
      <c r="T23" s="12">
        <v>1054.17</v>
      </c>
      <c r="U23" s="15">
        <v>41.26</v>
      </c>
      <c r="V23" s="15">
        <v>1718</v>
      </c>
      <c r="W23" s="15">
        <v>8612</v>
      </c>
      <c r="X23" s="15">
        <v>10329</v>
      </c>
      <c r="Y23" s="6">
        <v>9</v>
      </c>
      <c r="Z23" s="15">
        <v>1054.17</v>
      </c>
      <c r="AA23" s="15">
        <v>41.264738850000001</v>
      </c>
      <c r="AB23" s="106">
        <v>-21.09</v>
      </c>
      <c r="AC23" s="15">
        <v>10329</v>
      </c>
    </row>
    <row r="24" spans="1:29" ht="15.75" thickBot="1" x14ac:dyDescent="0.3">
      <c r="A24" s="17"/>
      <c r="B24" s="17" t="s">
        <v>112</v>
      </c>
      <c r="C24" s="6">
        <v>7</v>
      </c>
      <c r="D24" s="6">
        <v>19</v>
      </c>
      <c r="E24" s="6">
        <v>21</v>
      </c>
      <c r="F24" s="6">
        <v>30</v>
      </c>
      <c r="G24" s="6">
        <v>40</v>
      </c>
      <c r="H24" s="6">
        <v>160</v>
      </c>
      <c r="I24" s="6">
        <v>11</v>
      </c>
      <c r="J24" s="7">
        <v>2700</v>
      </c>
      <c r="K24" s="8">
        <v>66.5</v>
      </c>
      <c r="L24" s="9">
        <v>320</v>
      </c>
      <c r="M24" s="10">
        <v>1.84</v>
      </c>
      <c r="N24" s="10">
        <v>2.6040000000000001</v>
      </c>
      <c r="O24" s="11">
        <v>2.2229999999999999</v>
      </c>
      <c r="P24" s="12">
        <v>589.47</v>
      </c>
      <c r="Q24" s="12">
        <v>173.18</v>
      </c>
      <c r="R24" s="13">
        <v>381.33</v>
      </c>
      <c r="S24" s="14" t="s">
        <v>125</v>
      </c>
      <c r="T24" s="12">
        <v>1624.28</v>
      </c>
      <c r="U24" s="15">
        <v>26.78</v>
      </c>
      <c r="V24" s="15">
        <v>1781</v>
      </c>
      <c r="W24" s="15">
        <v>8570</v>
      </c>
      <c r="X24" s="15">
        <v>10351</v>
      </c>
      <c r="Y24" s="6">
        <v>11</v>
      </c>
      <c r="Z24" s="15">
        <v>1624.28</v>
      </c>
      <c r="AA24" s="15">
        <v>26.781022620000002</v>
      </c>
      <c r="AB24" s="99">
        <v>-20.93</v>
      </c>
      <c r="AC24" s="15">
        <v>10351</v>
      </c>
    </row>
    <row r="25" spans="1:29" ht="15.75" thickBot="1" x14ac:dyDescent="0.3">
      <c r="A25" s="17"/>
      <c r="B25" s="17" t="s">
        <v>112</v>
      </c>
      <c r="C25" s="6">
        <v>1</v>
      </c>
      <c r="D25" s="6">
        <v>2</v>
      </c>
      <c r="E25" s="6">
        <v>3</v>
      </c>
      <c r="F25" s="6">
        <v>1</v>
      </c>
      <c r="G25" s="6">
        <v>2</v>
      </c>
      <c r="H25" s="6">
        <v>4</v>
      </c>
      <c r="I25" s="6">
        <v>5</v>
      </c>
      <c r="J25" s="7">
        <v>50</v>
      </c>
      <c r="K25" s="8">
        <v>1.58</v>
      </c>
      <c r="L25" s="9">
        <v>4.21</v>
      </c>
      <c r="M25" s="10">
        <v>77.78</v>
      </c>
      <c r="N25" s="10">
        <v>197.916</v>
      </c>
      <c r="O25" s="11">
        <v>137.84700000000001</v>
      </c>
      <c r="P25" s="12">
        <v>327.49</v>
      </c>
      <c r="Q25" s="12">
        <v>311.72000000000003</v>
      </c>
      <c r="R25" s="13">
        <v>319.60000000000002</v>
      </c>
      <c r="S25" s="14" t="s">
        <v>113</v>
      </c>
      <c r="T25" s="12">
        <v>24.04</v>
      </c>
      <c r="U25" s="15">
        <v>1809.81</v>
      </c>
      <c r="V25" s="15">
        <v>2850</v>
      </c>
      <c r="W25" s="15">
        <v>7620</v>
      </c>
      <c r="X25" s="15">
        <v>10471</v>
      </c>
      <c r="Y25" s="6">
        <v>5</v>
      </c>
      <c r="Z25" s="15">
        <v>24.04</v>
      </c>
      <c r="AA25" s="15">
        <v>1809.8107789999999</v>
      </c>
      <c r="AB25" s="93">
        <v>-20.010000000000002</v>
      </c>
      <c r="AC25" s="15">
        <v>10471</v>
      </c>
    </row>
    <row r="26" spans="1:29" ht="15.75" thickBot="1" x14ac:dyDescent="0.3">
      <c r="A26" s="31"/>
      <c r="B26" s="17" t="s">
        <v>20</v>
      </c>
      <c r="C26" s="6">
        <v>3</v>
      </c>
      <c r="D26" s="6">
        <v>9</v>
      </c>
      <c r="E26" s="6">
        <v>5</v>
      </c>
      <c r="F26" s="6">
        <v>3</v>
      </c>
      <c r="G26" s="6">
        <v>5</v>
      </c>
      <c r="H26" s="6">
        <v>15</v>
      </c>
      <c r="I26" s="6">
        <v>6</v>
      </c>
      <c r="J26" s="7">
        <v>200</v>
      </c>
      <c r="K26" s="8">
        <v>5.6</v>
      </c>
      <c r="L26" s="9">
        <v>16.670000000000002</v>
      </c>
      <c r="M26" s="10">
        <v>21.88</v>
      </c>
      <c r="N26" s="10">
        <v>50</v>
      </c>
      <c r="O26" s="11">
        <v>35.936999999999998</v>
      </c>
      <c r="P26" s="12">
        <v>364.58</v>
      </c>
      <c r="Q26" s="12">
        <v>280</v>
      </c>
      <c r="R26" s="13">
        <v>322.29000000000002</v>
      </c>
      <c r="S26" s="14" t="s">
        <v>158</v>
      </c>
      <c r="T26" s="12">
        <v>92.43</v>
      </c>
      <c r="U26" s="15">
        <v>470.63</v>
      </c>
      <c r="V26" s="15">
        <v>2636</v>
      </c>
      <c r="W26" s="15">
        <v>7844</v>
      </c>
      <c r="X26" s="15">
        <v>10479</v>
      </c>
      <c r="Y26" s="6">
        <v>6</v>
      </c>
      <c r="Z26" s="15">
        <v>92.43</v>
      </c>
      <c r="AA26" s="15">
        <v>470.63336500000003</v>
      </c>
      <c r="AB26" s="19">
        <v>-19.940000000000001</v>
      </c>
      <c r="AC26" s="15">
        <v>10479</v>
      </c>
    </row>
    <row r="27" spans="1:29" ht="15.75" thickBot="1" x14ac:dyDescent="0.3">
      <c r="A27" s="5"/>
      <c r="B27" s="5" t="s">
        <v>20</v>
      </c>
      <c r="C27" s="6">
        <v>3</v>
      </c>
      <c r="D27" s="6">
        <v>9</v>
      </c>
      <c r="E27" s="6">
        <v>5</v>
      </c>
      <c r="F27" s="6">
        <v>3</v>
      </c>
      <c r="G27" s="6">
        <v>5</v>
      </c>
      <c r="H27" s="6">
        <v>15</v>
      </c>
      <c r="I27" s="6">
        <v>7</v>
      </c>
      <c r="J27" s="7">
        <v>225</v>
      </c>
      <c r="K27" s="8">
        <v>5.6</v>
      </c>
      <c r="L27" s="9">
        <v>16.670000000000002</v>
      </c>
      <c r="M27" s="10">
        <v>21.88</v>
      </c>
      <c r="N27" s="10">
        <v>50</v>
      </c>
      <c r="O27" s="11">
        <v>35.936999999999998</v>
      </c>
      <c r="P27" s="12">
        <v>364.58</v>
      </c>
      <c r="Q27" s="12">
        <v>280</v>
      </c>
      <c r="R27" s="13">
        <v>322.29000000000002</v>
      </c>
      <c r="S27" s="14" t="s">
        <v>159</v>
      </c>
      <c r="T27" s="12">
        <v>92.43</v>
      </c>
      <c r="U27" s="15">
        <v>470.63</v>
      </c>
      <c r="V27" s="15">
        <v>2636</v>
      </c>
      <c r="W27" s="15">
        <v>7844</v>
      </c>
      <c r="X27" s="15">
        <v>10479</v>
      </c>
      <c r="Y27" s="6">
        <v>7</v>
      </c>
      <c r="Z27" s="15">
        <v>92.43</v>
      </c>
      <c r="AA27" s="15">
        <v>470.63336500000003</v>
      </c>
      <c r="AB27" s="19">
        <v>-19.940000000000001</v>
      </c>
      <c r="AC27" s="15">
        <v>10479</v>
      </c>
    </row>
    <row r="28" spans="1:29" ht="15.75" thickBot="1" x14ac:dyDescent="0.3">
      <c r="A28" s="17"/>
      <c r="B28" s="5" t="s">
        <v>82</v>
      </c>
      <c r="C28" s="6">
        <v>1</v>
      </c>
      <c r="D28" s="6">
        <v>5</v>
      </c>
      <c r="E28" s="6">
        <v>4</v>
      </c>
      <c r="F28" s="6">
        <v>1</v>
      </c>
      <c r="G28" s="6">
        <v>3</v>
      </c>
      <c r="H28" s="6">
        <v>6</v>
      </c>
      <c r="I28" s="6">
        <v>5</v>
      </c>
      <c r="J28" s="7">
        <v>65</v>
      </c>
      <c r="K28" s="8">
        <v>2.4</v>
      </c>
      <c r="L28" s="9">
        <v>6.49</v>
      </c>
      <c r="M28" s="10">
        <v>51.04</v>
      </c>
      <c r="N28" s="10">
        <v>128.47200000000001</v>
      </c>
      <c r="O28" s="11">
        <v>89.757000000000005</v>
      </c>
      <c r="P28" s="12">
        <v>331.08</v>
      </c>
      <c r="Q28" s="12">
        <v>308.33</v>
      </c>
      <c r="R28" s="13">
        <v>319.70999999999998</v>
      </c>
      <c r="S28" s="14" t="s">
        <v>84</v>
      </c>
      <c r="T28" s="12">
        <v>36.880000000000003</v>
      </c>
      <c r="U28" s="15">
        <v>1179.42</v>
      </c>
      <c r="V28" s="15">
        <v>2831</v>
      </c>
      <c r="W28" s="15">
        <v>7650</v>
      </c>
      <c r="X28" s="15">
        <v>10481</v>
      </c>
      <c r="Y28" s="6">
        <v>5</v>
      </c>
      <c r="Z28" s="15">
        <v>36.880000000000003</v>
      </c>
      <c r="AA28" s="15">
        <v>1179.4237350000001</v>
      </c>
      <c r="AB28" s="19">
        <v>-19.93</v>
      </c>
      <c r="AC28" s="15">
        <v>10481</v>
      </c>
    </row>
    <row r="29" spans="1:29" ht="15.75" thickBot="1" x14ac:dyDescent="0.3">
      <c r="A29" s="5"/>
      <c r="B29" s="17" t="s">
        <v>22</v>
      </c>
      <c r="C29" s="6">
        <v>2</v>
      </c>
      <c r="D29" s="6">
        <v>7</v>
      </c>
      <c r="E29" s="6">
        <v>5</v>
      </c>
      <c r="F29" s="6">
        <v>2</v>
      </c>
      <c r="G29" s="6">
        <v>4</v>
      </c>
      <c r="H29" s="6">
        <v>10</v>
      </c>
      <c r="I29" s="6">
        <v>6</v>
      </c>
      <c r="J29" s="7">
        <v>100</v>
      </c>
      <c r="K29" s="8">
        <v>3.9</v>
      </c>
      <c r="L29" s="9">
        <v>11.11</v>
      </c>
      <c r="M29" s="10">
        <v>31.41</v>
      </c>
      <c r="N29" s="10">
        <v>75</v>
      </c>
      <c r="O29" s="11">
        <v>53.204999999999998</v>
      </c>
      <c r="P29" s="12">
        <v>349</v>
      </c>
      <c r="Q29" s="12">
        <v>292.5</v>
      </c>
      <c r="R29" s="13">
        <v>320.75</v>
      </c>
      <c r="S29" s="14" t="s">
        <v>25</v>
      </c>
      <c r="T29" s="12">
        <v>62.29</v>
      </c>
      <c r="U29" s="15">
        <v>698.3</v>
      </c>
      <c r="V29" s="15">
        <v>2723</v>
      </c>
      <c r="W29" s="15">
        <v>7759</v>
      </c>
      <c r="X29" s="15">
        <v>10482</v>
      </c>
      <c r="Y29" s="6">
        <v>6</v>
      </c>
      <c r="Z29" s="15">
        <v>62.29</v>
      </c>
      <c r="AA29" s="15">
        <v>698.29632040000001</v>
      </c>
      <c r="AB29" s="19">
        <v>-19.920000000000002</v>
      </c>
      <c r="AC29" s="15">
        <v>10482</v>
      </c>
    </row>
    <row r="30" spans="1:29" ht="15.75" thickBot="1" x14ac:dyDescent="0.3">
      <c r="A30" s="5"/>
      <c r="B30" s="114" t="s">
        <v>142</v>
      </c>
      <c r="C30" s="109"/>
      <c r="D30" s="115">
        <v>8</v>
      </c>
      <c r="E30" s="115">
        <v>3</v>
      </c>
      <c r="F30" s="115">
        <v>2</v>
      </c>
      <c r="G30" s="115">
        <v>4</v>
      </c>
      <c r="H30" s="115">
        <v>10</v>
      </c>
      <c r="I30" s="115">
        <v>6</v>
      </c>
      <c r="J30" s="116">
        <v>100</v>
      </c>
      <c r="K30" s="117">
        <v>4.05</v>
      </c>
      <c r="L30" s="118">
        <v>10.53</v>
      </c>
      <c r="M30" s="10">
        <v>30.25</v>
      </c>
      <c r="N30" s="10">
        <v>79.165999999999997</v>
      </c>
      <c r="O30" s="11">
        <v>54.707000000000001</v>
      </c>
      <c r="P30" s="12">
        <v>318.39</v>
      </c>
      <c r="Q30" s="12">
        <v>320.62</v>
      </c>
      <c r="R30" s="13">
        <v>319.51</v>
      </c>
      <c r="S30" s="14" t="s">
        <v>148</v>
      </c>
      <c r="T30" s="12">
        <v>60.48</v>
      </c>
      <c r="U30" s="15">
        <v>719.25</v>
      </c>
      <c r="V30" s="15">
        <v>2913</v>
      </c>
      <c r="W30" s="15">
        <v>7571</v>
      </c>
      <c r="X30" s="15">
        <v>10484</v>
      </c>
      <c r="Y30" s="115">
        <v>6</v>
      </c>
      <c r="Z30" s="15">
        <v>60.48</v>
      </c>
      <c r="AA30" s="15">
        <v>719.24597259999996</v>
      </c>
      <c r="AB30" s="19">
        <v>-19.91</v>
      </c>
      <c r="AC30" s="15">
        <v>10484</v>
      </c>
    </row>
    <row r="31" spans="1:29" ht="15.75" thickBot="1" x14ac:dyDescent="0.3">
      <c r="B31" s="17" t="s">
        <v>52</v>
      </c>
      <c r="C31" s="6">
        <v>2</v>
      </c>
      <c r="D31" s="6">
        <v>6</v>
      </c>
      <c r="E31" s="6">
        <v>3</v>
      </c>
      <c r="F31" s="6">
        <v>2</v>
      </c>
      <c r="G31" s="6">
        <v>3</v>
      </c>
      <c r="H31" s="6">
        <v>10</v>
      </c>
      <c r="I31" s="6">
        <v>4</v>
      </c>
      <c r="J31" s="7">
        <v>100</v>
      </c>
      <c r="K31" s="8">
        <v>3.13</v>
      </c>
      <c r="L31" s="9">
        <v>10.53</v>
      </c>
      <c r="M31" s="10">
        <v>39.200000000000003</v>
      </c>
      <c r="N31" s="10">
        <v>79.165999999999997</v>
      </c>
      <c r="O31" s="11">
        <v>59.183</v>
      </c>
      <c r="P31" s="12">
        <v>412.63</v>
      </c>
      <c r="Q31" s="12">
        <v>247.39</v>
      </c>
      <c r="R31" s="13">
        <v>330.01</v>
      </c>
      <c r="S31" s="14" t="s">
        <v>55</v>
      </c>
      <c r="T31" s="12">
        <v>56.62</v>
      </c>
      <c r="U31" s="15">
        <v>768.29</v>
      </c>
      <c r="V31" s="15">
        <v>2401</v>
      </c>
      <c r="W31" s="15">
        <v>8087</v>
      </c>
      <c r="X31" s="15">
        <v>10488</v>
      </c>
      <c r="Y31" s="6">
        <v>4</v>
      </c>
      <c r="Z31" s="15">
        <v>56.62</v>
      </c>
      <c r="AA31" s="15">
        <v>768.29355269999996</v>
      </c>
      <c r="AB31" s="19">
        <v>-19.88</v>
      </c>
      <c r="AC31" s="15">
        <v>10488</v>
      </c>
    </row>
    <row r="32" spans="1:29" ht="15.75" thickBot="1" x14ac:dyDescent="0.3">
      <c r="B32" s="5" t="s">
        <v>52</v>
      </c>
      <c r="C32" s="6">
        <v>2</v>
      </c>
      <c r="D32" s="6">
        <v>6</v>
      </c>
      <c r="E32" s="6">
        <v>3</v>
      </c>
      <c r="F32" s="6">
        <v>2</v>
      </c>
      <c r="G32" s="6">
        <v>3</v>
      </c>
      <c r="H32" s="6">
        <v>10</v>
      </c>
      <c r="I32" s="6">
        <v>6</v>
      </c>
      <c r="J32" s="7">
        <v>150</v>
      </c>
      <c r="K32" s="8">
        <v>3.13</v>
      </c>
      <c r="L32" s="9">
        <v>10.53</v>
      </c>
      <c r="M32" s="10">
        <v>39.200000000000003</v>
      </c>
      <c r="N32" s="10">
        <v>79.165999999999997</v>
      </c>
      <c r="O32" s="11">
        <v>59.183</v>
      </c>
      <c r="P32" s="12">
        <v>412.63</v>
      </c>
      <c r="Q32" s="12">
        <v>247.39</v>
      </c>
      <c r="R32" s="13">
        <v>330.01</v>
      </c>
      <c r="S32" s="14" t="s">
        <v>56</v>
      </c>
      <c r="T32" s="12">
        <v>56.62</v>
      </c>
      <c r="U32" s="15">
        <v>768.29</v>
      </c>
      <c r="V32" s="15">
        <v>2401</v>
      </c>
      <c r="W32" s="15">
        <v>8087</v>
      </c>
      <c r="X32" s="15">
        <v>10488</v>
      </c>
      <c r="Y32" s="6">
        <v>6</v>
      </c>
      <c r="Z32" s="15">
        <v>56.62</v>
      </c>
      <c r="AA32" s="15">
        <v>768.29355269999996</v>
      </c>
      <c r="AB32" s="19">
        <v>-19.88</v>
      </c>
      <c r="AC32" s="15">
        <v>10488</v>
      </c>
    </row>
    <row r="33" spans="2:29" ht="15.75" thickBot="1" x14ac:dyDescent="0.3">
      <c r="B33" s="5" t="s">
        <v>127</v>
      </c>
      <c r="C33" s="6">
        <v>1</v>
      </c>
      <c r="D33" s="6">
        <v>6</v>
      </c>
      <c r="E33" s="6">
        <v>6</v>
      </c>
      <c r="F33" s="6">
        <v>1</v>
      </c>
      <c r="G33" s="6">
        <v>3</v>
      </c>
      <c r="H33" s="6">
        <v>6</v>
      </c>
      <c r="I33" s="6">
        <v>5</v>
      </c>
      <c r="J33" s="7">
        <v>70</v>
      </c>
      <c r="K33" s="8">
        <v>2.5</v>
      </c>
      <c r="L33" s="9">
        <v>6.86</v>
      </c>
      <c r="M33" s="10">
        <v>49</v>
      </c>
      <c r="N33" s="10">
        <v>121.527</v>
      </c>
      <c r="O33" s="11">
        <v>85.263999999999996</v>
      </c>
      <c r="P33" s="12">
        <v>336</v>
      </c>
      <c r="Q33" s="12">
        <v>303.82</v>
      </c>
      <c r="R33" s="13">
        <v>319.91000000000003</v>
      </c>
      <c r="S33" s="14" t="s">
        <v>129</v>
      </c>
      <c r="T33" s="12">
        <v>38.74</v>
      </c>
      <c r="U33" s="15">
        <v>1122.92</v>
      </c>
      <c r="V33" s="15">
        <v>2807</v>
      </c>
      <c r="W33" s="15">
        <v>7700</v>
      </c>
      <c r="X33" s="15">
        <v>10507</v>
      </c>
      <c r="Y33" s="6">
        <v>5</v>
      </c>
      <c r="Z33" s="15">
        <v>38.74</v>
      </c>
      <c r="AA33" s="15">
        <v>1122.915542</v>
      </c>
      <c r="AB33" s="37">
        <v>-19.73</v>
      </c>
      <c r="AC33" s="15">
        <v>10507</v>
      </c>
    </row>
    <row r="34" spans="2:29" ht="15.75" thickBot="1" x14ac:dyDescent="0.3">
      <c r="B34" s="5" t="s">
        <v>112</v>
      </c>
      <c r="C34" s="6">
        <v>1</v>
      </c>
      <c r="D34" s="6">
        <v>4</v>
      </c>
      <c r="E34" s="6">
        <v>4</v>
      </c>
      <c r="F34" s="6">
        <v>1</v>
      </c>
      <c r="G34" s="6">
        <v>2</v>
      </c>
      <c r="H34" s="6">
        <v>4</v>
      </c>
      <c r="I34" s="6">
        <v>7</v>
      </c>
      <c r="J34" s="7">
        <v>60</v>
      </c>
      <c r="K34" s="8">
        <v>1.73</v>
      </c>
      <c r="L34" s="9">
        <v>4.32</v>
      </c>
      <c r="M34" s="10">
        <v>71.010000000000005</v>
      </c>
      <c r="N34" s="10">
        <v>192.708</v>
      </c>
      <c r="O34" s="11">
        <v>131.86099999999999</v>
      </c>
      <c r="P34" s="12">
        <v>307.08999999999997</v>
      </c>
      <c r="Q34" s="12">
        <v>332.42</v>
      </c>
      <c r="R34" s="13">
        <v>319.76</v>
      </c>
      <c r="S34" s="14" t="s">
        <v>114</v>
      </c>
      <c r="T34" s="12">
        <v>25.01</v>
      </c>
      <c r="U34" s="15">
        <v>1739.16</v>
      </c>
      <c r="V34" s="15">
        <v>3000</v>
      </c>
      <c r="W34" s="15">
        <v>7521</v>
      </c>
      <c r="X34" s="15">
        <v>10521</v>
      </c>
      <c r="Y34" s="6">
        <v>7</v>
      </c>
      <c r="Z34" s="15">
        <v>25.01</v>
      </c>
      <c r="AA34" s="15">
        <v>1739.1588690000001</v>
      </c>
      <c r="AB34" s="37">
        <v>-19.63</v>
      </c>
      <c r="AC34" s="15">
        <v>10521</v>
      </c>
    </row>
    <row r="35" spans="2:29" ht="15.75" thickBot="1" x14ac:dyDescent="0.3">
      <c r="B35" s="5" t="s">
        <v>37</v>
      </c>
      <c r="C35" s="6">
        <v>1</v>
      </c>
      <c r="D35" s="6">
        <v>4</v>
      </c>
      <c r="E35" s="6">
        <v>4</v>
      </c>
      <c r="F35" s="6">
        <v>1</v>
      </c>
      <c r="G35" s="6">
        <v>2</v>
      </c>
      <c r="H35" s="6">
        <v>4</v>
      </c>
      <c r="I35" s="6">
        <v>5</v>
      </c>
      <c r="J35" s="7">
        <v>40</v>
      </c>
      <c r="K35" s="8">
        <v>1.73</v>
      </c>
      <c r="L35" s="9">
        <v>4.32</v>
      </c>
      <c r="M35" s="10">
        <v>71.010000000000005</v>
      </c>
      <c r="N35" s="10">
        <v>192.708</v>
      </c>
      <c r="O35" s="11">
        <v>131.86099999999999</v>
      </c>
      <c r="P35" s="12">
        <v>307.08999999999997</v>
      </c>
      <c r="Q35" s="12">
        <v>332.42</v>
      </c>
      <c r="R35" s="13">
        <v>319.76</v>
      </c>
      <c r="S35" s="14" t="s">
        <v>39</v>
      </c>
      <c r="T35" s="12">
        <v>25.01</v>
      </c>
      <c r="U35" s="15">
        <v>1739.16</v>
      </c>
      <c r="V35" s="15">
        <v>3000</v>
      </c>
      <c r="W35" s="15">
        <v>7521</v>
      </c>
      <c r="X35" s="15">
        <v>10521</v>
      </c>
      <c r="Y35" s="6">
        <v>5</v>
      </c>
      <c r="Z35" s="15">
        <v>25.01</v>
      </c>
      <c r="AA35" s="15">
        <v>1739.1588690000001</v>
      </c>
      <c r="AB35" s="37">
        <v>-19.63</v>
      </c>
      <c r="AC35" s="15">
        <v>10521</v>
      </c>
    </row>
    <row r="36" spans="2:29" ht="15.75" thickBot="1" x14ac:dyDescent="0.3">
      <c r="B36" s="5" t="s">
        <v>22</v>
      </c>
      <c r="C36" s="6">
        <v>7</v>
      </c>
      <c r="D36" s="6">
        <v>19</v>
      </c>
      <c r="E36" s="6">
        <v>19</v>
      </c>
      <c r="F36" s="6">
        <v>30</v>
      </c>
      <c r="G36" s="6">
        <v>50</v>
      </c>
      <c r="H36" s="6">
        <v>300</v>
      </c>
      <c r="I36" s="6">
        <v>9</v>
      </c>
      <c r="J36" s="7">
        <v>3000</v>
      </c>
      <c r="K36" s="8">
        <v>76</v>
      </c>
      <c r="L36" s="9">
        <v>545.45000000000005</v>
      </c>
      <c r="M36" s="10">
        <v>1.61</v>
      </c>
      <c r="N36" s="10">
        <v>1.528</v>
      </c>
      <c r="O36" s="11">
        <v>1.57</v>
      </c>
      <c r="P36" s="12">
        <v>879.19</v>
      </c>
      <c r="Q36" s="12">
        <v>116.11</v>
      </c>
      <c r="R36" s="13">
        <v>497.65</v>
      </c>
      <c r="S36" s="14" t="s">
        <v>36</v>
      </c>
      <c r="T36" s="12">
        <v>2562.44</v>
      </c>
      <c r="U36" s="15">
        <v>16.98</v>
      </c>
      <c r="V36" s="15">
        <v>1290</v>
      </c>
      <c r="W36" s="15">
        <v>9260</v>
      </c>
      <c r="X36" s="15">
        <v>10550</v>
      </c>
      <c r="Y36" s="6">
        <v>9</v>
      </c>
      <c r="Z36" s="15">
        <v>2562.44</v>
      </c>
      <c r="AA36" s="15">
        <v>16.97600538</v>
      </c>
      <c r="AB36" s="30">
        <v>-19.41</v>
      </c>
      <c r="AC36" s="15">
        <v>10550</v>
      </c>
    </row>
    <row r="37" spans="2:29" ht="15.75" thickBot="1" x14ac:dyDescent="0.3">
      <c r="B37" s="5" t="s">
        <v>37</v>
      </c>
      <c r="C37" s="6">
        <v>4</v>
      </c>
      <c r="D37" s="6">
        <v>12</v>
      </c>
      <c r="E37" s="6">
        <v>9</v>
      </c>
      <c r="F37" s="6">
        <v>7</v>
      </c>
      <c r="G37" s="6">
        <v>9</v>
      </c>
      <c r="H37" s="6">
        <v>30</v>
      </c>
      <c r="I37" s="6">
        <v>7</v>
      </c>
      <c r="J37" s="7">
        <v>450</v>
      </c>
      <c r="K37" s="8">
        <v>12.4</v>
      </c>
      <c r="L37" s="9">
        <v>37.5</v>
      </c>
      <c r="M37" s="10">
        <v>9.8800000000000008</v>
      </c>
      <c r="N37" s="10">
        <v>22.222000000000001</v>
      </c>
      <c r="O37" s="11">
        <v>16.050999999999998</v>
      </c>
      <c r="P37" s="12">
        <v>370.46</v>
      </c>
      <c r="Q37" s="12">
        <v>275.55</v>
      </c>
      <c r="R37" s="13">
        <v>323.01</v>
      </c>
      <c r="S37" s="14" t="s">
        <v>45</v>
      </c>
      <c r="T37" s="12">
        <v>205.77</v>
      </c>
      <c r="U37" s="15">
        <v>211.4</v>
      </c>
      <c r="V37" s="15">
        <v>2621</v>
      </c>
      <c r="W37" s="15">
        <v>7927</v>
      </c>
      <c r="X37" s="15">
        <v>10549</v>
      </c>
      <c r="Y37" s="6">
        <v>7</v>
      </c>
      <c r="Z37" s="15">
        <v>205.77</v>
      </c>
      <c r="AA37" s="15">
        <v>211.39834590000001</v>
      </c>
      <c r="AB37" s="46">
        <v>-19.41</v>
      </c>
      <c r="AC37" s="15">
        <v>10549</v>
      </c>
    </row>
    <row r="38" spans="2:29" ht="15.75" thickBot="1" x14ac:dyDescent="0.3">
      <c r="B38" s="5" t="s">
        <v>112</v>
      </c>
      <c r="C38" s="6">
        <v>2</v>
      </c>
      <c r="D38" s="6">
        <v>7</v>
      </c>
      <c r="E38" s="6">
        <v>4</v>
      </c>
      <c r="F38" s="6">
        <v>2</v>
      </c>
      <c r="G38" s="6">
        <v>4</v>
      </c>
      <c r="H38" s="6">
        <v>13</v>
      </c>
      <c r="I38" s="6">
        <v>6</v>
      </c>
      <c r="J38" s="7">
        <v>175</v>
      </c>
      <c r="K38" s="8">
        <v>3.9</v>
      </c>
      <c r="L38" s="9">
        <v>14.05</v>
      </c>
      <c r="M38" s="10">
        <v>31.41</v>
      </c>
      <c r="N38" s="10">
        <v>59.295000000000002</v>
      </c>
      <c r="O38" s="11">
        <v>45.351999999999997</v>
      </c>
      <c r="P38" s="12">
        <v>441.44</v>
      </c>
      <c r="Q38" s="12">
        <v>231.25</v>
      </c>
      <c r="R38" s="13">
        <v>336.35</v>
      </c>
      <c r="S38" s="14" t="s">
        <v>116</v>
      </c>
      <c r="T38" s="12">
        <v>74.03</v>
      </c>
      <c r="U38" s="15">
        <v>587.58000000000004</v>
      </c>
      <c r="V38" s="15">
        <v>2292</v>
      </c>
      <c r="W38" s="15">
        <v>8258</v>
      </c>
      <c r="X38" s="15">
        <v>10549</v>
      </c>
      <c r="Y38" s="6">
        <v>6</v>
      </c>
      <c r="Z38" s="15">
        <v>74.03</v>
      </c>
      <c r="AA38" s="15">
        <v>587.57874300000003</v>
      </c>
      <c r="AB38" s="30">
        <v>-19.41</v>
      </c>
      <c r="AC38" s="15">
        <v>10549</v>
      </c>
    </row>
    <row r="39" spans="2:29" ht="15.75" thickBot="1" x14ac:dyDescent="0.3">
      <c r="B39" s="17" t="s">
        <v>82</v>
      </c>
      <c r="C39" s="6">
        <v>4</v>
      </c>
      <c r="D39" s="6">
        <v>9</v>
      </c>
      <c r="E39" s="6">
        <v>9</v>
      </c>
      <c r="F39" s="6">
        <v>6</v>
      </c>
      <c r="G39" s="6">
        <v>8</v>
      </c>
      <c r="H39" s="6">
        <v>25</v>
      </c>
      <c r="I39" s="6">
        <v>5</v>
      </c>
      <c r="J39" s="7">
        <v>300</v>
      </c>
      <c r="K39" s="8">
        <v>9.8000000000000007</v>
      </c>
      <c r="L39" s="9">
        <v>31.25</v>
      </c>
      <c r="M39" s="10">
        <v>12.5</v>
      </c>
      <c r="N39" s="10">
        <v>26.667000000000002</v>
      </c>
      <c r="O39" s="11">
        <v>19.582999999999998</v>
      </c>
      <c r="P39" s="12">
        <v>390.63</v>
      </c>
      <c r="Q39" s="12">
        <v>261.33</v>
      </c>
      <c r="R39" s="13">
        <v>325.98</v>
      </c>
      <c r="S39" s="14" t="s">
        <v>89</v>
      </c>
      <c r="T39" s="12">
        <v>169.12</v>
      </c>
      <c r="U39" s="15">
        <v>257.20999999999998</v>
      </c>
      <c r="V39" s="15">
        <v>2521</v>
      </c>
      <c r="W39" s="15">
        <v>8038</v>
      </c>
      <c r="X39" s="15">
        <v>10559</v>
      </c>
      <c r="Y39" s="6">
        <v>5</v>
      </c>
      <c r="Z39" s="15">
        <v>169.12</v>
      </c>
      <c r="AA39" s="15">
        <v>257.2109198</v>
      </c>
      <c r="AB39" s="30">
        <v>-19.34</v>
      </c>
      <c r="AC39" s="15">
        <v>10559</v>
      </c>
    </row>
    <row r="40" spans="2:29" ht="15.75" thickBot="1" x14ac:dyDescent="0.3">
      <c r="B40" s="17" t="s">
        <v>37</v>
      </c>
      <c r="C40" s="6">
        <v>4</v>
      </c>
      <c r="D40" s="6">
        <v>11</v>
      </c>
      <c r="E40" s="6">
        <v>8</v>
      </c>
      <c r="F40" s="6">
        <v>7</v>
      </c>
      <c r="G40" s="6">
        <v>9</v>
      </c>
      <c r="H40" s="6">
        <v>25</v>
      </c>
      <c r="I40" s="6">
        <v>5</v>
      </c>
      <c r="J40" s="7">
        <v>350</v>
      </c>
      <c r="K40" s="8">
        <v>12</v>
      </c>
      <c r="L40" s="9">
        <v>30.3</v>
      </c>
      <c r="M40" s="10">
        <v>10.210000000000001</v>
      </c>
      <c r="N40" s="10">
        <v>27.5</v>
      </c>
      <c r="O40" s="11">
        <v>18.853999999999999</v>
      </c>
      <c r="P40" s="12">
        <v>309.33999999999997</v>
      </c>
      <c r="Q40" s="12">
        <v>330</v>
      </c>
      <c r="R40" s="13">
        <v>319.67</v>
      </c>
      <c r="S40" s="14" t="s">
        <v>44</v>
      </c>
      <c r="T40" s="12">
        <v>173.85</v>
      </c>
      <c r="U40" s="15">
        <v>250.21</v>
      </c>
      <c r="V40" s="15">
        <v>3003</v>
      </c>
      <c r="W40" s="15">
        <v>7582</v>
      </c>
      <c r="X40" s="15">
        <v>10585</v>
      </c>
      <c r="Y40" s="6">
        <v>5</v>
      </c>
      <c r="Z40" s="15">
        <v>173.85</v>
      </c>
      <c r="AA40" s="15">
        <v>250.21475659999999</v>
      </c>
      <c r="AB40" s="21">
        <v>-19.14</v>
      </c>
      <c r="AC40" s="15">
        <v>10585</v>
      </c>
    </row>
    <row r="41" spans="2:29" ht="15.75" thickBot="1" x14ac:dyDescent="0.3">
      <c r="B41" s="17" t="s">
        <v>22</v>
      </c>
      <c r="C41" s="6">
        <v>3</v>
      </c>
      <c r="D41" s="6">
        <v>8</v>
      </c>
      <c r="E41" s="6">
        <v>4</v>
      </c>
      <c r="F41" s="6">
        <v>2</v>
      </c>
      <c r="G41" s="6">
        <v>5</v>
      </c>
      <c r="H41" s="6">
        <v>15</v>
      </c>
      <c r="I41" s="6">
        <v>4</v>
      </c>
      <c r="J41" s="7">
        <v>150</v>
      </c>
      <c r="K41" s="8">
        <v>4.7300000000000004</v>
      </c>
      <c r="L41" s="9">
        <v>16.22</v>
      </c>
      <c r="M41" s="10">
        <v>25.93</v>
      </c>
      <c r="N41" s="10">
        <v>51.389000000000003</v>
      </c>
      <c r="O41" s="11">
        <v>38.656999999999996</v>
      </c>
      <c r="P41" s="12">
        <v>420.42</v>
      </c>
      <c r="Q41" s="12">
        <v>242.81</v>
      </c>
      <c r="R41" s="13">
        <v>331.62</v>
      </c>
      <c r="S41" s="14" t="s">
        <v>27</v>
      </c>
      <c r="T41" s="12">
        <v>86.65</v>
      </c>
      <c r="U41" s="15">
        <v>502.02</v>
      </c>
      <c r="V41" s="15">
        <v>2372</v>
      </c>
      <c r="W41" s="15">
        <v>8141</v>
      </c>
      <c r="X41" s="15">
        <v>10513</v>
      </c>
      <c r="Y41" s="6">
        <v>4</v>
      </c>
      <c r="Z41" s="15">
        <v>86</v>
      </c>
      <c r="AA41" s="15">
        <v>505.81395350000003</v>
      </c>
      <c r="AB41" s="21">
        <v>-19.079999999999998</v>
      </c>
      <c r="AC41" s="15">
        <v>10592</v>
      </c>
    </row>
    <row r="42" spans="2:29" ht="15.75" thickBot="1" x14ac:dyDescent="0.3">
      <c r="B42" s="5" t="s">
        <v>97</v>
      </c>
      <c r="C42" s="6">
        <v>5</v>
      </c>
      <c r="D42" s="6">
        <v>11</v>
      </c>
      <c r="E42" s="6">
        <v>16</v>
      </c>
      <c r="F42" s="6">
        <v>12</v>
      </c>
      <c r="G42" s="6">
        <v>16</v>
      </c>
      <c r="H42" s="6">
        <v>70</v>
      </c>
      <c r="I42" s="6">
        <v>6</v>
      </c>
      <c r="J42" s="7">
        <v>600</v>
      </c>
      <c r="K42" s="8">
        <v>21</v>
      </c>
      <c r="L42" s="9">
        <v>112</v>
      </c>
      <c r="M42" s="10">
        <v>5.83</v>
      </c>
      <c r="N42" s="10">
        <v>7.44</v>
      </c>
      <c r="O42" s="11">
        <v>6.6369999999999996</v>
      </c>
      <c r="P42" s="12">
        <v>653.33000000000004</v>
      </c>
      <c r="Q42" s="12">
        <v>156.25</v>
      </c>
      <c r="R42" s="13">
        <v>404.79</v>
      </c>
      <c r="S42" s="14" t="s">
        <v>107</v>
      </c>
      <c r="T42" s="12">
        <v>545.29</v>
      </c>
      <c r="U42" s="15">
        <v>79.77</v>
      </c>
      <c r="V42" s="15">
        <v>1675</v>
      </c>
      <c r="W42" s="15">
        <v>8935</v>
      </c>
      <c r="X42" s="15">
        <v>10610</v>
      </c>
      <c r="Y42" s="6">
        <v>6</v>
      </c>
      <c r="Z42" s="15">
        <v>545.29</v>
      </c>
      <c r="AA42" s="15">
        <v>79.774627609999996</v>
      </c>
      <c r="AB42" s="27">
        <v>-18.95</v>
      </c>
      <c r="AC42" s="15">
        <v>10610</v>
      </c>
    </row>
    <row r="43" spans="2:29" ht="15.75" thickBot="1" x14ac:dyDescent="0.3">
      <c r="B43" s="17" t="s">
        <v>112</v>
      </c>
      <c r="C43" s="6">
        <v>2</v>
      </c>
      <c r="D43" s="6">
        <v>6</v>
      </c>
      <c r="E43" s="6">
        <v>4</v>
      </c>
      <c r="F43" s="6">
        <v>2</v>
      </c>
      <c r="G43" s="6">
        <v>4</v>
      </c>
      <c r="H43" s="6">
        <v>13</v>
      </c>
      <c r="I43" s="6">
        <v>4</v>
      </c>
      <c r="J43" s="7">
        <v>125</v>
      </c>
      <c r="K43" s="8">
        <v>3.75</v>
      </c>
      <c r="L43" s="9">
        <v>14.05</v>
      </c>
      <c r="M43" s="10">
        <v>32.67</v>
      </c>
      <c r="N43" s="10">
        <v>59.295000000000002</v>
      </c>
      <c r="O43" s="11">
        <v>45.981000000000002</v>
      </c>
      <c r="P43" s="12">
        <v>459.1</v>
      </c>
      <c r="Q43" s="12">
        <v>222.35</v>
      </c>
      <c r="R43" s="13">
        <v>340.73</v>
      </c>
      <c r="S43" s="14" t="s">
        <v>115</v>
      </c>
      <c r="T43" s="12">
        <v>73.16</v>
      </c>
      <c r="U43" s="15">
        <v>594.61</v>
      </c>
      <c r="V43" s="15">
        <v>2230</v>
      </c>
      <c r="W43" s="15">
        <v>8357</v>
      </c>
      <c r="X43" s="15">
        <v>10586</v>
      </c>
      <c r="Y43" s="6">
        <v>4</v>
      </c>
      <c r="Z43" s="15">
        <v>73</v>
      </c>
      <c r="AA43" s="15">
        <v>595.89041099999997</v>
      </c>
      <c r="AB43" s="27">
        <v>-18.95</v>
      </c>
      <c r="AC43" s="15">
        <v>10609</v>
      </c>
    </row>
    <row r="44" spans="2:29" ht="15.75" thickBot="1" x14ac:dyDescent="0.3">
      <c r="B44" s="17" t="s">
        <v>22</v>
      </c>
      <c r="C44" s="6">
        <v>6</v>
      </c>
      <c r="D44" s="6">
        <v>15</v>
      </c>
      <c r="E44" s="6">
        <v>12</v>
      </c>
      <c r="F44" s="6">
        <v>16</v>
      </c>
      <c r="G44" s="6">
        <v>20</v>
      </c>
      <c r="H44" s="6">
        <v>70</v>
      </c>
      <c r="I44" s="6">
        <v>6</v>
      </c>
      <c r="J44" s="7">
        <v>750</v>
      </c>
      <c r="K44" s="8">
        <v>30.6</v>
      </c>
      <c r="L44" s="9">
        <v>96.55</v>
      </c>
      <c r="M44" s="10">
        <v>4</v>
      </c>
      <c r="N44" s="10">
        <v>8.6310000000000002</v>
      </c>
      <c r="O44" s="11">
        <v>6.3170000000000002</v>
      </c>
      <c r="P44" s="12">
        <v>386.52</v>
      </c>
      <c r="Q44" s="12">
        <v>264.11</v>
      </c>
      <c r="R44" s="13">
        <v>325.31</v>
      </c>
      <c r="S44" s="14" t="s">
        <v>33</v>
      </c>
      <c r="T44" s="12">
        <v>520.87</v>
      </c>
      <c r="U44" s="15">
        <v>83.51</v>
      </c>
      <c r="V44" s="15">
        <v>2556</v>
      </c>
      <c r="W44" s="15">
        <v>8063</v>
      </c>
      <c r="X44" s="15">
        <v>10619</v>
      </c>
      <c r="Y44" s="6">
        <v>6</v>
      </c>
      <c r="Z44" s="15">
        <v>520.87</v>
      </c>
      <c r="AA44" s="15">
        <v>83.514430759999996</v>
      </c>
      <c r="AB44" s="27">
        <v>-18.88</v>
      </c>
      <c r="AC44" s="15">
        <v>10619</v>
      </c>
    </row>
    <row r="45" spans="2:29" ht="15.75" thickBot="1" x14ac:dyDescent="0.3">
      <c r="B45" s="17" t="s">
        <v>22</v>
      </c>
      <c r="C45" s="6">
        <v>6</v>
      </c>
      <c r="D45" s="6">
        <v>17</v>
      </c>
      <c r="E45" s="6">
        <v>13</v>
      </c>
      <c r="F45" s="6">
        <v>16</v>
      </c>
      <c r="G45" s="6">
        <v>20</v>
      </c>
      <c r="H45" s="6">
        <v>70</v>
      </c>
      <c r="I45" s="6">
        <v>8</v>
      </c>
      <c r="J45" s="7">
        <v>1100</v>
      </c>
      <c r="K45" s="8">
        <v>32.4</v>
      </c>
      <c r="L45" s="9">
        <v>100</v>
      </c>
      <c r="M45" s="10">
        <v>3.78</v>
      </c>
      <c r="N45" s="10">
        <v>8.3330000000000002</v>
      </c>
      <c r="O45" s="11">
        <v>6.0570000000000004</v>
      </c>
      <c r="P45" s="12">
        <v>378.09</v>
      </c>
      <c r="Q45" s="12">
        <v>270</v>
      </c>
      <c r="R45" s="13">
        <v>324.04000000000002</v>
      </c>
      <c r="S45" s="14" t="s">
        <v>34</v>
      </c>
      <c r="T45" s="12">
        <v>541.32000000000005</v>
      </c>
      <c r="U45" s="15">
        <v>80.36</v>
      </c>
      <c r="V45" s="15">
        <v>2604</v>
      </c>
      <c r="W45" s="15">
        <v>8036</v>
      </c>
      <c r="X45" s="15">
        <v>10640</v>
      </c>
      <c r="Y45" s="6">
        <v>8</v>
      </c>
      <c r="Z45" s="15">
        <v>541.32000000000005</v>
      </c>
      <c r="AA45" s="15">
        <v>80.359393530000006</v>
      </c>
      <c r="AB45" s="28">
        <v>-18.72</v>
      </c>
      <c r="AC45" s="15">
        <v>10640</v>
      </c>
    </row>
    <row r="46" spans="2:29" ht="15.75" thickBot="1" x14ac:dyDescent="0.3">
      <c r="B46" s="5" t="s">
        <v>127</v>
      </c>
      <c r="C46" s="6">
        <v>5</v>
      </c>
      <c r="D46" s="6">
        <v>13</v>
      </c>
      <c r="E46" s="6">
        <v>10</v>
      </c>
      <c r="F46" s="6">
        <v>11</v>
      </c>
      <c r="G46" s="6">
        <v>15</v>
      </c>
      <c r="H46" s="6">
        <v>40</v>
      </c>
      <c r="I46" s="6">
        <v>7</v>
      </c>
      <c r="J46" s="7">
        <v>600</v>
      </c>
      <c r="K46" s="8">
        <v>20.8</v>
      </c>
      <c r="L46" s="9">
        <v>51.61</v>
      </c>
      <c r="M46" s="10">
        <v>5.89</v>
      </c>
      <c r="N46" s="10">
        <v>16.146000000000001</v>
      </c>
      <c r="O46" s="11">
        <v>11.018000000000001</v>
      </c>
      <c r="P46" s="12">
        <v>303.97000000000003</v>
      </c>
      <c r="Q46" s="12">
        <v>335.83</v>
      </c>
      <c r="R46" s="13">
        <v>319.89999999999998</v>
      </c>
      <c r="S46" s="14" t="s">
        <v>137</v>
      </c>
      <c r="T46" s="12">
        <v>296.07</v>
      </c>
      <c r="U46" s="15">
        <v>146.93</v>
      </c>
      <c r="V46" s="15">
        <v>3056</v>
      </c>
      <c r="W46" s="15">
        <v>7583</v>
      </c>
      <c r="X46" s="15">
        <v>10639</v>
      </c>
      <c r="Y46" s="6">
        <v>7</v>
      </c>
      <c r="Z46" s="15">
        <v>296.07</v>
      </c>
      <c r="AA46" s="15">
        <v>146.9271076</v>
      </c>
      <c r="AB46" s="28">
        <v>-18.72</v>
      </c>
      <c r="AC46" s="15">
        <v>10639</v>
      </c>
    </row>
    <row r="47" spans="2:29" ht="15.75" thickBot="1" x14ac:dyDescent="0.3">
      <c r="B47" s="17" t="s">
        <v>142</v>
      </c>
      <c r="C47" s="109"/>
      <c r="D47" s="6">
        <v>14</v>
      </c>
      <c r="E47" s="6">
        <v>7</v>
      </c>
      <c r="F47" s="6">
        <v>10</v>
      </c>
      <c r="G47" s="6">
        <v>15</v>
      </c>
      <c r="H47" s="6">
        <v>40</v>
      </c>
      <c r="I47" s="6">
        <v>7</v>
      </c>
      <c r="J47" s="7">
        <v>500</v>
      </c>
      <c r="K47" s="8">
        <v>20.63</v>
      </c>
      <c r="L47" s="9">
        <v>47.06</v>
      </c>
      <c r="M47" s="10">
        <v>5.94</v>
      </c>
      <c r="N47" s="10">
        <v>17.707999999999998</v>
      </c>
      <c r="O47" s="11">
        <v>11.824</v>
      </c>
      <c r="P47" s="12">
        <v>279.5</v>
      </c>
      <c r="Q47" s="12">
        <v>365.23</v>
      </c>
      <c r="R47" s="13">
        <v>322.37</v>
      </c>
      <c r="S47" s="14" t="s">
        <v>150</v>
      </c>
      <c r="T47" s="12">
        <v>276.29000000000002</v>
      </c>
      <c r="U47" s="15">
        <v>157.44</v>
      </c>
      <c r="V47" s="15">
        <v>3247</v>
      </c>
      <c r="W47" s="15">
        <v>7409</v>
      </c>
      <c r="X47" s="15">
        <v>10656</v>
      </c>
      <c r="Y47" s="6">
        <v>7</v>
      </c>
      <c r="Z47" s="15">
        <v>276.29000000000002</v>
      </c>
      <c r="AA47" s="15">
        <v>157.4449606</v>
      </c>
      <c r="AB47" s="91">
        <v>-18.59</v>
      </c>
      <c r="AC47" s="15">
        <v>10656</v>
      </c>
    </row>
    <row r="48" spans="2:29" ht="15.75" thickBot="1" x14ac:dyDescent="0.3">
      <c r="B48" s="17" t="s">
        <v>112</v>
      </c>
      <c r="C48" s="6">
        <v>5</v>
      </c>
      <c r="D48" s="6">
        <v>13</v>
      </c>
      <c r="E48" s="6">
        <v>13</v>
      </c>
      <c r="F48" s="6">
        <v>13</v>
      </c>
      <c r="G48" s="6">
        <v>17</v>
      </c>
      <c r="H48" s="6">
        <v>45</v>
      </c>
      <c r="I48" s="6">
        <v>6</v>
      </c>
      <c r="J48" s="7">
        <v>500</v>
      </c>
      <c r="K48" s="8">
        <v>24</v>
      </c>
      <c r="L48" s="9">
        <v>64.290000000000006</v>
      </c>
      <c r="M48" s="10">
        <v>5.0999999999999996</v>
      </c>
      <c r="N48" s="10">
        <v>12.962999999999999</v>
      </c>
      <c r="O48" s="11">
        <v>9.0340000000000007</v>
      </c>
      <c r="P48" s="12">
        <v>328.13</v>
      </c>
      <c r="Q48" s="12">
        <v>311.11</v>
      </c>
      <c r="R48" s="13">
        <v>319.62</v>
      </c>
      <c r="S48" s="14" t="s">
        <v>121</v>
      </c>
      <c r="T48" s="12">
        <v>360.09</v>
      </c>
      <c r="U48" s="15">
        <v>120.8</v>
      </c>
      <c r="V48" s="15">
        <v>2899</v>
      </c>
      <c r="W48" s="15">
        <v>7766</v>
      </c>
      <c r="X48" s="15">
        <v>10665</v>
      </c>
      <c r="Y48" s="6">
        <v>6</v>
      </c>
      <c r="Z48" s="15">
        <v>360.09</v>
      </c>
      <c r="AA48" s="15">
        <v>120.8015436</v>
      </c>
      <c r="AB48" s="91">
        <v>-18.53</v>
      </c>
      <c r="AC48" s="15">
        <v>10665</v>
      </c>
    </row>
    <row r="49" spans="2:29" ht="15.75" thickBot="1" x14ac:dyDescent="0.3">
      <c r="B49" s="5" t="s">
        <v>97</v>
      </c>
      <c r="C49" s="6">
        <v>6</v>
      </c>
      <c r="D49" s="6">
        <v>14</v>
      </c>
      <c r="E49" s="6">
        <v>14</v>
      </c>
      <c r="F49" s="6">
        <v>18</v>
      </c>
      <c r="G49" s="6">
        <v>22</v>
      </c>
      <c r="H49" s="6">
        <v>70</v>
      </c>
      <c r="I49" s="6">
        <v>11</v>
      </c>
      <c r="J49" s="7">
        <v>1100</v>
      </c>
      <c r="K49" s="8">
        <v>33</v>
      </c>
      <c r="L49" s="9">
        <v>103.7</v>
      </c>
      <c r="M49" s="10">
        <v>3.71</v>
      </c>
      <c r="N49" s="10">
        <v>8.0359999999999996</v>
      </c>
      <c r="O49" s="11">
        <v>5.8739999999999997</v>
      </c>
      <c r="P49" s="12">
        <v>384.96</v>
      </c>
      <c r="Q49" s="12">
        <v>265.18</v>
      </c>
      <c r="R49" s="13">
        <v>325.07</v>
      </c>
      <c r="S49" s="14" t="s">
        <v>109</v>
      </c>
      <c r="T49" s="12">
        <v>557.38</v>
      </c>
      <c r="U49" s="15">
        <v>78.040000000000006</v>
      </c>
      <c r="V49" s="15">
        <v>2575</v>
      </c>
      <c r="W49" s="15">
        <v>8093</v>
      </c>
      <c r="X49" s="15">
        <v>10669</v>
      </c>
      <c r="Y49" s="6">
        <v>11</v>
      </c>
      <c r="Z49" s="15">
        <v>557.38</v>
      </c>
      <c r="AA49" s="15">
        <v>78.043424830000006</v>
      </c>
      <c r="AB49" s="91">
        <v>-18.5</v>
      </c>
      <c r="AC49" s="15">
        <v>10669</v>
      </c>
    </row>
    <row r="50" spans="2:29" ht="15.75" thickBot="1" x14ac:dyDescent="0.3">
      <c r="B50" s="5" t="s">
        <v>82</v>
      </c>
      <c r="C50" s="6">
        <v>4</v>
      </c>
      <c r="D50" s="6">
        <v>10</v>
      </c>
      <c r="E50" s="6">
        <v>10</v>
      </c>
      <c r="F50" s="6">
        <v>6</v>
      </c>
      <c r="G50" s="6">
        <v>8</v>
      </c>
      <c r="H50" s="6">
        <v>30</v>
      </c>
      <c r="I50" s="6">
        <v>6</v>
      </c>
      <c r="J50" s="7">
        <v>330</v>
      </c>
      <c r="K50" s="8">
        <v>10.15</v>
      </c>
      <c r="L50" s="9">
        <v>38.71</v>
      </c>
      <c r="M50" s="10">
        <v>12.07</v>
      </c>
      <c r="N50" s="10">
        <v>21.527999999999999</v>
      </c>
      <c r="O50" s="11">
        <v>16.797999999999998</v>
      </c>
      <c r="P50" s="12">
        <v>467.19</v>
      </c>
      <c r="Q50" s="12">
        <v>218.51</v>
      </c>
      <c r="R50" s="13">
        <v>342.85</v>
      </c>
      <c r="S50" s="14" t="s">
        <v>90</v>
      </c>
      <c r="T50" s="12">
        <v>198.64</v>
      </c>
      <c r="U50" s="15">
        <v>218.99</v>
      </c>
      <c r="V50" s="15">
        <v>2223</v>
      </c>
      <c r="W50" s="15">
        <v>8477</v>
      </c>
      <c r="X50" s="15">
        <v>10700</v>
      </c>
      <c r="Y50" s="6">
        <v>6</v>
      </c>
      <c r="Z50" s="15">
        <v>198.64</v>
      </c>
      <c r="AA50" s="15">
        <v>218.99151950000001</v>
      </c>
      <c r="AB50" s="82">
        <v>-18.260000000000002</v>
      </c>
      <c r="AC50" s="15">
        <v>10700</v>
      </c>
    </row>
    <row r="51" spans="2:29" ht="15.75" thickBot="1" x14ac:dyDescent="0.3">
      <c r="B51" s="5" t="s">
        <v>82</v>
      </c>
      <c r="C51" s="6">
        <v>5</v>
      </c>
      <c r="D51" s="6">
        <v>15</v>
      </c>
      <c r="E51" s="6">
        <v>15</v>
      </c>
      <c r="F51" s="6">
        <v>12</v>
      </c>
      <c r="G51" s="6">
        <v>20</v>
      </c>
      <c r="H51" s="6">
        <v>50</v>
      </c>
      <c r="I51" s="6">
        <v>8</v>
      </c>
      <c r="J51" s="7">
        <v>575</v>
      </c>
      <c r="K51" s="8">
        <v>27.2</v>
      </c>
      <c r="L51" s="9">
        <v>76.92</v>
      </c>
      <c r="M51" s="10">
        <v>4.5</v>
      </c>
      <c r="N51" s="10">
        <v>10.833</v>
      </c>
      <c r="O51" s="11">
        <v>7.6680000000000001</v>
      </c>
      <c r="P51" s="12">
        <v>346.44</v>
      </c>
      <c r="Q51" s="12">
        <v>294.67</v>
      </c>
      <c r="R51" s="13">
        <v>320.55</v>
      </c>
      <c r="S51" s="14" t="s">
        <v>92</v>
      </c>
      <c r="T51" s="12">
        <v>423.21</v>
      </c>
      <c r="U51" s="15">
        <v>102.79</v>
      </c>
      <c r="V51" s="15">
        <v>2796</v>
      </c>
      <c r="W51" s="15">
        <v>7907</v>
      </c>
      <c r="X51" s="15">
        <v>10702</v>
      </c>
      <c r="Y51" s="6">
        <v>8</v>
      </c>
      <c r="Z51" s="15">
        <v>423.21</v>
      </c>
      <c r="AA51" s="15">
        <v>102.7851423</v>
      </c>
      <c r="AB51" s="82">
        <v>-18.239999999999998</v>
      </c>
      <c r="AC51" s="15">
        <v>10702</v>
      </c>
    </row>
    <row r="52" spans="2:29" ht="15.75" thickBot="1" x14ac:dyDescent="0.3">
      <c r="B52" s="17" t="s">
        <v>142</v>
      </c>
      <c r="C52" s="109"/>
      <c r="D52" s="6">
        <v>4</v>
      </c>
      <c r="E52" s="6">
        <v>2</v>
      </c>
      <c r="F52" s="6">
        <v>1</v>
      </c>
      <c r="G52" s="6">
        <v>3</v>
      </c>
      <c r="H52" s="6">
        <v>4</v>
      </c>
      <c r="I52" s="6">
        <v>4</v>
      </c>
      <c r="J52" s="7">
        <v>40</v>
      </c>
      <c r="K52" s="8">
        <v>2.2999999999999998</v>
      </c>
      <c r="L52" s="9">
        <v>4.0999999999999996</v>
      </c>
      <c r="M52" s="10">
        <v>53.26</v>
      </c>
      <c r="N52" s="10">
        <v>203.124</v>
      </c>
      <c r="O52" s="11">
        <v>128.19300000000001</v>
      </c>
      <c r="P52" s="12">
        <v>218.51</v>
      </c>
      <c r="Q52" s="12">
        <v>467.19</v>
      </c>
      <c r="R52" s="13">
        <v>342.85</v>
      </c>
      <c r="S52" s="14" t="s">
        <v>144</v>
      </c>
      <c r="T52" s="12">
        <v>25.39</v>
      </c>
      <c r="U52" s="15">
        <v>1713.32</v>
      </c>
      <c r="V52" s="15">
        <v>3941</v>
      </c>
      <c r="W52" s="15">
        <v>7029</v>
      </c>
      <c r="X52" s="15">
        <v>10970</v>
      </c>
      <c r="Y52" s="6">
        <v>4</v>
      </c>
      <c r="Z52" s="15">
        <v>26</v>
      </c>
      <c r="AA52" s="15">
        <v>1673.0769230000001</v>
      </c>
      <c r="AB52" s="61">
        <v>-18.170000000000002</v>
      </c>
      <c r="AC52" s="15">
        <v>10712</v>
      </c>
    </row>
    <row r="53" spans="2:29" ht="15.75" thickBot="1" x14ac:dyDescent="0.3">
      <c r="B53" s="17" t="s">
        <v>52</v>
      </c>
      <c r="C53" s="6">
        <v>5</v>
      </c>
      <c r="D53" s="6">
        <v>12</v>
      </c>
      <c r="E53" s="6">
        <v>10</v>
      </c>
      <c r="F53" s="6">
        <v>10</v>
      </c>
      <c r="G53" s="6">
        <v>12</v>
      </c>
      <c r="H53" s="6">
        <v>30</v>
      </c>
      <c r="I53" s="6">
        <v>7</v>
      </c>
      <c r="J53" s="7">
        <v>450</v>
      </c>
      <c r="K53" s="8">
        <v>17.05</v>
      </c>
      <c r="L53" s="9">
        <v>38.71</v>
      </c>
      <c r="M53" s="10">
        <v>7.18</v>
      </c>
      <c r="N53" s="10">
        <v>21.527999999999999</v>
      </c>
      <c r="O53" s="11">
        <v>14.356</v>
      </c>
      <c r="P53" s="12">
        <v>278.12</v>
      </c>
      <c r="Q53" s="12">
        <v>367.05</v>
      </c>
      <c r="R53" s="13">
        <v>322.58</v>
      </c>
      <c r="S53" s="14" t="s">
        <v>62</v>
      </c>
      <c r="T53" s="12">
        <v>226.15</v>
      </c>
      <c r="U53" s="15">
        <v>192.35</v>
      </c>
      <c r="V53" s="15">
        <v>3280</v>
      </c>
      <c r="W53" s="15">
        <v>7446</v>
      </c>
      <c r="X53" s="15">
        <v>10725</v>
      </c>
      <c r="Y53" s="6">
        <v>7</v>
      </c>
      <c r="Z53" s="15">
        <v>226.15</v>
      </c>
      <c r="AA53" s="15">
        <v>192.34850209999999</v>
      </c>
      <c r="AB53" s="61">
        <v>-18.07</v>
      </c>
      <c r="AC53" s="15">
        <v>10725</v>
      </c>
    </row>
    <row r="54" spans="2:29" ht="15.75" thickBot="1" x14ac:dyDescent="0.3">
      <c r="B54" s="5" t="s">
        <v>52</v>
      </c>
      <c r="C54" s="6">
        <v>5</v>
      </c>
      <c r="D54" s="6">
        <v>12</v>
      </c>
      <c r="E54" s="6">
        <v>7</v>
      </c>
      <c r="F54" s="6">
        <v>10</v>
      </c>
      <c r="G54" s="6">
        <v>12</v>
      </c>
      <c r="H54" s="6">
        <v>30</v>
      </c>
      <c r="I54" s="6">
        <v>5</v>
      </c>
      <c r="J54" s="7">
        <v>400</v>
      </c>
      <c r="K54" s="8">
        <v>17.05</v>
      </c>
      <c r="L54" s="9">
        <v>35.29</v>
      </c>
      <c r="M54" s="10">
        <v>7.18</v>
      </c>
      <c r="N54" s="10">
        <v>23.611000000000001</v>
      </c>
      <c r="O54" s="11">
        <v>15.398</v>
      </c>
      <c r="P54" s="12">
        <v>253.58</v>
      </c>
      <c r="Q54" s="12">
        <v>402.57</v>
      </c>
      <c r="R54" s="13">
        <v>328.07</v>
      </c>
      <c r="S54" s="14" t="s">
        <v>61</v>
      </c>
      <c r="T54" s="12">
        <v>211.13</v>
      </c>
      <c r="U54" s="15">
        <v>206.04</v>
      </c>
      <c r="V54" s="15">
        <v>3513</v>
      </c>
      <c r="W54" s="15">
        <v>7272</v>
      </c>
      <c r="X54" s="15">
        <v>10785</v>
      </c>
      <c r="Y54" s="6">
        <v>5</v>
      </c>
      <c r="Z54" s="15">
        <v>211.13</v>
      </c>
      <c r="AA54" s="15">
        <v>206.03554840000001</v>
      </c>
      <c r="AB54" s="51">
        <v>-17.61</v>
      </c>
      <c r="AC54" s="15">
        <v>10785</v>
      </c>
    </row>
    <row r="55" spans="2:29" ht="15.75" thickBot="1" x14ac:dyDescent="0.3">
      <c r="B55" s="17" t="s">
        <v>37</v>
      </c>
      <c r="C55" s="6">
        <v>7</v>
      </c>
      <c r="D55" s="6">
        <v>19</v>
      </c>
      <c r="E55" s="6">
        <v>16</v>
      </c>
      <c r="F55" s="6">
        <v>40</v>
      </c>
      <c r="G55" s="6">
        <v>60</v>
      </c>
      <c r="H55" s="6">
        <v>150</v>
      </c>
      <c r="I55" s="6">
        <v>7</v>
      </c>
      <c r="J55" s="7">
        <v>2000</v>
      </c>
      <c r="K55" s="8">
        <v>95</v>
      </c>
      <c r="L55" s="9">
        <v>240</v>
      </c>
      <c r="M55" s="10">
        <v>1.29</v>
      </c>
      <c r="N55" s="10">
        <v>3.472</v>
      </c>
      <c r="O55" s="11">
        <v>2.3809999999999998</v>
      </c>
      <c r="P55" s="12">
        <v>309.47000000000003</v>
      </c>
      <c r="Q55" s="12">
        <v>329.86</v>
      </c>
      <c r="R55" s="13">
        <v>319.67</v>
      </c>
      <c r="S55" s="14" t="s">
        <v>50</v>
      </c>
      <c r="T55" s="12">
        <v>1350.03</v>
      </c>
      <c r="U55" s="15">
        <v>32.22</v>
      </c>
      <c r="V55" s="15">
        <v>3061</v>
      </c>
      <c r="W55" s="15">
        <v>7733</v>
      </c>
      <c r="X55" s="15">
        <v>10794</v>
      </c>
      <c r="Y55" s="6">
        <v>7</v>
      </c>
      <c r="Z55" s="15">
        <v>1350.03</v>
      </c>
      <c r="AA55" s="15">
        <v>32.221581180000001</v>
      </c>
      <c r="AB55" s="51">
        <v>-17.54</v>
      </c>
      <c r="AC55" s="15">
        <v>10794</v>
      </c>
    </row>
    <row r="56" spans="2:29" ht="15.75" thickBot="1" x14ac:dyDescent="0.3">
      <c r="B56" s="17" t="s">
        <v>22</v>
      </c>
      <c r="C56" s="6">
        <v>5</v>
      </c>
      <c r="D56" s="6">
        <v>13</v>
      </c>
      <c r="E56" s="6">
        <v>11</v>
      </c>
      <c r="F56" s="6">
        <v>11</v>
      </c>
      <c r="G56" s="6">
        <v>15</v>
      </c>
      <c r="H56" s="6">
        <v>60</v>
      </c>
      <c r="I56" s="6">
        <v>11</v>
      </c>
      <c r="J56" s="7">
        <v>700</v>
      </c>
      <c r="K56" s="8">
        <v>20.8</v>
      </c>
      <c r="L56" s="9">
        <v>80</v>
      </c>
      <c r="M56" s="10">
        <v>5.89</v>
      </c>
      <c r="N56" s="10">
        <v>10.417</v>
      </c>
      <c r="O56" s="11">
        <v>8.1530000000000005</v>
      </c>
      <c r="P56" s="12">
        <v>471.15</v>
      </c>
      <c r="Q56" s="12">
        <v>216.67</v>
      </c>
      <c r="R56" s="13">
        <v>343.91</v>
      </c>
      <c r="S56" s="14" t="s">
        <v>32</v>
      </c>
      <c r="T56" s="12">
        <v>402.97</v>
      </c>
      <c r="U56" s="15">
        <v>107.95</v>
      </c>
      <c r="V56" s="15">
        <v>2245</v>
      </c>
      <c r="W56" s="15">
        <v>8636</v>
      </c>
      <c r="X56" s="15">
        <v>10881</v>
      </c>
      <c r="Y56" s="6">
        <v>11</v>
      </c>
      <c r="Z56" s="15">
        <v>402.97</v>
      </c>
      <c r="AA56" s="15">
        <v>107.947265</v>
      </c>
      <c r="AB56" s="26">
        <v>-16.87</v>
      </c>
      <c r="AC56" s="15">
        <v>10881</v>
      </c>
    </row>
    <row r="57" spans="2:29" ht="15.75" thickBot="1" x14ac:dyDescent="0.3">
      <c r="B57" s="5" t="s">
        <v>22</v>
      </c>
      <c r="C57" s="6">
        <v>3</v>
      </c>
      <c r="D57" s="6">
        <v>8</v>
      </c>
      <c r="E57" s="6">
        <v>4</v>
      </c>
      <c r="F57" s="6">
        <v>2</v>
      </c>
      <c r="G57" s="6">
        <v>5</v>
      </c>
      <c r="H57" s="6">
        <v>20</v>
      </c>
      <c r="I57" s="6">
        <v>5</v>
      </c>
      <c r="J57" s="7">
        <v>165</v>
      </c>
      <c r="K57" s="8">
        <v>4.7300000000000004</v>
      </c>
      <c r="L57" s="9">
        <v>21.62</v>
      </c>
      <c r="M57" s="10">
        <v>25.93</v>
      </c>
      <c r="N57" s="10">
        <v>38.542000000000002</v>
      </c>
      <c r="O57" s="11">
        <v>32.234000000000002</v>
      </c>
      <c r="P57" s="12">
        <v>560.55999999999995</v>
      </c>
      <c r="Q57" s="12">
        <v>182.11</v>
      </c>
      <c r="R57" s="13">
        <v>371.33</v>
      </c>
      <c r="S57" s="14" t="s">
        <v>28</v>
      </c>
      <c r="T57" s="12">
        <v>105.3</v>
      </c>
      <c r="U57" s="15">
        <v>413.12</v>
      </c>
      <c r="V57" s="15">
        <v>1952</v>
      </c>
      <c r="W57" s="15">
        <v>8932</v>
      </c>
      <c r="X57" s="15">
        <v>10884</v>
      </c>
      <c r="Y57" s="6">
        <v>5</v>
      </c>
      <c r="Z57" s="15">
        <v>105.3</v>
      </c>
      <c r="AA57" s="15">
        <v>413.11794939999999</v>
      </c>
      <c r="AB57" s="22">
        <v>-16.850000000000001</v>
      </c>
      <c r="AC57" s="15">
        <v>10884</v>
      </c>
    </row>
    <row r="58" spans="2:29" ht="15.75" thickBot="1" x14ac:dyDescent="0.3">
      <c r="B58" s="17" t="s">
        <v>127</v>
      </c>
      <c r="C58" s="6">
        <v>5</v>
      </c>
      <c r="D58" s="6">
        <v>13</v>
      </c>
      <c r="E58" s="6">
        <v>10</v>
      </c>
      <c r="F58" s="6">
        <v>11</v>
      </c>
      <c r="G58" s="6">
        <v>13</v>
      </c>
      <c r="H58" s="6">
        <v>30</v>
      </c>
      <c r="I58" s="6">
        <v>6</v>
      </c>
      <c r="J58" s="7">
        <v>550</v>
      </c>
      <c r="K58" s="8">
        <v>19.2</v>
      </c>
      <c r="L58" s="9">
        <v>38.71</v>
      </c>
      <c r="M58" s="10">
        <v>6.38</v>
      </c>
      <c r="N58" s="10">
        <v>21.527999999999999</v>
      </c>
      <c r="O58" s="11">
        <v>13.954000000000001</v>
      </c>
      <c r="P58" s="12">
        <v>246.98</v>
      </c>
      <c r="Q58" s="12">
        <v>413.33</v>
      </c>
      <c r="R58" s="13">
        <v>330.15</v>
      </c>
      <c r="S58" s="14" t="s">
        <v>136</v>
      </c>
      <c r="T58" s="12">
        <v>231.25</v>
      </c>
      <c r="U58" s="15">
        <v>188.11</v>
      </c>
      <c r="V58" s="15">
        <v>3612</v>
      </c>
      <c r="W58" s="15">
        <v>7282</v>
      </c>
      <c r="X58" s="15">
        <v>10893</v>
      </c>
      <c r="Y58" s="6">
        <v>6</v>
      </c>
      <c r="Z58" s="15">
        <v>231.25</v>
      </c>
      <c r="AA58" s="15">
        <v>188.10864670000001</v>
      </c>
      <c r="AB58" s="22">
        <v>-16.78</v>
      </c>
      <c r="AC58" s="15">
        <v>10893</v>
      </c>
    </row>
    <row r="59" spans="2:29" ht="15.75" thickBot="1" x14ac:dyDescent="0.3">
      <c r="B59" s="5" t="s">
        <v>67</v>
      </c>
      <c r="C59" s="6">
        <v>2</v>
      </c>
      <c r="D59" s="6">
        <v>9</v>
      </c>
      <c r="E59" s="6">
        <v>9</v>
      </c>
      <c r="F59" s="6">
        <v>2</v>
      </c>
      <c r="G59" s="6">
        <v>8</v>
      </c>
      <c r="H59" s="6">
        <v>25</v>
      </c>
      <c r="I59" s="6">
        <v>8</v>
      </c>
      <c r="J59" s="7">
        <v>275</v>
      </c>
      <c r="K59" s="8">
        <v>7</v>
      </c>
      <c r="L59" s="9">
        <v>31.25</v>
      </c>
      <c r="M59" s="10">
        <v>17.5</v>
      </c>
      <c r="N59" s="10">
        <v>26.667000000000002</v>
      </c>
      <c r="O59" s="11">
        <v>22.082999999999998</v>
      </c>
      <c r="P59" s="12">
        <v>546.88</v>
      </c>
      <c r="Q59" s="12">
        <v>186.67</v>
      </c>
      <c r="R59" s="13">
        <v>366.77</v>
      </c>
      <c r="S59" s="14" t="s">
        <v>71</v>
      </c>
      <c r="T59" s="12">
        <v>152.51</v>
      </c>
      <c r="U59" s="15">
        <v>285.22000000000003</v>
      </c>
      <c r="V59" s="15">
        <v>1997</v>
      </c>
      <c r="W59" s="15">
        <v>8913</v>
      </c>
      <c r="X59" s="15">
        <v>10910</v>
      </c>
      <c r="Y59" s="6">
        <v>8</v>
      </c>
      <c r="Z59" s="15">
        <v>152.51</v>
      </c>
      <c r="AA59" s="15">
        <v>285.21882840000001</v>
      </c>
      <c r="AB59" s="69">
        <v>-16.66</v>
      </c>
      <c r="AC59" s="15">
        <v>10910</v>
      </c>
    </row>
    <row r="60" spans="2:29" ht="15.75" thickBot="1" x14ac:dyDescent="0.3">
      <c r="B60" s="17" t="s">
        <v>82</v>
      </c>
      <c r="C60" s="6">
        <v>3</v>
      </c>
      <c r="D60" s="6">
        <v>9</v>
      </c>
      <c r="E60" s="6">
        <v>7</v>
      </c>
      <c r="F60" s="6">
        <v>3</v>
      </c>
      <c r="G60" s="6">
        <v>5</v>
      </c>
      <c r="H60" s="6">
        <v>22</v>
      </c>
      <c r="I60" s="6">
        <v>5</v>
      </c>
      <c r="J60" s="7">
        <v>250</v>
      </c>
      <c r="K60" s="8">
        <v>5.6</v>
      </c>
      <c r="L60" s="9">
        <v>25.88</v>
      </c>
      <c r="M60" s="10">
        <v>21.88</v>
      </c>
      <c r="N60" s="10">
        <v>32.197000000000003</v>
      </c>
      <c r="O60" s="11">
        <v>27.036000000000001</v>
      </c>
      <c r="P60" s="12">
        <v>566.17999999999995</v>
      </c>
      <c r="Q60" s="12">
        <v>180.3</v>
      </c>
      <c r="R60" s="13">
        <v>373.24</v>
      </c>
      <c r="S60" s="14" t="s">
        <v>87</v>
      </c>
      <c r="T60" s="12">
        <v>125.13</v>
      </c>
      <c r="U60" s="15">
        <v>347.64</v>
      </c>
      <c r="V60" s="15">
        <v>1947</v>
      </c>
      <c r="W60" s="15">
        <v>8998</v>
      </c>
      <c r="X60" s="15">
        <v>10944</v>
      </c>
      <c r="Y60" s="6">
        <v>5</v>
      </c>
      <c r="Z60" s="15">
        <v>125.13</v>
      </c>
      <c r="AA60" s="15">
        <v>347.63835030000001</v>
      </c>
      <c r="AB60" s="81">
        <v>-16.39</v>
      </c>
      <c r="AC60" s="15">
        <v>10944</v>
      </c>
    </row>
    <row r="61" spans="2:29" ht="15.75" thickBot="1" x14ac:dyDescent="0.3">
      <c r="B61" s="5" t="s">
        <v>82</v>
      </c>
      <c r="C61" s="6">
        <v>3</v>
      </c>
      <c r="D61" s="6">
        <v>10</v>
      </c>
      <c r="E61" s="6">
        <v>8</v>
      </c>
      <c r="F61" s="6">
        <v>3</v>
      </c>
      <c r="G61" s="6">
        <v>5</v>
      </c>
      <c r="H61" s="6">
        <v>22</v>
      </c>
      <c r="I61" s="6">
        <v>7</v>
      </c>
      <c r="J61" s="7">
        <v>280</v>
      </c>
      <c r="K61" s="8">
        <v>5.8</v>
      </c>
      <c r="L61" s="9">
        <v>26.67</v>
      </c>
      <c r="M61" s="10">
        <v>21.12</v>
      </c>
      <c r="N61" s="10">
        <v>31.25</v>
      </c>
      <c r="O61" s="11">
        <v>26.184999999999999</v>
      </c>
      <c r="P61" s="12">
        <v>563.22</v>
      </c>
      <c r="Q61" s="12">
        <v>181.25</v>
      </c>
      <c r="R61" s="13">
        <v>372.23</v>
      </c>
      <c r="S61" s="14" t="s">
        <v>88</v>
      </c>
      <c r="T61" s="12">
        <v>128.99</v>
      </c>
      <c r="U61" s="15">
        <v>337.25</v>
      </c>
      <c r="V61" s="15">
        <v>1956</v>
      </c>
      <c r="W61" s="15">
        <v>8993</v>
      </c>
      <c r="X61" s="15">
        <v>10949</v>
      </c>
      <c r="Y61" s="6">
        <v>7</v>
      </c>
      <c r="Z61" s="15">
        <v>128.99</v>
      </c>
      <c r="AA61" s="15">
        <v>337.24541549999998</v>
      </c>
      <c r="AB61" s="81">
        <v>-16.350000000000001</v>
      </c>
      <c r="AC61" s="15">
        <v>10949</v>
      </c>
    </row>
    <row r="62" spans="2:29" ht="15.75" thickBot="1" x14ac:dyDescent="0.3">
      <c r="B62" s="17" t="s">
        <v>22</v>
      </c>
      <c r="C62" s="6">
        <v>1</v>
      </c>
      <c r="D62" s="6">
        <v>4</v>
      </c>
      <c r="E62" s="6">
        <v>2</v>
      </c>
      <c r="F62" s="6">
        <v>1</v>
      </c>
      <c r="G62" s="6">
        <v>2</v>
      </c>
      <c r="H62" s="6">
        <v>5</v>
      </c>
      <c r="I62" s="6">
        <v>5</v>
      </c>
      <c r="J62" s="7">
        <v>40</v>
      </c>
      <c r="K62" s="8">
        <v>1.73</v>
      </c>
      <c r="L62" s="9">
        <v>5.13</v>
      </c>
      <c r="M62" s="10">
        <v>71.010000000000005</v>
      </c>
      <c r="N62" s="10">
        <v>162.499</v>
      </c>
      <c r="O62" s="11">
        <v>116.75700000000001</v>
      </c>
      <c r="P62" s="12">
        <v>364.18</v>
      </c>
      <c r="Q62" s="12">
        <v>280.31</v>
      </c>
      <c r="R62" s="13">
        <v>322.24</v>
      </c>
      <c r="S62" s="14" t="s">
        <v>23</v>
      </c>
      <c r="T62" s="12">
        <v>27.13</v>
      </c>
      <c r="U62" s="15">
        <v>1603.17</v>
      </c>
      <c r="V62" s="15">
        <v>2765</v>
      </c>
      <c r="W62" s="15">
        <v>8221</v>
      </c>
      <c r="X62" s="15">
        <v>10987</v>
      </c>
      <c r="Y62" s="6">
        <v>5</v>
      </c>
      <c r="Z62" s="15">
        <v>27.13</v>
      </c>
      <c r="AA62" s="15">
        <v>1603.1715300000001</v>
      </c>
      <c r="AB62" s="18">
        <v>-16.07</v>
      </c>
      <c r="AC62" s="15">
        <v>10987</v>
      </c>
    </row>
    <row r="63" spans="2:29" ht="15.75" thickBot="1" x14ac:dyDescent="0.3">
      <c r="B63" s="17" t="s">
        <v>22</v>
      </c>
      <c r="C63" s="6">
        <v>1</v>
      </c>
      <c r="D63" s="6">
        <v>5</v>
      </c>
      <c r="E63" s="6">
        <v>3</v>
      </c>
      <c r="F63" s="6">
        <v>1</v>
      </c>
      <c r="G63" s="6">
        <v>2</v>
      </c>
      <c r="H63" s="6">
        <v>5</v>
      </c>
      <c r="I63" s="6">
        <v>7</v>
      </c>
      <c r="J63" s="7">
        <v>50</v>
      </c>
      <c r="K63" s="8">
        <v>1.8</v>
      </c>
      <c r="L63" s="9">
        <v>5.26</v>
      </c>
      <c r="M63" s="10">
        <v>68.06</v>
      </c>
      <c r="N63" s="10">
        <v>158.333</v>
      </c>
      <c r="O63" s="11">
        <v>113.194</v>
      </c>
      <c r="P63" s="12">
        <v>358.19</v>
      </c>
      <c r="Q63" s="12">
        <v>285</v>
      </c>
      <c r="R63" s="13">
        <v>321.58999999999997</v>
      </c>
      <c r="S63" s="14" t="s">
        <v>24</v>
      </c>
      <c r="T63" s="12">
        <v>27.93</v>
      </c>
      <c r="U63" s="15">
        <v>1557.48</v>
      </c>
      <c r="V63" s="15">
        <v>2803</v>
      </c>
      <c r="W63" s="15">
        <v>8197</v>
      </c>
      <c r="X63" s="15">
        <v>11001</v>
      </c>
      <c r="Y63" s="6">
        <v>7</v>
      </c>
      <c r="Z63" s="15">
        <v>27.93</v>
      </c>
      <c r="AA63" s="15">
        <v>1557.4828440000001</v>
      </c>
      <c r="AB63" s="18">
        <v>-15.96</v>
      </c>
      <c r="AC63" s="15">
        <v>11001</v>
      </c>
    </row>
    <row r="64" spans="2:29" ht="15.75" thickBot="1" x14ac:dyDescent="0.3">
      <c r="B64" s="17" t="s">
        <v>20</v>
      </c>
      <c r="C64" s="6">
        <v>1</v>
      </c>
      <c r="D64" s="6">
        <v>5</v>
      </c>
      <c r="E64" s="6">
        <v>3</v>
      </c>
      <c r="F64" s="6">
        <v>2</v>
      </c>
      <c r="G64" s="6">
        <v>3</v>
      </c>
      <c r="H64" s="6">
        <v>8</v>
      </c>
      <c r="I64" s="6">
        <v>6</v>
      </c>
      <c r="J64" s="7">
        <v>70</v>
      </c>
      <c r="K64" s="8">
        <v>3</v>
      </c>
      <c r="L64" s="9">
        <v>8.42</v>
      </c>
      <c r="M64" s="10">
        <v>40.83</v>
      </c>
      <c r="N64" s="10">
        <v>98.957999999999998</v>
      </c>
      <c r="O64" s="11">
        <v>69.896000000000001</v>
      </c>
      <c r="P64" s="12">
        <v>343.86</v>
      </c>
      <c r="Q64" s="12">
        <v>296.87</v>
      </c>
      <c r="R64" s="13">
        <v>320.37</v>
      </c>
      <c r="S64" s="14" t="s">
        <v>154</v>
      </c>
      <c r="T64" s="12">
        <v>45.14</v>
      </c>
      <c r="U64" s="15">
        <v>963.65</v>
      </c>
      <c r="V64" s="15">
        <v>2891</v>
      </c>
      <c r="W64" s="15">
        <v>8115</v>
      </c>
      <c r="X64" s="15">
        <v>11006</v>
      </c>
      <c r="Y64" s="6">
        <v>6</v>
      </c>
      <c r="Z64" s="15">
        <v>45.14</v>
      </c>
      <c r="AA64" s="15">
        <v>963.65327200000002</v>
      </c>
      <c r="AB64" s="18">
        <v>-15.92</v>
      </c>
      <c r="AC64" s="15">
        <v>11006</v>
      </c>
    </row>
    <row r="65" spans="2:29" ht="15.75" thickBot="1" x14ac:dyDescent="0.3">
      <c r="B65" s="17" t="s">
        <v>52</v>
      </c>
      <c r="C65" s="6">
        <v>7</v>
      </c>
      <c r="D65" s="6">
        <v>20</v>
      </c>
      <c r="E65" s="6">
        <v>20</v>
      </c>
      <c r="F65" s="6">
        <v>50</v>
      </c>
      <c r="G65" s="6">
        <v>50</v>
      </c>
      <c r="H65" s="6">
        <v>200</v>
      </c>
      <c r="I65" s="6">
        <v>12</v>
      </c>
      <c r="J65" s="7">
        <v>3000</v>
      </c>
      <c r="K65" s="8">
        <v>97.5</v>
      </c>
      <c r="L65" s="9">
        <v>380.95</v>
      </c>
      <c r="M65" s="10">
        <v>1.26</v>
      </c>
      <c r="N65" s="10">
        <v>2.1869999999999998</v>
      </c>
      <c r="O65" s="11">
        <v>1.722</v>
      </c>
      <c r="P65" s="12">
        <v>478.63</v>
      </c>
      <c r="Q65" s="12">
        <v>213.28</v>
      </c>
      <c r="R65" s="13">
        <v>345.96</v>
      </c>
      <c r="S65" s="14" t="s">
        <v>65</v>
      </c>
      <c r="T65" s="12">
        <v>1889.84</v>
      </c>
      <c r="U65" s="15">
        <v>23.02</v>
      </c>
      <c r="V65" s="15">
        <v>2244</v>
      </c>
      <c r="W65" s="15">
        <v>8769</v>
      </c>
      <c r="X65" s="15">
        <v>11013</v>
      </c>
      <c r="Y65" s="6">
        <v>12</v>
      </c>
      <c r="Z65" s="15">
        <v>1889.84</v>
      </c>
      <c r="AA65" s="15">
        <v>23.017788599999999</v>
      </c>
      <c r="AB65" s="64">
        <v>-15.87</v>
      </c>
      <c r="AC65" s="15">
        <v>11013</v>
      </c>
    </row>
    <row r="66" spans="2:29" ht="15.75" thickBot="1" x14ac:dyDescent="0.3">
      <c r="B66" s="17" t="s">
        <v>127</v>
      </c>
      <c r="C66" s="6">
        <v>7</v>
      </c>
      <c r="D66" s="6">
        <v>17</v>
      </c>
      <c r="E66" s="6">
        <v>15</v>
      </c>
      <c r="F66" s="6">
        <v>25</v>
      </c>
      <c r="G66" s="6">
        <v>50</v>
      </c>
      <c r="H66" s="6">
        <v>150</v>
      </c>
      <c r="I66" s="6">
        <v>9</v>
      </c>
      <c r="J66" s="7">
        <v>1800</v>
      </c>
      <c r="K66" s="8">
        <v>67.5</v>
      </c>
      <c r="L66" s="9">
        <v>230.77</v>
      </c>
      <c r="M66" s="10">
        <v>1.81</v>
      </c>
      <c r="N66" s="10">
        <v>3.6110000000000002</v>
      </c>
      <c r="O66" s="11">
        <v>2.7130000000000001</v>
      </c>
      <c r="P66" s="12">
        <v>418.8</v>
      </c>
      <c r="Q66" s="12">
        <v>243.75</v>
      </c>
      <c r="R66" s="13">
        <v>331.28</v>
      </c>
      <c r="S66" s="14" t="s">
        <v>140</v>
      </c>
      <c r="T66" s="12">
        <v>1175.57</v>
      </c>
      <c r="U66" s="15">
        <v>37</v>
      </c>
      <c r="V66" s="15">
        <v>2498</v>
      </c>
      <c r="W66" s="15">
        <v>8539</v>
      </c>
      <c r="X66" s="15">
        <v>11037</v>
      </c>
      <c r="Y66" s="6">
        <v>9</v>
      </c>
      <c r="Z66" s="15">
        <v>1175.57</v>
      </c>
      <c r="AA66" s="15">
        <v>37.003289549999998</v>
      </c>
      <c r="AB66" s="107">
        <v>-15.68</v>
      </c>
      <c r="AC66" s="15">
        <v>11037</v>
      </c>
    </row>
    <row r="67" spans="2:29" ht="15.75" thickBot="1" x14ac:dyDescent="0.3">
      <c r="B67" s="17" t="s">
        <v>20</v>
      </c>
      <c r="C67" s="6">
        <v>7</v>
      </c>
      <c r="D67" s="6">
        <v>18</v>
      </c>
      <c r="E67" s="6">
        <v>18</v>
      </c>
      <c r="F67" s="6">
        <v>40</v>
      </c>
      <c r="G67" s="6">
        <v>50</v>
      </c>
      <c r="H67" s="6">
        <v>180</v>
      </c>
      <c r="I67" s="6">
        <v>10</v>
      </c>
      <c r="J67" s="7">
        <v>2400</v>
      </c>
      <c r="K67" s="8">
        <v>83.25</v>
      </c>
      <c r="L67" s="9">
        <v>313.04000000000002</v>
      </c>
      <c r="M67" s="10">
        <v>1.47</v>
      </c>
      <c r="N67" s="10">
        <v>2.6619999999999999</v>
      </c>
      <c r="O67" s="11">
        <v>2.0670000000000002</v>
      </c>
      <c r="P67" s="12">
        <v>460.63</v>
      </c>
      <c r="Q67" s="12">
        <v>221.61</v>
      </c>
      <c r="R67" s="13">
        <v>341.12</v>
      </c>
      <c r="S67" s="14" t="s">
        <v>166</v>
      </c>
      <c r="T67" s="12">
        <v>1553.77</v>
      </c>
      <c r="U67" s="15">
        <v>28</v>
      </c>
      <c r="V67" s="15">
        <v>2331</v>
      </c>
      <c r="W67" s="15">
        <v>8764</v>
      </c>
      <c r="X67" s="15">
        <v>11095</v>
      </c>
      <c r="Y67" s="6">
        <v>10</v>
      </c>
      <c r="Z67" s="15">
        <v>1553.77</v>
      </c>
      <c r="AA67" s="15">
        <v>27.996403579999999</v>
      </c>
      <c r="AB67" s="124">
        <v>-15.24</v>
      </c>
      <c r="AC67" s="15">
        <v>11095</v>
      </c>
    </row>
    <row r="68" spans="2:29" ht="15.75" thickBot="1" x14ac:dyDescent="0.3">
      <c r="B68" s="5" t="s">
        <v>82</v>
      </c>
      <c r="C68" s="6">
        <v>6</v>
      </c>
      <c r="D68" s="6">
        <v>16</v>
      </c>
      <c r="E68" s="6">
        <v>14</v>
      </c>
      <c r="F68" s="6">
        <v>14</v>
      </c>
      <c r="G68" s="6">
        <v>20</v>
      </c>
      <c r="H68" s="6">
        <v>80</v>
      </c>
      <c r="I68" s="6">
        <v>11</v>
      </c>
      <c r="J68" s="7">
        <v>1050</v>
      </c>
      <c r="K68" s="8">
        <v>29.75</v>
      </c>
      <c r="L68" s="9">
        <v>118.52</v>
      </c>
      <c r="M68" s="10">
        <v>4.12</v>
      </c>
      <c r="N68" s="10">
        <v>7.0309999999999997</v>
      </c>
      <c r="O68" s="11">
        <v>5.5739999999999998</v>
      </c>
      <c r="P68" s="12">
        <v>488.02</v>
      </c>
      <c r="Q68" s="12">
        <v>209.18</v>
      </c>
      <c r="R68" s="13">
        <v>348.6</v>
      </c>
      <c r="S68" s="14" t="s">
        <v>94</v>
      </c>
      <c r="T68" s="12">
        <v>580.23</v>
      </c>
      <c r="U68" s="15">
        <v>74.97</v>
      </c>
      <c r="V68" s="15">
        <v>2230</v>
      </c>
      <c r="W68" s="15">
        <v>8885</v>
      </c>
      <c r="X68" s="15">
        <v>11116</v>
      </c>
      <c r="Y68" s="6">
        <v>11</v>
      </c>
      <c r="Z68" s="15">
        <v>580.23</v>
      </c>
      <c r="AA68" s="15">
        <v>74.970581879999997</v>
      </c>
      <c r="AB68" s="83">
        <v>-15.08</v>
      </c>
      <c r="AC68" s="15">
        <v>11116</v>
      </c>
    </row>
    <row r="69" spans="2:29" ht="15.75" thickBot="1" x14ac:dyDescent="0.3">
      <c r="B69" s="5" t="s">
        <v>20</v>
      </c>
      <c r="C69" s="6">
        <v>1</v>
      </c>
      <c r="D69" s="6">
        <v>6</v>
      </c>
      <c r="E69" s="6">
        <v>3</v>
      </c>
      <c r="F69" s="6">
        <v>2</v>
      </c>
      <c r="G69" s="6">
        <v>3</v>
      </c>
      <c r="H69" s="6">
        <v>10</v>
      </c>
      <c r="I69" s="6">
        <v>8</v>
      </c>
      <c r="J69" s="7">
        <v>90</v>
      </c>
      <c r="K69" s="8">
        <v>3.13</v>
      </c>
      <c r="L69" s="9">
        <v>10.53</v>
      </c>
      <c r="M69" s="10">
        <v>39.200000000000003</v>
      </c>
      <c r="N69" s="10">
        <v>79.165999999999997</v>
      </c>
      <c r="O69" s="11">
        <v>59.183</v>
      </c>
      <c r="P69" s="12">
        <v>412.63</v>
      </c>
      <c r="Q69" s="12">
        <v>247.39</v>
      </c>
      <c r="R69" s="13">
        <v>330.01</v>
      </c>
      <c r="S69" s="14" t="s">
        <v>155</v>
      </c>
      <c r="T69" s="12">
        <v>53.39</v>
      </c>
      <c r="U69" s="15">
        <v>814.73</v>
      </c>
      <c r="V69" s="15">
        <v>2546</v>
      </c>
      <c r="W69" s="15">
        <v>8576</v>
      </c>
      <c r="X69" s="15">
        <v>11122</v>
      </c>
      <c r="Y69" s="6">
        <v>8</v>
      </c>
      <c r="Z69" s="15">
        <v>53.39</v>
      </c>
      <c r="AA69" s="15">
        <v>814.73335380000003</v>
      </c>
      <c r="AB69" s="83">
        <v>-15.03</v>
      </c>
      <c r="AC69" s="15">
        <v>11122</v>
      </c>
    </row>
    <row r="70" spans="2:29" ht="15.75" thickBot="1" x14ac:dyDescent="0.3">
      <c r="B70" s="5" t="s">
        <v>52</v>
      </c>
      <c r="C70" s="6">
        <v>6</v>
      </c>
      <c r="D70" s="6">
        <v>16</v>
      </c>
      <c r="E70" s="6">
        <v>16</v>
      </c>
      <c r="F70" s="6">
        <v>20</v>
      </c>
      <c r="G70" s="6">
        <v>25</v>
      </c>
      <c r="H70" s="6">
        <v>100</v>
      </c>
      <c r="I70" s="6">
        <v>9</v>
      </c>
      <c r="J70" s="7">
        <v>1200</v>
      </c>
      <c r="K70" s="8">
        <v>39.380000000000003</v>
      </c>
      <c r="L70" s="9">
        <v>160</v>
      </c>
      <c r="M70" s="10">
        <v>3.11</v>
      </c>
      <c r="N70" s="10">
        <v>5.2080000000000002</v>
      </c>
      <c r="O70" s="11">
        <v>4.16</v>
      </c>
      <c r="P70" s="12">
        <v>497.78</v>
      </c>
      <c r="Q70" s="12">
        <v>205.08</v>
      </c>
      <c r="R70" s="13">
        <v>351.43</v>
      </c>
      <c r="S70" s="14" t="s">
        <v>64</v>
      </c>
      <c r="T70" s="12">
        <v>776.91</v>
      </c>
      <c r="U70" s="15">
        <v>55.99</v>
      </c>
      <c r="V70" s="15">
        <v>2205</v>
      </c>
      <c r="W70" s="15">
        <v>8959</v>
      </c>
      <c r="X70" s="15">
        <v>11163</v>
      </c>
      <c r="Y70" s="6">
        <v>9</v>
      </c>
      <c r="Z70" s="15">
        <v>776.91</v>
      </c>
      <c r="AA70" s="15">
        <v>55.990760760000001</v>
      </c>
      <c r="AB70" s="63">
        <v>-14.72</v>
      </c>
      <c r="AC70" s="15">
        <v>11163</v>
      </c>
    </row>
    <row r="71" spans="2:29" ht="15.75" thickBot="1" x14ac:dyDescent="0.3">
      <c r="B71" s="5" t="s">
        <v>127</v>
      </c>
      <c r="C71" s="6">
        <v>7</v>
      </c>
      <c r="D71" s="6">
        <v>19</v>
      </c>
      <c r="E71" s="6">
        <v>17</v>
      </c>
      <c r="F71" s="6">
        <v>25</v>
      </c>
      <c r="G71" s="6">
        <v>50</v>
      </c>
      <c r="H71" s="6">
        <v>200</v>
      </c>
      <c r="I71" s="6">
        <v>14</v>
      </c>
      <c r="J71" s="7">
        <v>3000</v>
      </c>
      <c r="K71" s="8">
        <v>71.25</v>
      </c>
      <c r="L71" s="9">
        <v>333.33</v>
      </c>
      <c r="M71" s="10">
        <v>1.72</v>
      </c>
      <c r="N71" s="10">
        <v>2.5</v>
      </c>
      <c r="O71" s="11">
        <v>2.11</v>
      </c>
      <c r="P71" s="12">
        <v>573.1</v>
      </c>
      <c r="Q71" s="12">
        <v>178.12</v>
      </c>
      <c r="R71" s="13">
        <v>375.61</v>
      </c>
      <c r="S71" s="14" t="s">
        <v>141</v>
      </c>
      <c r="T71" s="12">
        <v>1574.1</v>
      </c>
      <c r="U71" s="15">
        <v>27.63</v>
      </c>
      <c r="V71" s="15">
        <v>1969</v>
      </c>
      <c r="W71" s="15">
        <v>9212</v>
      </c>
      <c r="X71" s="15">
        <v>11181</v>
      </c>
      <c r="Y71" s="6">
        <v>14</v>
      </c>
      <c r="Z71" s="15">
        <v>1574.1</v>
      </c>
      <c r="AA71" s="15">
        <v>27.634834189999999</v>
      </c>
      <c r="AB71" s="108">
        <v>-14.59</v>
      </c>
      <c r="AC71" s="15">
        <v>11181</v>
      </c>
    </row>
    <row r="72" spans="2:29" ht="15.75" thickBot="1" x14ac:dyDescent="0.3">
      <c r="B72" s="5" t="s">
        <v>52</v>
      </c>
      <c r="C72" s="6">
        <v>1</v>
      </c>
      <c r="D72" s="6">
        <v>6</v>
      </c>
      <c r="E72" s="6">
        <v>5</v>
      </c>
      <c r="F72" s="6">
        <v>2</v>
      </c>
      <c r="G72" s="6">
        <v>3</v>
      </c>
      <c r="H72" s="6">
        <v>10</v>
      </c>
      <c r="I72" s="6">
        <v>5</v>
      </c>
      <c r="J72" s="7">
        <v>75</v>
      </c>
      <c r="K72" s="8">
        <v>3.13</v>
      </c>
      <c r="L72" s="9">
        <v>11.11</v>
      </c>
      <c r="M72" s="10">
        <v>39.200000000000003</v>
      </c>
      <c r="N72" s="10">
        <v>75</v>
      </c>
      <c r="O72" s="11">
        <v>57.1</v>
      </c>
      <c r="P72" s="12">
        <v>435.56</v>
      </c>
      <c r="Q72" s="12">
        <v>234.37</v>
      </c>
      <c r="R72" s="13">
        <v>334.96</v>
      </c>
      <c r="S72" s="14" t="s">
        <v>54</v>
      </c>
      <c r="T72" s="12">
        <v>54.87</v>
      </c>
      <c r="U72" s="15">
        <v>792.75</v>
      </c>
      <c r="V72" s="15">
        <v>2477</v>
      </c>
      <c r="W72" s="15">
        <v>8808</v>
      </c>
      <c r="X72" s="15">
        <v>11286</v>
      </c>
      <c r="Y72" s="6">
        <v>5</v>
      </c>
      <c r="Z72" s="15">
        <v>54.87</v>
      </c>
      <c r="AA72" s="15">
        <v>792.75142040000003</v>
      </c>
      <c r="AB72" s="56">
        <v>-13.78</v>
      </c>
      <c r="AC72" s="15">
        <v>11286</v>
      </c>
    </row>
    <row r="73" spans="2:29" ht="15.75" thickBot="1" x14ac:dyDescent="0.3">
      <c r="B73" s="17" t="s">
        <v>97</v>
      </c>
      <c r="C73" s="6">
        <v>2</v>
      </c>
      <c r="D73" s="6">
        <v>5</v>
      </c>
      <c r="E73" s="6">
        <v>6</v>
      </c>
      <c r="F73" s="6">
        <v>2</v>
      </c>
      <c r="G73" s="6">
        <v>3</v>
      </c>
      <c r="H73" s="6">
        <v>14</v>
      </c>
      <c r="I73" s="6">
        <v>4</v>
      </c>
      <c r="J73" s="7">
        <v>110</v>
      </c>
      <c r="K73" s="8">
        <v>3</v>
      </c>
      <c r="L73" s="9">
        <v>16</v>
      </c>
      <c r="M73" s="10">
        <v>40.83</v>
      </c>
      <c r="N73" s="10">
        <v>52.082999999999998</v>
      </c>
      <c r="O73" s="11">
        <v>46.457999999999998</v>
      </c>
      <c r="P73" s="12">
        <v>653.33000000000004</v>
      </c>
      <c r="Q73" s="12">
        <v>156.25</v>
      </c>
      <c r="R73" s="13">
        <v>404.79</v>
      </c>
      <c r="S73" s="14" t="s">
        <v>100</v>
      </c>
      <c r="T73" s="12">
        <v>73.34</v>
      </c>
      <c r="U73" s="15">
        <v>593.16</v>
      </c>
      <c r="V73" s="15">
        <v>1779</v>
      </c>
      <c r="W73" s="15">
        <v>9491</v>
      </c>
      <c r="X73" s="15">
        <v>11270</v>
      </c>
      <c r="Y73" s="6">
        <v>4</v>
      </c>
      <c r="Z73" s="15">
        <v>73</v>
      </c>
      <c r="AA73" s="15">
        <v>595.89041099999997</v>
      </c>
      <c r="AB73" s="79">
        <v>-13.51</v>
      </c>
      <c r="AC73" s="15">
        <v>11322</v>
      </c>
    </row>
    <row r="74" spans="2:29" ht="15.75" thickBot="1" x14ac:dyDescent="0.3">
      <c r="B74" s="5" t="s">
        <v>67</v>
      </c>
      <c r="C74" s="6">
        <v>7</v>
      </c>
      <c r="D74" s="6">
        <v>21</v>
      </c>
      <c r="E74" s="6">
        <v>18</v>
      </c>
      <c r="F74" s="6">
        <v>30</v>
      </c>
      <c r="G74" s="6">
        <v>40</v>
      </c>
      <c r="H74" s="6">
        <v>200</v>
      </c>
      <c r="I74" s="6">
        <v>21</v>
      </c>
      <c r="J74" s="7">
        <v>2000</v>
      </c>
      <c r="K74" s="8">
        <v>70</v>
      </c>
      <c r="L74" s="9">
        <v>347.83</v>
      </c>
      <c r="M74" s="10">
        <v>1.75</v>
      </c>
      <c r="N74" s="10">
        <v>2.3959999999999999</v>
      </c>
      <c r="O74" s="11">
        <v>2.073</v>
      </c>
      <c r="P74" s="12">
        <v>608.70000000000005</v>
      </c>
      <c r="Q74" s="12">
        <v>167.71</v>
      </c>
      <c r="R74" s="13">
        <v>388.2</v>
      </c>
      <c r="S74" s="14" t="s">
        <v>81</v>
      </c>
      <c r="T74" s="12">
        <v>1602.55</v>
      </c>
      <c r="U74" s="15">
        <v>27.14</v>
      </c>
      <c r="V74" s="15">
        <v>1900</v>
      </c>
      <c r="W74" s="15">
        <v>9441</v>
      </c>
      <c r="X74" s="15">
        <v>11342</v>
      </c>
      <c r="Y74" s="6">
        <v>21</v>
      </c>
      <c r="Z74" s="15">
        <v>1602.55</v>
      </c>
      <c r="AA74" s="15">
        <v>27.144167079999999</v>
      </c>
      <c r="AB74" s="79">
        <v>-13.36</v>
      </c>
      <c r="AC74" s="15">
        <v>11342</v>
      </c>
    </row>
    <row r="75" spans="2:29" ht="15.75" thickBot="1" x14ac:dyDescent="0.3">
      <c r="B75" s="17" t="s">
        <v>82</v>
      </c>
      <c r="C75" s="6">
        <v>7</v>
      </c>
      <c r="D75" s="6">
        <v>19</v>
      </c>
      <c r="E75" s="6">
        <v>19</v>
      </c>
      <c r="F75" s="6">
        <v>40</v>
      </c>
      <c r="G75" s="6">
        <v>50</v>
      </c>
      <c r="H75" s="6">
        <v>180</v>
      </c>
      <c r="I75" s="6">
        <v>11</v>
      </c>
      <c r="J75" s="7">
        <v>2500</v>
      </c>
      <c r="K75" s="8">
        <v>85.5</v>
      </c>
      <c r="L75" s="9">
        <v>327.27</v>
      </c>
      <c r="M75" s="10">
        <v>1.43</v>
      </c>
      <c r="N75" s="10">
        <v>2.5459999999999998</v>
      </c>
      <c r="O75" s="11">
        <v>1.99</v>
      </c>
      <c r="P75" s="12">
        <v>468.9</v>
      </c>
      <c r="Q75" s="12">
        <v>217.71</v>
      </c>
      <c r="R75" s="13">
        <v>343.3</v>
      </c>
      <c r="S75" s="14" t="s">
        <v>95</v>
      </c>
      <c r="T75" s="12">
        <v>1582.38</v>
      </c>
      <c r="U75" s="15">
        <v>27.49</v>
      </c>
      <c r="V75" s="15">
        <v>2350</v>
      </c>
      <c r="W75" s="15">
        <v>8997</v>
      </c>
      <c r="X75" s="15">
        <v>11347</v>
      </c>
      <c r="Y75" s="6">
        <v>11</v>
      </c>
      <c r="Z75" s="15">
        <v>1582.38</v>
      </c>
      <c r="AA75" s="15">
        <v>27.49031776</v>
      </c>
      <c r="AB75" s="84">
        <v>-13.31</v>
      </c>
      <c r="AC75" s="15">
        <v>11347</v>
      </c>
    </row>
    <row r="76" spans="2:29" ht="15.75" thickBot="1" x14ac:dyDescent="0.3">
      <c r="B76" s="17" t="s">
        <v>112</v>
      </c>
      <c r="C76" s="6">
        <v>4</v>
      </c>
      <c r="D76" s="6">
        <v>10</v>
      </c>
      <c r="E76" s="6">
        <v>10</v>
      </c>
      <c r="F76" s="6">
        <v>7</v>
      </c>
      <c r="G76" s="6">
        <v>9</v>
      </c>
      <c r="H76" s="6">
        <v>35</v>
      </c>
      <c r="I76" s="6">
        <v>5</v>
      </c>
      <c r="J76" s="7">
        <v>250</v>
      </c>
      <c r="K76" s="8">
        <v>11.6</v>
      </c>
      <c r="L76" s="9">
        <v>45.16</v>
      </c>
      <c r="M76" s="10">
        <v>10.56</v>
      </c>
      <c r="N76" s="10">
        <v>18.452000000000002</v>
      </c>
      <c r="O76" s="11">
        <v>14.506</v>
      </c>
      <c r="P76" s="12">
        <v>476.92</v>
      </c>
      <c r="Q76" s="12">
        <v>214.05</v>
      </c>
      <c r="R76" s="13">
        <v>345.48</v>
      </c>
      <c r="S76" s="14" t="s">
        <v>119</v>
      </c>
      <c r="T76" s="12">
        <v>217.6</v>
      </c>
      <c r="U76" s="15">
        <v>199.91</v>
      </c>
      <c r="V76" s="15">
        <v>2319</v>
      </c>
      <c r="W76" s="15">
        <v>9028</v>
      </c>
      <c r="X76" s="15">
        <v>11347</v>
      </c>
      <c r="Y76" s="6">
        <v>5</v>
      </c>
      <c r="Z76" s="15">
        <v>217.6</v>
      </c>
      <c r="AA76" s="15">
        <v>199.9096754</v>
      </c>
      <c r="AB76" s="84">
        <v>-13.31</v>
      </c>
      <c r="AC76" s="15">
        <v>11347</v>
      </c>
    </row>
    <row r="77" spans="2:29" ht="15.75" thickBot="1" x14ac:dyDescent="0.3">
      <c r="B77" s="5" t="s">
        <v>67</v>
      </c>
      <c r="C77" s="6">
        <v>4</v>
      </c>
      <c r="D77" s="6">
        <v>12</v>
      </c>
      <c r="E77" s="6">
        <v>8</v>
      </c>
      <c r="F77" s="6">
        <v>4</v>
      </c>
      <c r="G77" s="6">
        <v>6</v>
      </c>
      <c r="H77" s="6">
        <v>35</v>
      </c>
      <c r="I77" s="6">
        <v>8</v>
      </c>
      <c r="J77" s="7">
        <v>400</v>
      </c>
      <c r="K77" s="8">
        <v>7.75</v>
      </c>
      <c r="L77" s="9">
        <v>42.42</v>
      </c>
      <c r="M77" s="10">
        <v>15.81</v>
      </c>
      <c r="N77" s="10">
        <v>19.643000000000001</v>
      </c>
      <c r="O77" s="11">
        <v>17.725000000000001</v>
      </c>
      <c r="P77" s="12">
        <v>670.58</v>
      </c>
      <c r="Q77" s="12">
        <v>152.22999999999999</v>
      </c>
      <c r="R77" s="13">
        <v>411.4</v>
      </c>
      <c r="S77" s="14" t="s">
        <v>75</v>
      </c>
      <c r="T77" s="12">
        <v>191.93</v>
      </c>
      <c r="U77" s="15">
        <v>226.64</v>
      </c>
      <c r="V77" s="15">
        <v>1756</v>
      </c>
      <c r="W77" s="15">
        <v>9615</v>
      </c>
      <c r="X77" s="15">
        <v>11372</v>
      </c>
      <c r="Y77" s="6">
        <v>8</v>
      </c>
      <c r="Z77" s="15">
        <v>191.93</v>
      </c>
      <c r="AA77" s="15">
        <v>226.64362170000001</v>
      </c>
      <c r="AB77" s="73">
        <v>-13.13</v>
      </c>
      <c r="AC77" s="15">
        <v>11372</v>
      </c>
    </row>
    <row r="78" spans="2:29" ht="15.75" thickBot="1" x14ac:dyDescent="0.3">
      <c r="B78" s="17" t="s">
        <v>20</v>
      </c>
      <c r="C78" s="6">
        <v>6</v>
      </c>
      <c r="D78" s="6">
        <v>15</v>
      </c>
      <c r="E78" s="6">
        <v>14</v>
      </c>
      <c r="F78" s="6">
        <v>18</v>
      </c>
      <c r="G78" s="6">
        <v>22</v>
      </c>
      <c r="H78" s="6">
        <v>90</v>
      </c>
      <c r="I78" s="6">
        <v>7</v>
      </c>
      <c r="J78" s="7">
        <v>850</v>
      </c>
      <c r="K78" s="8">
        <v>34</v>
      </c>
      <c r="L78" s="9">
        <v>133.33000000000001</v>
      </c>
      <c r="M78" s="10">
        <v>3.6</v>
      </c>
      <c r="N78" s="10">
        <v>6.25</v>
      </c>
      <c r="O78" s="11">
        <v>4.9260000000000002</v>
      </c>
      <c r="P78" s="12">
        <v>480.39</v>
      </c>
      <c r="Q78" s="12">
        <v>212.5</v>
      </c>
      <c r="R78" s="13">
        <v>346.45</v>
      </c>
      <c r="S78" s="14" t="s">
        <v>164</v>
      </c>
      <c r="T78" s="12">
        <v>639.84</v>
      </c>
      <c r="U78" s="15">
        <v>67.989999999999995</v>
      </c>
      <c r="V78" s="15">
        <v>2312</v>
      </c>
      <c r="W78" s="15">
        <v>9065</v>
      </c>
      <c r="X78" s="15">
        <v>11376</v>
      </c>
      <c r="Y78" s="6">
        <v>7</v>
      </c>
      <c r="Z78" s="15">
        <v>639.84</v>
      </c>
      <c r="AA78" s="15">
        <v>67.985567279999998</v>
      </c>
      <c r="AB78" s="73">
        <v>-13.09</v>
      </c>
      <c r="AC78" s="15">
        <v>11376</v>
      </c>
    </row>
    <row r="79" spans="2:29" ht="15.75" thickBot="1" x14ac:dyDescent="0.3">
      <c r="B79" s="17" t="s">
        <v>142</v>
      </c>
      <c r="C79" s="109"/>
      <c r="D79" s="6">
        <v>17</v>
      </c>
      <c r="E79" s="6">
        <v>12</v>
      </c>
      <c r="F79" s="6">
        <v>14</v>
      </c>
      <c r="G79" s="6">
        <v>14</v>
      </c>
      <c r="H79" s="6">
        <v>30</v>
      </c>
      <c r="I79" s="6">
        <v>9</v>
      </c>
      <c r="J79" s="7">
        <v>750</v>
      </c>
      <c r="K79" s="8">
        <v>25.2</v>
      </c>
      <c r="L79" s="9">
        <v>41.38</v>
      </c>
      <c r="M79" s="10">
        <v>4.8600000000000003</v>
      </c>
      <c r="N79" s="10">
        <v>20.138999999999999</v>
      </c>
      <c r="O79" s="11">
        <v>12.5</v>
      </c>
      <c r="P79" s="12">
        <v>201.15</v>
      </c>
      <c r="Q79" s="12">
        <v>507.5</v>
      </c>
      <c r="R79" s="13">
        <v>354.32</v>
      </c>
      <c r="S79" s="14" t="s">
        <v>152</v>
      </c>
      <c r="T79" s="12">
        <v>254.25</v>
      </c>
      <c r="U79" s="15">
        <v>171.09</v>
      </c>
      <c r="V79" s="15">
        <v>4312</v>
      </c>
      <c r="W79" s="15">
        <v>7080</v>
      </c>
      <c r="X79" s="15">
        <v>11391</v>
      </c>
      <c r="Y79" s="6">
        <v>9</v>
      </c>
      <c r="Z79" s="15">
        <v>254.25</v>
      </c>
      <c r="AA79" s="15">
        <v>171.09259800000001</v>
      </c>
      <c r="AB79" s="73">
        <v>-12.98</v>
      </c>
      <c r="AC79" s="15">
        <v>11391</v>
      </c>
    </row>
    <row r="80" spans="2:29" ht="15.75" thickBot="1" x14ac:dyDescent="0.3">
      <c r="B80" s="17" t="s">
        <v>67</v>
      </c>
      <c r="C80" s="6">
        <v>7</v>
      </c>
      <c r="D80" s="6">
        <v>18</v>
      </c>
      <c r="E80" s="6">
        <v>18</v>
      </c>
      <c r="F80" s="6">
        <v>30</v>
      </c>
      <c r="G80" s="6">
        <v>40</v>
      </c>
      <c r="H80" s="6">
        <v>150</v>
      </c>
      <c r="I80" s="6">
        <v>15</v>
      </c>
      <c r="J80" s="7">
        <v>1500</v>
      </c>
      <c r="K80" s="8">
        <v>64.75</v>
      </c>
      <c r="L80" s="9">
        <v>260.87</v>
      </c>
      <c r="M80" s="10">
        <v>1.89</v>
      </c>
      <c r="N80" s="10">
        <v>3.194</v>
      </c>
      <c r="O80" s="11">
        <v>2.5430000000000001</v>
      </c>
      <c r="P80" s="12">
        <v>493.54</v>
      </c>
      <c r="Q80" s="12">
        <v>206.84</v>
      </c>
      <c r="R80" s="13">
        <v>350.19</v>
      </c>
      <c r="S80" s="14" t="s">
        <v>80</v>
      </c>
      <c r="T80" s="12">
        <v>1242.04</v>
      </c>
      <c r="U80" s="15">
        <v>35.020000000000003</v>
      </c>
      <c r="V80" s="15">
        <v>2268</v>
      </c>
      <c r="W80" s="15">
        <v>9136</v>
      </c>
      <c r="X80" s="15">
        <v>11404</v>
      </c>
      <c r="Y80" s="6">
        <v>15</v>
      </c>
      <c r="Z80" s="15">
        <v>1242.04</v>
      </c>
      <c r="AA80" s="15">
        <v>35.02296587</v>
      </c>
      <c r="AB80" s="78">
        <v>-12.88</v>
      </c>
      <c r="AC80" s="15">
        <v>11404</v>
      </c>
    </row>
    <row r="81" spans="2:29" ht="15.75" thickBot="1" x14ac:dyDescent="0.3">
      <c r="B81" s="17" t="s">
        <v>112</v>
      </c>
      <c r="C81" s="6">
        <v>6</v>
      </c>
      <c r="D81" s="6">
        <v>16</v>
      </c>
      <c r="E81" s="6">
        <v>12</v>
      </c>
      <c r="F81" s="6">
        <v>16</v>
      </c>
      <c r="G81" s="6">
        <v>24</v>
      </c>
      <c r="H81" s="6">
        <v>90</v>
      </c>
      <c r="I81" s="6">
        <v>9</v>
      </c>
      <c r="J81" s="7">
        <v>900</v>
      </c>
      <c r="K81" s="8">
        <v>35</v>
      </c>
      <c r="L81" s="9">
        <v>124.14</v>
      </c>
      <c r="M81" s="10">
        <v>3.5</v>
      </c>
      <c r="N81" s="10">
        <v>6.7130000000000001</v>
      </c>
      <c r="O81" s="11">
        <v>5.1059999999999999</v>
      </c>
      <c r="P81" s="12">
        <v>434.48</v>
      </c>
      <c r="Q81" s="12">
        <v>234.95</v>
      </c>
      <c r="R81" s="13">
        <v>334.72</v>
      </c>
      <c r="S81" s="14" t="s">
        <v>123</v>
      </c>
      <c r="T81" s="12">
        <v>604.36</v>
      </c>
      <c r="U81" s="15">
        <v>71.98</v>
      </c>
      <c r="V81" s="15">
        <v>2519</v>
      </c>
      <c r="W81" s="15">
        <v>8935</v>
      </c>
      <c r="X81" s="15">
        <v>11454</v>
      </c>
      <c r="Y81" s="6">
        <v>9</v>
      </c>
      <c r="Z81" s="15">
        <v>604.36</v>
      </c>
      <c r="AA81" s="15">
        <v>71.976702860000003</v>
      </c>
      <c r="AB81" s="97">
        <v>-12.5</v>
      </c>
      <c r="AC81" s="15">
        <v>11454</v>
      </c>
    </row>
    <row r="82" spans="2:29" ht="15.75" thickBot="1" x14ac:dyDescent="0.3">
      <c r="B82" s="17" t="s">
        <v>22</v>
      </c>
      <c r="C82" s="6">
        <v>5</v>
      </c>
      <c r="D82" s="6">
        <v>13</v>
      </c>
      <c r="E82" s="6">
        <v>11</v>
      </c>
      <c r="F82" s="6">
        <v>11</v>
      </c>
      <c r="G82" s="6">
        <v>15</v>
      </c>
      <c r="H82" s="6">
        <v>60</v>
      </c>
      <c r="I82" s="6">
        <v>7</v>
      </c>
      <c r="J82" s="7">
        <v>600</v>
      </c>
      <c r="K82" s="8">
        <v>20.8</v>
      </c>
      <c r="L82" s="9">
        <v>80</v>
      </c>
      <c r="M82" s="10">
        <v>5.89</v>
      </c>
      <c r="N82" s="10">
        <v>10.417</v>
      </c>
      <c r="O82" s="11">
        <v>8.1530000000000005</v>
      </c>
      <c r="P82" s="12">
        <v>471.15</v>
      </c>
      <c r="Q82" s="12">
        <v>216.67</v>
      </c>
      <c r="R82" s="13">
        <v>343.91</v>
      </c>
      <c r="S82" s="14" t="s">
        <v>31</v>
      </c>
      <c r="T82" s="12">
        <v>381.72</v>
      </c>
      <c r="U82" s="15">
        <v>113.96</v>
      </c>
      <c r="V82" s="15">
        <v>2370</v>
      </c>
      <c r="W82" s="15">
        <v>9117</v>
      </c>
      <c r="X82" s="15">
        <v>11487</v>
      </c>
      <c r="Y82" s="6">
        <v>7</v>
      </c>
      <c r="Z82" s="15">
        <v>381.72</v>
      </c>
      <c r="AA82" s="15">
        <v>113.957177</v>
      </c>
      <c r="AB82" s="25">
        <v>-12.25</v>
      </c>
      <c r="AC82" s="15">
        <v>11487</v>
      </c>
    </row>
    <row r="83" spans="2:29" ht="15.75" thickBot="1" x14ac:dyDescent="0.3">
      <c r="B83" s="5" t="s">
        <v>67</v>
      </c>
      <c r="C83" s="6">
        <v>3</v>
      </c>
      <c r="D83" s="6">
        <v>8</v>
      </c>
      <c r="E83" s="6">
        <v>10</v>
      </c>
      <c r="F83" s="6">
        <v>3</v>
      </c>
      <c r="G83" s="6">
        <v>7</v>
      </c>
      <c r="H83" s="6">
        <v>30</v>
      </c>
      <c r="I83" s="6">
        <v>6</v>
      </c>
      <c r="J83" s="7">
        <v>375</v>
      </c>
      <c r="K83" s="8">
        <v>6.75</v>
      </c>
      <c r="L83" s="9">
        <v>38.71</v>
      </c>
      <c r="M83" s="10">
        <v>18.149999999999999</v>
      </c>
      <c r="N83" s="10">
        <v>21.527999999999999</v>
      </c>
      <c r="O83" s="11">
        <v>19.838000000000001</v>
      </c>
      <c r="P83" s="12">
        <v>702.51</v>
      </c>
      <c r="Q83" s="12">
        <v>145.31</v>
      </c>
      <c r="R83" s="13">
        <v>423.91</v>
      </c>
      <c r="S83" s="14" t="s">
        <v>73</v>
      </c>
      <c r="T83" s="12">
        <v>171.31</v>
      </c>
      <c r="U83" s="15">
        <v>253.93</v>
      </c>
      <c r="V83" s="15">
        <v>1714</v>
      </c>
      <c r="W83" s="15">
        <v>9829</v>
      </c>
      <c r="X83" s="15">
        <v>11543</v>
      </c>
      <c r="Y83" s="6">
        <v>6</v>
      </c>
      <c r="Z83" s="15">
        <v>171.31</v>
      </c>
      <c r="AA83" s="15">
        <v>253.92747130000001</v>
      </c>
      <c r="AB83" s="71">
        <v>-11.81</v>
      </c>
      <c r="AC83" s="15">
        <v>11543</v>
      </c>
    </row>
    <row r="84" spans="2:29" ht="15.75" thickBot="1" x14ac:dyDescent="0.3">
      <c r="B84" s="17" t="s">
        <v>97</v>
      </c>
      <c r="C84" s="6">
        <v>4</v>
      </c>
      <c r="D84" s="6">
        <v>11</v>
      </c>
      <c r="E84" s="6">
        <v>11</v>
      </c>
      <c r="F84" s="6">
        <v>6</v>
      </c>
      <c r="G84" s="6">
        <v>10</v>
      </c>
      <c r="H84" s="6">
        <v>35</v>
      </c>
      <c r="I84" s="6">
        <v>5</v>
      </c>
      <c r="J84" s="7">
        <v>325</v>
      </c>
      <c r="K84" s="8">
        <v>12</v>
      </c>
      <c r="L84" s="9">
        <v>46.67</v>
      </c>
      <c r="M84" s="10">
        <v>10.210000000000001</v>
      </c>
      <c r="N84" s="10">
        <v>17.856999999999999</v>
      </c>
      <c r="O84" s="11">
        <v>14.032999999999999</v>
      </c>
      <c r="P84" s="12">
        <v>476.39</v>
      </c>
      <c r="Q84" s="12">
        <v>214.28</v>
      </c>
      <c r="R84" s="13">
        <v>345.34</v>
      </c>
      <c r="S84" s="14" t="s">
        <v>104</v>
      </c>
      <c r="T84" s="12">
        <v>220.72</v>
      </c>
      <c r="U84" s="15">
        <v>197.08</v>
      </c>
      <c r="V84" s="15">
        <v>2365</v>
      </c>
      <c r="W84" s="15">
        <v>9197</v>
      </c>
      <c r="X84" s="15">
        <v>11562</v>
      </c>
      <c r="Y84" s="6">
        <v>5</v>
      </c>
      <c r="Z84" s="15">
        <v>220.72</v>
      </c>
      <c r="AA84" s="15">
        <v>197.0829421</v>
      </c>
      <c r="AB84" s="88">
        <v>-11.67</v>
      </c>
      <c r="AC84" s="15">
        <v>11562</v>
      </c>
    </row>
    <row r="85" spans="2:29" ht="15.75" thickBot="1" x14ac:dyDescent="0.3">
      <c r="B85" s="5" t="s">
        <v>97</v>
      </c>
      <c r="C85" s="6">
        <v>2</v>
      </c>
      <c r="D85" s="6">
        <v>6</v>
      </c>
      <c r="E85" s="6">
        <v>8</v>
      </c>
      <c r="F85" s="6">
        <v>2</v>
      </c>
      <c r="G85" s="6">
        <v>5</v>
      </c>
      <c r="H85" s="6">
        <v>15</v>
      </c>
      <c r="I85" s="6">
        <v>5</v>
      </c>
      <c r="J85" s="7">
        <v>140</v>
      </c>
      <c r="K85" s="8">
        <v>4.38</v>
      </c>
      <c r="L85" s="9">
        <v>18.18</v>
      </c>
      <c r="M85" s="10">
        <v>28</v>
      </c>
      <c r="N85" s="10">
        <v>45.832999999999998</v>
      </c>
      <c r="O85" s="11">
        <v>36.917000000000002</v>
      </c>
      <c r="P85" s="12">
        <v>509.09</v>
      </c>
      <c r="Q85" s="12">
        <v>200.52</v>
      </c>
      <c r="R85" s="13">
        <v>354.81</v>
      </c>
      <c r="S85" s="14" t="s">
        <v>101</v>
      </c>
      <c r="T85" s="12">
        <v>84.69</v>
      </c>
      <c r="U85" s="15">
        <v>513.63</v>
      </c>
      <c r="V85" s="15">
        <v>2247</v>
      </c>
      <c r="W85" s="15">
        <v>9339</v>
      </c>
      <c r="X85" s="15">
        <v>11586</v>
      </c>
      <c r="Y85" s="6">
        <v>5</v>
      </c>
      <c r="Z85" s="15">
        <v>84.69</v>
      </c>
      <c r="AA85" s="15">
        <v>513.62591710000004</v>
      </c>
      <c r="AB85" s="87">
        <v>-11.49</v>
      </c>
      <c r="AC85" s="15">
        <v>11586</v>
      </c>
    </row>
    <row r="86" spans="2:29" ht="15.75" thickBot="1" x14ac:dyDescent="0.3">
      <c r="B86" s="5" t="s">
        <v>20</v>
      </c>
      <c r="C86" s="6">
        <v>6</v>
      </c>
      <c r="D86" s="6">
        <v>15</v>
      </c>
      <c r="E86" s="6">
        <v>14</v>
      </c>
      <c r="F86" s="6">
        <v>18</v>
      </c>
      <c r="G86" s="6">
        <v>22</v>
      </c>
      <c r="H86" s="6">
        <v>110</v>
      </c>
      <c r="I86" s="6">
        <v>9</v>
      </c>
      <c r="J86" s="7">
        <v>950</v>
      </c>
      <c r="K86" s="8">
        <v>34</v>
      </c>
      <c r="L86" s="9">
        <v>162.96</v>
      </c>
      <c r="M86" s="10">
        <v>3.6</v>
      </c>
      <c r="N86" s="10">
        <v>5.1139999999999999</v>
      </c>
      <c r="O86" s="11">
        <v>4.3579999999999997</v>
      </c>
      <c r="P86" s="12">
        <v>587.15</v>
      </c>
      <c r="Q86" s="12">
        <v>173.86</v>
      </c>
      <c r="R86" s="13">
        <v>380.5</v>
      </c>
      <c r="S86" s="14" t="s">
        <v>165</v>
      </c>
      <c r="T86" s="12">
        <v>737.67</v>
      </c>
      <c r="U86" s="15">
        <v>58.97</v>
      </c>
      <c r="V86" s="15">
        <v>2005</v>
      </c>
      <c r="W86" s="15">
        <v>9610</v>
      </c>
      <c r="X86" s="15">
        <v>11615</v>
      </c>
      <c r="Y86" s="6">
        <v>9</v>
      </c>
      <c r="Z86" s="15">
        <v>737.67</v>
      </c>
      <c r="AA86" s="15">
        <v>58.96965084</v>
      </c>
      <c r="AB86" s="123">
        <v>-11.27</v>
      </c>
      <c r="AC86" s="15">
        <v>11615</v>
      </c>
    </row>
    <row r="87" spans="2:29" ht="15.75" thickBot="1" x14ac:dyDescent="0.3">
      <c r="B87" s="5" t="s">
        <v>97</v>
      </c>
      <c r="C87" s="6">
        <v>3</v>
      </c>
      <c r="D87" s="6">
        <v>8</v>
      </c>
      <c r="E87" s="6">
        <v>10</v>
      </c>
      <c r="F87" s="6">
        <v>2</v>
      </c>
      <c r="G87" s="6">
        <v>5</v>
      </c>
      <c r="H87" s="6">
        <v>20</v>
      </c>
      <c r="I87" s="6">
        <v>13</v>
      </c>
      <c r="J87" s="7">
        <v>240</v>
      </c>
      <c r="K87" s="8">
        <v>4.7300000000000004</v>
      </c>
      <c r="L87" s="9">
        <v>25.81</v>
      </c>
      <c r="M87" s="10">
        <v>25.93</v>
      </c>
      <c r="N87" s="10">
        <v>32.292000000000002</v>
      </c>
      <c r="O87" s="11">
        <v>29.109000000000002</v>
      </c>
      <c r="P87" s="12">
        <v>669.06</v>
      </c>
      <c r="Q87" s="12">
        <v>152.58000000000001</v>
      </c>
      <c r="R87" s="13">
        <v>410.82</v>
      </c>
      <c r="S87" s="14" t="s">
        <v>103</v>
      </c>
      <c r="T87" s="12">
        <v>114.2</v>
      </c>
      <c r="U87" s="15">
        <v>380.9</v>
      </c>
      <c r="V87" s="15">
        <v>1800</v>
      </c>
      <c r="W87" s="15">
        <v>9830</v>
      </c>
      <c r="X87" s="15">
        <v>11630</v>
      </c>
      <c r="Y87" s="6">
        <v>13</v>
      </c>
      <c r="Z87" s="15">
        <v>114.2</v>
      </c>
      <c r="AA87" s="15">
        <v>380.90231849999998</v>
      </c>
      <c r="AB87" s="62">
        <v>-11.16</v>
      </c>
      <c r="AC87" s="15">
        <v>11630</v>
      </c>
    </row>
    <row r="88" spans="2:29" ht="15.75" thickBot="1" x14ac:dyDescent="0.3">
      <c r="B88" s="17" t="s">
        <v>97</v>
      </c>
      <c r="C88" s="6">
        <v>6</v>
      </c>
      <c r="D88" s="6">
        <v>14</v>
      </c>
      <c r="E88" s="6">
        <v>14</v>
      </c>
      <c r="F88" s="6">
        <v>14</v>
      </c>
      <c r="G88" s="6">
        <v>18</v>
      </c>
      <c r="H88" s="6">
        <v>70</v>
      </c>
      <c r="I88" s="6">
        <v>7</v>
      </c>
      <c r="J88" s="7">
        <v>800</v>
      </c>
      <c r="K88" s="8">
        <v>26.4</v>
      </c>
      <c r="L88" s="9">
        <v>103.7</v>
      </c>
      <c r="M88" s="10">
        <v>4.6399999999999997</v>
      </c>
      <c r="N88" s="10">
        <v>8.0359999999999996</v>
      </c>
      <c r="O88" s="11">
        <v>6.3380000000000001</v>
      </c>
      <c r="P88" s="12">
        <v>481.2</v>
      </c>
      <c r="Q88" s="12">
        <v>212.14</v>
      </c>
      <c r="R88" s="13">
        <v>346.67</v>
      </c>
      <c r="S88" s="14" t="s">
        <v>108</v>
      </c>
      <c r="T88" s="12">
        <v>486.41</v>
      </c>
      <c r="U88" s="15">
        <v>89.43</v>
      </c>
      <c r="V88" s="15">
        <v>2361</v>
      </c>
      <c r="W88" s="15">
        <v>9274</v>
      </c>
      <c r="X88" s="15">
        <v>11635</v>
      </c>
      <c r="Y88" s="6">
        <v>7</v>
      </c>
      <c r="Z88" s="15">
        <v>486.41</v>
      </c>
      <c r="AA88" s="15">
        <v>89.430704030000001</v>
      </c>
      <c r="AB88" s="62">
        <v>-11.11</v>
      </c>
      <c r="AC88" s="15">
        <v>11635</v>
      </c>
    </row>
    <row r="89" spans="2:29" ht="15.75" thickBot="1" x14ac:dyDescent="0.3">
      <c r="B89" s="17" t="s">
        <v>52</v>
      </c>
      <c r="C89" s="6">
        <v>6</v>
      </c>
      <c r="D89" s="6">
        <v>15</v>
      </c>
      <c r="E89" s="6">
        <v>15</v>
      </c>
      <c r="F89" s="6">
        <v>15</v>
      </c>
      <c r="G89" s="6">
        <v>25</v>
      </c>
      <c r="H89" s="6">
        <v>100</v>
      </c>
      <c r="I89" s="6">
        <v>7</v>
      </c>
      <c r="J89" s="7">
        <v>1000</v>
      </c>
      <c r="K89" s="8">
        <v>34</v>
      </c>
      <c r="L89" s="9">
        <v>153.85</v>
      </c>
      <c r="M89" s="10">
        <v>3.6</v>
      </c>
      <c r="N89" s="10">
        <v>5.4169999999999998</v>
      </c>
      <c r="O89" s="11">
        <v>4.51</v>
      </c>
      <c r="P89" s="12">
        <v>554.29999999999995</v>
      </c>
      <c r="Q89" s="12">
        <v>184.17</v>
      </c>
      <c r="R89" s="13">
        <v>369.23</v>
      </c>
      <c r="S89" s="14" t="s">
        <v>63</v>
      </c>
      <c r="T89" s="12">
        <v>701.87</v>
      </c>
      <c r="U89" s="15">
        <v>61.98</v>
      </c>
      <c r="V89" s="15">
        <v>2107</v>
      </c>
      <c r="W89" s="15">
        <v>9535</v>
      </c>
      <c r="X89" s="15">
        <v>11642</v>
      </c>
      <c r="Y89" s="6">
        <v>7</v>
      </c>
      <c r="Z89" s="15">
        <v>701.87</v>
      </c>
      <c r="AA89" s="15">
        <v>61.977381729999998</v>
      </c>
      <c r="AB89" s="62">
        <v>-11.06</v>
      </c>
      <c r="AC89" s="15">
        <v>11642</v>
      </c>
    </row>
    <row r="90" spans="2:29" ht="15.75" thickBot="1" x14ac:dyDescent="0.3">
      <c r="B90" s="5" t="s">
        <v>67</v>
      </c>
      <c r="C90" s="6">
        <v>5</v>
      </c>
      <c r="D90" s="6">
        <v>11</v>
      </c>
      <c r="E90" s="6">
        <v>11</v>
      </c>
      <c r="F90" s="6">
        <v>6</v>
      </c>
      <c r="G90" s="6">
        <v>10</v>
      </c>
      <c r="H90" s="6">
        <v>40</v>
      </c>
      <c r="I90" s="6">
        <v>6</v>
      </c>
      <c r="J90" s="7">
        <v>500</v>
      </c>
      <c r="K90" s="8">
        <v>12</v>
      </c>
      <c r="L90" s="9">
        <v>53.33</v>
      </c>
      <c r="M90" s="10">
        <v>10.210000000000001</v>
      </c>
      <c r="N90" s="10">
        <v>15.625</v>
      </c>
      <c r="O90" s="11">
        <v>12.917</v>
      </c>
      <c r="P90" s="12">
        <v>544.44000000000005</v>
      </c>
      <c r="Q90" s="12">
        <v>187.5</v>
      </c>
      <c r="R90" s="13">
        <v>365.97</v>
      </c>
      <c r="S90" s="14" t="s">
        <v>77</v>
      </c>
      <c r="T90" s="12">
        <v>241.65</v>
      </c>
      <c r="U90" s="15">
        <v>180.01</v>
      </c>
      <c r="V90" s="15">
        <v>2160</v>
      </c>
      <c r="W90" s="15">
        <v>9601</v>
      </c>
      <c r="X90" s="15">
        <v>11761</v>
      </c>
      <c r="Y90" s="6">
        <v>6</v>
      </c>
      <c r="Z90" s="15">
        <v>241.65</v>
      </c>
      <c r="AA90" s="15">
        <v>180.0149553</v>
      </c>
      <c r="AB90" s="75">
        <v>-10.15</v>
      </c>
      <c r="AC90" s="15">
        <v>11761</v>
      </c>
    </row>
    <row r="91" spans="2:29" ht="15.75" thickBot="1" x14ac:dyDescent="0.3">
      <c r="B91" s="17" t="s">
        <v>20</v>
      </c>
      <c r="C91" s="6">
        <v>4</v>
      </c>
      <c r="D91" s="6">
        <v>9</v>
      </c>
      <c r="E91" s="6">
        <v>8</v>
      </c>
      <c r="F91" s="6">
        <v>5</v>
      </c>
      <c r="G91" s="6">
        <v>9</v>
      </c>
      <c r="H91" s="6">
        <v>30</v>
      </c>
      <c r="I91" s="6">
        <v>8</v>
      </c>
      <c r="J91" s="7">
        <v>250</v>
      </c>
      <c r="K91" s="8">
        <v>9.8000000000000007</v>
      </c>
      <c r="L91" s="9">
        <v>36.36</v>
      </c>
      <c r="M91" s="10">
        <v>12.5</v>
      </c>
      <c r="N91" s="10">
        <v>22.917000000000002</v>
      </c>
      <c r="O91" s="11">
        <v>17.707999999999998</v>
      </c>
      <c r="P91" s="12">
        <v>454.55</v>
      </c>
      <c r="Q91" s="12">
        <v>224.58</v>
      </c>
      <c r="R91" s="13">
        <v>339.56</v>
      </c>
      <c r="S91" s="14" t="s">
        <v>160</v>
      </c>
      <c r="T91" s="12">
        <v>170.68</v>
      </c>
      <c r="U91" s="15">
        <v>254.87</v>
      </c>
      <c r="V91" s="15">
        <v>2498</v>
      </c>
      <c r="W91" s="15">
        <v>9268</v>
      </c>
      <c r="X91" s="15">
        <v>11766</v>
      </c>
      <c r="Y91" s="6">
        <v>8</v>
      </c>
      <c r="Z91" s="15">
        <v>170.68</v>
      </c>
      <c r="AA91" s="15">
        <v>254.86640750000001</v>
      </c>
      <c r="AB91" s="75">
        <v>-10.119999999999999</v>
      </c>
      <c r="AC91" s="15">
        <v>11766</v>
      </c>
    </row>
    <row r="92" spans="2:29" ht="15.75" thickBot="1" x14ac:dyDescent="0.3">
      <c r="B92" s="5" t="s">
        <v>20</v>
      </c>
      <c r="C92" s="6">
        <v>4</v>
      </c>
      <c r="D92" s="6">
        <v>9</v>
      </c>
      <c r="E92" s="6">
        <v>10</v>
      </c>
      <c r="F92" s="6">
        <v>5</v>
      </c>
      <c r="G92" s="6">
        <v>9</v>
      </c>
      <c r="H92" s="6">
        <v>30</v>
      </c>
      <c r="I92" s="6">
        <v>12</v>
      </c>
      <c r="J92" s="7">
        <v>275</v>
      </c>
      <c r="K92" s="8">
        <v>9.8000000000000007</v>
      </c>
      <c r="L92" s="9">
        <v>38.71</v>
      </c>
      <c r="M92" s="10">
        <v>12.5</v>
      </c>
      <c r="N92" s="10">
        <v>21.527999999999999</v>
      </c>
      <c r="O92" s="11">
        <v>17.013999999999999</v>
      </c>
      <c r="P92" s="12">
        <v>483.87</v>
      </c>
      <c r="Q92" s="12">
        <v>210.97</v>
      </c>
      <c r="R92" s="13">
        <v>347.42</v>
      </c>
      <c r="S92" s="14" t="s">
        <v>161</v>
      </c>
      <c r="T92" s="12">
        <v>179.04</v>
      </c>
      <c r="U92" s="15">
        <v>242.96</v>
      </c>
      <c r="V92" s="15">
        <v>2381</v>
      </c>
      <c r="W92" s="15">
        <v>9405</v>
      </c>
      <c r="X92" s="15">
        <v>11786</v>
      </c>
      <c r="Y92" s="6">
        <v>12</v>
      </c>
      <c r="Z92" s="15">
        <v>179.04</v>
      </c>
      <c r="AA92" s="15">
        <v>242.9593064</v>
      </c>
      <c r="AB92" s="122">
        <v>-9.9600000000000009</v>
      </c>
      <c r="AC92" s="15">
        <v>11786</v>
      </c>
    </row>
    <row r="93" spans="2:29" ht="15.75" thickBot="1" x14ac:dyDescent="0.3">
      <c r="B93" s="5" t="s">
        <v>112</v>
      </c>
      <c r="C93" s="6">
        <v>7</v>
      </c>
      <c r="D93" s="6">
        <v>26</v>
      </c>
      <c r="E93" s="6">
        <v>28</v>
      </c>
      <c r="F93" s="6">
        <v>30</v>
      </c>
      <c r="G93" s="6">
        <v>40</v>
      </c>
      <c r="H93" s="6">
        <v>200</v>
      </c>
      <c r="I93" s="6">
        <v>17</v>
      </c>
      <c r="J93" s="7">
        <v>4500</v>
      </c>
      <c r="K93" s="8">
        <v>78.75</v>
      </c>
      <c r="L93" s="9">
        <v>615.38</v>
      </c>
      <c r="M93" s="10">
        <v>1.56</v>
      </c>
      <c r="N93" s="10">
        <v>1.3540000000000001</v>
      </c>
      <c r="O93" s="11">
        <v>1.4550000000000001</v>
      </c>
      <c r="P93" s="12">
        <v>957.26</v>
      </c>
      <c r="Q93" s="12">
        <v>106.64</v>
      </c>
      <c r="R93" s="13">
        <v>531.95000000000005</v>
      </c>
      <c r="S93" s="14" t="s">
        <v>126</v>
      </c>
      <c r="T93" s="12">
        <v>2557.23</v>
      </c>
      <c r="U93" s="15">
        <v>17.010000000000002</v>
      </c>
      <c r="V93" s="15">
        <v>1340</v>
      </c>
      <c r="W93" s="15">
        <v>10468</v>
      </c>
      <c r="X93" s="15">
        <v>11808</v>
      </c>
      <c r="Y93" s="6">
        <v>17</v>
      </c>
      <c r="Z93" s="15">
        <v>2557.23</v>
      </c>
      <c r="AA93" s="15">
        <v>17.010583650000001</v>
      </c>
      <c r="AB93" s="89">
        <v>-9.8000000000000007</v>
      </c>
      <c r="AC93" s="15">
        <v>11808</v>
      </c>
    </row>
    <row r="94" spans="2:29" ht="15.75" thickBot="1" x14ac:dyDescent="0.3">
      <c r="B94" s="5" t="s">
        <v>97</v>
      </c>
      <c r="C94" s="6">
        <v>4</v>
      </c>
      <c r="D94" s="6">
        <v>12</v>
      </c>
      <c r="E94" s="6">
        <v>12</v>
      </c>
      <c r="F94" s="6">
        <v>6</v>
      </c>
      <c r="G94" s="6">
        <v>10</v>
      </c>
      <c r="H94" s="6">
        <v>40</v>
      </c>
      <c r="I94" s="6">
        <v>7</v>
      </c>
      <c r="J94" s="7">
        <v>400</v>
      </c>
      <c r="K94" s="8">
        <v>12.4</v>
      </c>
      <c r="L94" s="9">
        <v>55.17</v>
      </c>
      <c r="M94" s="10">
        <v>9.8800000000000008</v>
      </c>
      <c r="N94" s="10">
        <v>15.103999999999999</v>
      </c>
      <c r="O94" s="11">
        <v>12.492000000000001</v>
      </c>
      <c r="P94" s="12">
        <v>545.04999999999995</v>
      </c>
      <c r="Q94" s="12">
        <v>187.29</v>
      </c>
      <c r="R94" s="13">
        <v>366.17</v>
      </c>
      <c r="S94" s="14" t="s">
        <v>105</v>
      </c>
      <c r="T94" s="12">
        <v>248.89</v>
      </c>
      <c r="U94" s="15">
        <v>174.78</v>
      </c>
      <c r="V94" s="15">
        <v>2167</v>
      </c>
      <c r="W94" s="15">
        <v>9643</v>
      </c>
      <c r="X94" s="15">
        <v>11810</v>
      </c>
      <c r="Y94" s="6">
        <v>7</v>
      </c>
      <c r="Z94" s="15">
        <v>248.89</v>
      </c>
      <c r="AA94" s="15">
        <v>174.77651689999999</v>
      </c>
      <c r="AB94" s="89">
        <v>-9.7799999999999994</v>
      </c>
      <c r="AC94" s="15">
        <v>11810</v>
      </c>
    </row>
    <row r="95" spans="2:29" ht="15.75" thickBot="1" x14ac:dyDescent="0.3">
      <c r="B95" s="17" t="s">
        <v>142</v>
      </c>
      <c r="C95" s="109"/>
      <c r="D95" s="6">
        <v>12</v>
      </c>
      <c r="E95" s="6">
        <v>10</v>
      </c>
      <c r="F95" s="6">
        <v>8</v>
      </c>
      <c r="G95" s="6">
        <v>10</v>
      </c>
      <c r="H95" s="6">
        <v>15</v>
      </c>
      <c r="I95" s="6">
        <v>9</v>
      </c>
      <c r="J95" s="7">
        <v>400</v>
      </c>
      <c r="K95" s="8">
        <v>13.95</v>
      </c>
      <c r="L95" s="9">
        <v>19.350000000000001</v>
      </c>
      <c r="M95" s="10">
        <v>8.7799999999999994</v>
      </c>
      <c r="N95" s="10">
        <v>43.055</v>
      </c>
      <c r="O95" s="11">
        <v>25.917999999999999</v>
      </c>
      <c r="P95" s="12">
        <v>169.96</v>
      </c>
      <c r="Q95" s="12">
        <v>600.62</v>
      </c>
      <c r="R95" s="13">
        <v>385.29</v>
      </c>
      <c r="S95" s="14" t="s">
        <v>153</v>
      </c>
      <c r="T95" s="12">
        <v>122.3</v>
      </c>
      <c r="U95" s="15">
        <v>355.68</v>
      </c>
      <c r="V95" s="15">
        <v>4962</v>
      </c>
      <c r="W95" s="15">
        <v>6884</v>
      </c>
      <c r="X95" s="15">
        <v>11846</v>
      </c>
      <c r="Y95" s="6">
        <v>9</v>
      </c>
      <c r="Z95" s="15">
        <v>122.3</v>
      </c>
      <c r="AA95" s="15">
        <v>355.68304649999999</v>
      </c>
      <c r="AB95" s="120">
        <v>-9.5</v>
      </c>
      <c r="AC95" s="15">
        <v>11846</v>
      </c>
    </row>
    <row r="96" spans="2:29" ht="15.75" thickBot="1" x14ac:dyDescent="0.3">
      <c r="B96" s="17" t="s">
        <v>67</v>
      </c>
      <c r="C96" s="6">
        <v>2</v>
      </c>
      <c r="D96" s="6">
        <v>9</v>
      </c>
      <c r="E96" s="6">
        <v>9</v>
      </c>
      <c r="F96" s="6">
        <v>2</v>
      </c>
      <c r="G96" s="6">
        <v>8</v>
      </c>
      <c r="H96" s="6">
        <v>25</v>
      </c>
      <c r="I96" s="6">
        <v>7</v>
      </c>
      <c r="J96" s="7">
        <v>250</v>
      </c>
      <c r="K96" s="8">
        <v>7</v>
      </c>
      <c r="L96" s="9">
        <v>31.25</v>
      </c>
      <c r="M96" s="10">
        <v>17.5</v>
      </c>
      <c r="N96" s="10">
        <v>26.667000000000002</v>
      </c>
      <c r="O96" s="11">
        <v>22.082999999999998</v>
      </c>
      <c r="P96" s="12">
        <v>546.88</v>
      </c>
      <c r="Q96" s="12">
        <v>186.67</v>
      </c>
      <c r="R96" s="13">
        <v>366.77</v>
      </c>
      <c r="S96" s="14" t="s">
        <v>70</v>
      </c>
      <c r="T96" s="12">
        <v>140.31</v>
      </c>
      <c r="U96" s="15">
        <v>310.02</v>
      </c>
      <c r="V96" s="15">
        <v>2170</v>
      </c>
      <c r="W96" s="15">
        <v>9688</v>
      </c>
      <c r="X96" s="15">
        <v>11858</v>
      </c>
      <c r="Y96" s="6">
        <v>7</v>
      </c>
      <c r="Z96" s="15">
        <v>140.31</v>
      </c>
      <c r="AA96" s="15">
        <v>310.02046560000002</v>
      </c>
      <c r="AB96" s="68">
        <v>-9.41</v>
      </c>
      <c r="AC96" s="15">
        <v>11858</v>
      </c>
    </row>
    <row r="97" spans="2:29" ht="15.75" thickBot="1" x14ac:dyDescent="0.3">
      <c r="B97" s="17" t="s">
        <v>82</v>
      </c>
      <c r="C97" s="6">
        <v>6</v>
      </c>
      <c r="D97" s="6">
        <v>15</v>
      </c>
      <c r="E97" s="6">
        <v>13</v>
      </c>
      <c r="F97" s="6">
        <v>14</v>
      </c>
      <c r="G97" s="6">
        <v>20</v>
      </c>
      <c r="H97" s="6">
        <v>80</v>
      </c>
      <c r="I97" s="6">
        <v>7</v>
      </c>
      <c r="J97" s="7">
        <v>850</v>
      </c>
      <c r="K97" s="8">
        <v>28.9</v>
      </c>
      <c r="L97" s="9">
        <v>114.29</v>
      </c>
      <c r="M97" s="10">
        <v>4.24</v>
      </c>
      <c r="N97" s="10">
        <v>7.2919999999999998</v>
      </c>
      <c r="O97" s="11">
        <v>5.7649999999999997</v>
      </c>
      <c r="P97" s="12">
        <v>484.43</v>
      </c>
      <c r="Q97" s="12">
        <v>210.73</v>
      </c>
      <c r="R97" s="13">
        <v>347.58</v>
      </c>
      <c r="S97" s="14" t="s">
        <v>93</v>
      </c>
      <c r="T97" s="12">
        <v>524.59</v>
      </c>
      <c r="U97" s="15">
        <v>82.92</v>
      </c>
      <c r="V97" s="15">
        <v>2396</v>
      </c>
      <c r="W97" s="15">
        <v>9477</v>
      </c>
      <c r="X97" s="15">
        <v>11873</v>
      </c>
      <c r="Y97" s="6">
        <v>7</v>
      </c>
      <c r="Z97" s="15">
        <v>524.59</v>
      </c>
      <c r="AA97" s="15">
        <v>82.921665410000003</v>
      </c>
      <c r="AB97" s="68">
        <v>-9.3000000000000007</v>
      </c>
      <c r="AC97" s="15">
        <v>11873</v>
      </c>
    </row>
    <row r="98" spans="2:29" ht="15.75" thickBot="1" x14ac:dyDescent="0.3">
      <c r="B98" s="17" t="s">
        <v>112</v>
      </c>
      <c r="C98" s="6">
        <v>3</v>
      </c>
      <c r="D98" s="6">
        <v>10</v>
      </c>
      <c r="E98" s="6">
        <v>6</v>
      </c>
      <c r="F98" s="6">
        <v>2</v>
      </c>
      <c r="G98" s="6">
        <v>7</v>
      </c>
      <c r="H98" s="6">
        <v>25</v>
      </c>
      <c r="I98" s="6">
        <v>7</v>
      </c>
      <c r="J98" s="7">
        <v>200</v>
      </c>
      <c r="K98" s="8">
        <v>6.53</v>
      </c>
      <c r="L98" s="9">
        <v>28.57</v>
      </c>
      <c r="M98" s="10">
        <v>18.77</v>
      </c>
      <c r="N98" s="10">
        <v>29.167000000000002</v>
      </c>
      <c r="O98" s="11">
        <v>23.97</v>
      </c>
      <c r="P98" s="12">
        <v>536.4</v>
      </c>
      <c r="Q98" s="12">
        <v>190.31</v>
      </c>
      <c r="R98" s="13">
        <v>363.36</v>
      </c>
      <c r="S98" s="14" t="s">
        <v>117</v>
      </c>
      <c r="T98" s="12">
        <v>128.29</v>
      </c>
      <c r="U98" s="15">
        <v>339.06</v>
      </c>
      <c r="V98" s="15">
        <v>2212</v>
      </c>
      <c r="W98" s="15">
        <v>9688</v>
      </c>
      <c r="X98" s="15">
        <v>11900</v>
      </c>
      <c r="Y98" s="6">
        <v>7</v>
      </c>
      <c r="Z98" s="15">
        <v>128.29</v>
      </c>
      <c r="AA98" s="15">
        <v>339.06322110000002</v>
      </c>
      <c r="AB98" s="24">
        <v>-9.09</v>
      </c>
      <c r="AC98" s="15">
        <v>11900</v>
      </c>
    </row>
    <row r="99" spans="2:29" ht="15.75" thickBot="1" x14ac:dyDescent="0.3">
      <c r="B99" s="17" t="s">
        <v>22</v>
      </c>
      <c r="C99" s="6">
        <v>4</v>
      </c>
      <c r="D99" s="6">
        <v>13</v>
      </c>
      <c r="E99" s="6">
        <v>7</v>
      </c>
      <c r="F99" s="6">
        <v>6</v>
      </c>
      <c r="G99" s="6">
        <v>12</v>
      </c>
      <c r="H99" s="6">
        <v>60</v>
      </c>
      <c r="I99" s="6">
        <v>5</v>
      </c>
      <c r="J99" s="7">
        <v>400</v>
      </c>
      <c r="K99" s="8">
        <v>14.4</v>
      </c>
      <c r="L99" s="9">
        <v>70.59</v>
      </c>
      <c r="M99" s="10">
        <v>8.51</v>
      </c>
      <c r="N99" s="10">
        <v>11.805999999999999</v>
      </c>
      <c r="O99" s="11">
        <v>10.156000000000001</v>
      </c>
      <c r="P99" s="12">
        <v>600.49</v>
      </c>
      <c r="Q99" s="12">
        <v>170</v>
      </c>
      <c r="R99" s="13">
        <v>385.24</v>
      </c>
      <c r="S99" s="14" t="s">
        <v>30</v>
      </c>
      <c r="T99" s="12">
        <v>310.56</v>
      </c>
      <c r="U99" s="15">
        <v>140.07</v>
      </c>
      <c r="V99" s="15">
        <v>2017</v>
      </c>
      <c r="W99" s="15">
        <v>9887</v>
      </c>
      <c r="X99" s="15">
        <v>11904</v>
      </c>
      <c r="Y99" s="6">
        <v>5</v>
      </c>
      <c r="Z99" s="15">
        <v>310.56</v>
      </c>
      <c r="AA99" s="15">
        <v>140.070618</v>
      </c>
      <c r="AB99" s="24">
        <v>-9.06</v>
      </c>
      <c r="AC99" s="15">
        <v>11904</v>
      </c>
    </row>
    <row r="100" spans="2:29" ht="15.75" thickBot="1" x14ac:dyDescent="0.3">
      <c r="B100" s="17" t="s">
        <v>127</v>
      </c>
      <c r="C100" s="6">
        <v>6</v>
      </c>
      <c r="D100" s="6">
        <v>16</v>
      </c>
      <c r="E100" s="6">
        <v>16</v>
      </c>
      <c r="F100" s="6">
        <v>15</v>
      </c>
      <c r="G100" s="6">
        <v>30</v>
      </c>
      <c r="H100" s="6">
        <v>120</v>
      </c>
      <c r="I100" s="6">
        <v>7</v>
      </c>
      <c r="J100" s="7">
        <v>1200</v>
      </c>
      <c r="K100" s="8">
        <v>39.380000000000003</v>
      </c>
      <c r="L100" s="9">
        <v>192</v>
      </c>
      <c r="M100" s="10">
        <v>3.11</v>
      </c>
      <c r="N100" s="10">
        <v>4.34</v>
      </c>
      <c r="O100" s="11">
        <v>3.726</v>
      </c>
      <c r="P100" s="12">
        <v>597.33000000000004</v>
      </c>
      <c r="Q100" s="12">
        <v>170.9</v>
      </c>
      <c r="R100" s="13">
        <v>384.12</v>
      </c>
      <c r="S100" s="14" t="s">
        <v>138</v>
      </c>
      <c r="T100" s="12">
        <v>832.85</v>
      </c>
      <c r="U100" s="15">
        <v>52.23</v>
      </c>
      <c r="V100" s="15">
        <v>2057</v>
      </c>
      <c r="W100" s="15">
        <v>10028</v>
      </c>
      <c r="X100" s="15">
        <v>12085</v>
      </c>
      <c r="Y100" s="6">
        <v>7</v>
      </c>
      <c r="Z100" s="15">
        <v>832.85</v>
      </c>
      <c r="AA100" s="15">
        <v>52.230174759999997</v>
      </c>
      <c r="AB100" s="105">
        <v>-7.68</v>
      </c>
      <c r="AC100" s="15">
        <v>12085</v>
      </c>
    </row>
    <row r="101" spans="2:29" ht="15.75" thickBot="1" x14ac:dyDescent="0.3">
      <c r="B101" s="5" t="s">
        <v>112</v>
      </c>
      <c r="C101" s="6">
        <v>4</v>
      </c>
      <c r="D101" s="6">
        <v>10</v>
      </c>
      <c r="E101" s="6">
        <v>10</v>
      </c>
      <c r="F101" s="6">
        <v>7</v>
      </c>
      <c r="G101" s="6">
        <v>9</v>
      </c>
      <c r="H101" s="6">
        <v>40</v>
      </c>
      <c r="I101" s="6">
        <v>6</v>
      </c>
      <c r="J101" s="7">
        <v>270</v>
      </c>
      <c r="K101" s="8">
        <v>11.6</v>
      </c>
      <c r="L101" s="9">
        <v>51.61</v>
      </c>
      <c r="M101" s="10">
        <v>10.56</v>
      </c>
      <c r="N101" s="10">
        <v>16.146000000000001</v>
      </c>
      <c r="O101" s="11">
        <v>13.353</v>
      </c>
      <c r="P101" s="12">
        <v>545.04999999999995</v>
      </c>
      <c r="Q101" s="12">
        <v>187.29</v>
      </c>
      <c r="R101" s="13">
        <v>366.17</v>
      </c>
      <c r="S101" s="14" t="s">
        <v>120</v>
      </c>
      <c r="T101" s="12">
        <v>226.61</v>
      </c>
      <c r="U101" s="15">
        <v>191.96</v>
      </c>
      <c r="V101" s="15">
        <v>2227</v>
      </c>
      <c r="W101" s="15">
        <v>9908</v>
      </c>
      <c r="X101" s="15">
        <v>12134</v>
      </c>
      <c r="Y101" s="6">
        <v>6</v>
      </c>
      <c r="Z101" s="15">
        <v>226.61</v>
      </c>
      <c r="AA101" s="15">
        <v>191.96177839999999</v>
      </c>
      <c r="AB101" s="95">
        <v>-7.3</v>
      </c>
      <c r="AC101" s="15">
        <v>12134</v>
      </c>
    </row>
    <row r="102" spans="2:29" ht="15.75" thickBot="1" x14ac:dyDescent="0.3">
      <c r="B102" s="17" t="s">
        <v>127</v>
      </c>
      <c r="C102" s="6">
        <v>3</v>
      </c>
      <c r="D102" s="6">
        <v>7</v>
      </c>
      <c r="E102" s="6">
        <v>7</v>
      </c>
      <c r="F102" s="6">
        <v>3</v>
      </c>
      <c r="G102" s="6">
        <v>5</v>
      </c>
      <c r="H102" s="6">
        <v>18</v>
      </c>
      <c r="I102" s="6">
        <v>5</v>
      </c>
      <c r="J102" s="7">
        <v>200</v>
      </c>
      <c r="K102" s="8">
        <v>5.2</v>
      </c>
      <c r="L102" s="9">
        <v>21.18</v>
      </c>
      <c r="M102" s="10">
        <v>23.56</v>
      </c>
      <c r="N102" s="10">
        <v>39.351999999999997</v>
      </c>
      <c r="O102" s="11">
        <v>31.454999999999998</v>
      </c>
      <c r="P102" s="12">
        <v>498.87</v>
      </c>
      <c r="Q102" s="12">
        <v>204.63</v>
      </c>
      <c r="R102" s="13">
        <v>351.75</v>
      </c>
      <c r="S102" s="14" t="s">
        <v>132</v>
      </c>
      <c r="T102" s="12">
        <v>94.42</v>
      </c>
      <c r="U102" s="15">
        <v>460.7</v>
      </c>
      <c r="V102" s="15">
        <v>2396</v>
      </c>
      <c r="W102" s="15">
        <v>9756</v>
      </c>
      <c r="X102" s="15">
        <v>12152</v>
      </c>
      <c r="Y102" s="6">
        <v>5</v>
      </c>
      <c r="Z102" s="15">
        <v>94.42</v>
      </c>
      <c r="AA102" s="15">
        <v>460.69597490000001</v>
      </c>
      <c r="AB102" s="101">
        <v>-7.17</v>
      </c>
      <c r="AC102" s="15">
        <v>12152</v>
      </c>
    </row>
    <row r="103" spans="2:29" ht="15.75" thickBot="1" x14ac:dyDescent="0.3">
      <c r="B103" s="17" t="s">
        <v>52</v>
      </c>
      <c r="C103" s="6">
        <v>4</v>
      </c>
      <c r="D103" s="6">
        <v>10</v>
      </c>
      <c r="E103" s="6">
        <v>12</v>
      </c>
      <c r="F103" s="6">
        <v>6</v>
      </c>
      <c r="G103" s="6">
        <v>9</v>
      </c>
      <c r="H103" s="6">
        <v>35</v>
      </c>
      <c r="I103" s="6">
        <v>5</v>
      </c>
      <c r="J103" s="7">
        <v>300</v>
      </c>
      <c r="K103" s="8">
        <v>10.88</v>
      </c>
      <c r="L103" s="9">
        <v>48.28</v>
      </c>
      <c r="M103" s="10">
        <v>11.26</v>
      </c>
      <c r="N103" s="10">
        <v>17.262</v>
      </c>
      <c r="O103" s="11">
        <v>14.263</v>
      </c>
      <c r="P103" s="12">
        <v>543.79999999999995</v>
      </c>
      <c r="Q103" s="12">
        <v>187.72</v>
      </c>
      <c r="R103" s="13">
        <v>365.76</v>
      </c>
      <c r="S103" s="14" t="s">
        <v>59</v>
      </c>
      <c r="T103" s="12">
        <v>211.38</v>
      </c>
      <c r="U103" s="15">
        <v>205.79</v>
      </c>
      <c r="V103" s="15">
        <v>2238</v>
      </c>
      <c r="W103" s="15">
        <v>9935</v>
      </c>
      <c r="X103" s="15">
        <v>12173</v>
      </c>
      <c r="Y103" s="6">
        <v>5</v>
      </c>
      <c r="Z103" s="15">
        <v>211.38</v>
      </c>
      <c r="AA103" s="15">
        <v>205.79475529999999</v>
      </c>
      <c r="AB103" s="59">
        <v>-7.01</v>
      </c>
      <c r="AC103" s="15">
        <v>12173</v>
      </c>
    </row>
    <row r="104" spans="2:29" ht="15.75" thickBot="1" x14ac:dyDescent="0.3">
      <c r="B104" s="17" t="s">
        <v>142</v>
      </c>
      <c r="C104" s="109"/>
      <c r="D104" s="6">
        <v>13</v>
      </c>
      <c r="E104" s="6">
        <v>12</v>
      </c>
      <c r="F104" s="6">
        <v>10</v>
      </c>
      <c r="G104" s="6">
        <v>14</v>
      </c>
      <c r="H104" s="6">
        <v>60</v>
      </c>
      <c r="I104" s="6">
        <v>5</v>
      </c>
      <c r="J104" s="7">
        <v>750</v>
      </c>
      <c r="K104" s="8">
        <v>19.2</v>
      </c>
      <c r="L104" s="9">
        <v>82.76</v>
      </c>
      <c r="M104" s="10">
        <v>6.38</v>
      </c>
      <c r="N104" s="10">
        <v>10.069000000000001</v>
      </c>
      <c r="O104" s="11">
        <v>8.2249999999999996</v>
      </c>
      <c r="P104" s="12">
        <v>528.02</v>
      </c>
      <c r="Q104" s="12">
        <v>193.33</v>
      </c>
      <c r="R104" s="13">
        <v>360.67</v>
      </c>
      <c r="S104" s="14" t="s">
        <v>145</v>
      </c>
      <c r="T104" s="12">
        <v>362.77</v>
      </c>
      <c r="U104" s="15">
        <v>119.91</v>
      </c>
      <c r="V104" s="15">
        <v>2302</v>
      </c>
      <c r="W104" s="15">
        <v>9924</v>
      </c>
      <c r="X104" s="15">
        <v>12226</v>
      </c>
      <c r="Y104" s="6">
        <v>5</v>
      </c>
      <c r="Z104" s="15">
        <v>362.77</v>
      </c>
      <c r="AA104" s="15">
        <v>119.9095212</v>
      </c>
      <c r="AB104" s="111">
        <v>-6.6</v>
      </c>
      <c r="AC104" s="15">
        <v>12226</v>
      </c>
    </row>
    <row r="105" spans="2:29" ht="15.75" thickBot="1" x14ac:dyDescent="0.3">
      <c r="B105" s="5" t="s">
        <v>127</v>
      </c>
      <c r="C105" s="6">
        <v>3</v>
      </c>
      <c r="D105" s="6">
        <v>7</v>
      </c>
      <c r="E105" s="6">
        <v>7</v>
      </c>
      <c r="F105" s="6">
        <v>3</v>
      </c>
      <c r="G105" s="6">
        <v>5</v>
      </c>
      <c r="H105" s="6">
        <v>18</v>
      </c>
      <c r="I105" s="6">
        <v>7</v>
      </c>
      <c r="J105" s="7">
        <v>230</v>
      </c>
      <c r="K105" s="8">
        <v>5.2</v>
      </c>
      <c r="L105" s="9">
        <v>21.18</v>
      </c>
      <c r="M105" s="10">
        <v>23.56</v>
      </c>
      <c r="N105" s="10">
        <v>39.351999999999997</v>
      </c>
      <c r="O105" s="11">
        <v>31.454999999999998</v>
      </c>
      <c r="P105" s="12">
        <v>498.87</v>
      </c>
      <c r="Q105" s="12">
        <v>204.63</v>
      </c>
      <c r="R105" s="13">
        <v>351.75</v>
      </c>
      <c r="S105" s="14" t="s">
        <v>133</v>
      </c>
      <c r="T105" s="12">
        <v>92.6</v>
      </c>
      <c r="U105" s="15">
        <v>469.74</v>
      </c>
      <c r="V105" s="15">
        <v>2443</v>
      </c>
      <c r="W105" s="15">
        <v>9947</v>
      </c>
      <c r="X105" s="15">
        <v>12390</v>
      </c>
      <c r="Y105" s="6">
        <v>7</v>
      </c>
      <c r="Z105" s="15">
        <v>92.6</v>
      </c>
      <c r="AA105" s="15">
        <v>469.73966030000003</v>
      </c>
      <c r="AB105" s="102">
        <v>-5.35</v>
      </c>
      <c r="AC105" s="15">
        <v>12390</v>
      </c>
    </row>
    <row r="106" spans="2:29" ht="15.75" thickBot="1" x14ac:dyDescent="0.3">
      <c r="B106" s="17" t="s">
        <v>97</v>
      </c>
      <c r="C106" s="6">
        <v>5</v>
      </c>
      <c r="D106" s="6">
        <v>10</v>
      </c>
      <c r="E106" s="6">
        <v>14</v>
      </c>
      <c r="F106" s="6">
        <v>12</v>
      </c>
      <c r="G106" s="6">
        <v>16</v>
      </c>
      <c r="H106" s="6">
        <v>70</v>
      </c>
      <c r="I106" s="6">
        <v>5</v>
      </c>
      <c r="J106" s="7">
        <v>525</v>
      </c>
      <c r="K106" s="8">
        <v>20.3</v>
      </c>
      <c r="L106" s="9">
        <v>103.7</v>
      </c>
      <c r="M106" s="10">
        <v>6.03</v>
      </c>
      <c r="N106" s="10">
        <v>8.0359999999999996</v>
      </c>
      <c r="O106" s="11">
        <v>7.0350000000000001</v>
      </c>
      <c r="P106" s="12">
        <v>625.79999999999995</v>
      </c>
      <c r="Q106" s="12">
        <v>163.12</v>
      </c>
      <c r="R106" s="13">
        <v>394.46</v>
      </c>
      <c r="S106" s="14" t="s">
        <v>106</v>
      </c>
      <c r="T106" s="12">
        <v>434.97</v>
      </c>
      <c r="U106" s="15">
        <v>100.01</v>
      </c>
      <c r="V106" s="15">
        <v>2030</v>
      </c>
      <c r="W106" s="15">
        <v>10371</v>
      </c>
      <c r="X106" s="15">
        <v>12401</v>
      </c>
      <c r="Y106" s="6">
        <v>5</v>
      </c>
      <c r="Z106" s="15">
        <v>434.97</v>
      </c>
      <c r="AA106" s="15">
        <v>100.0074805</v>
      </c>
      <c r="AB106" s="90">
        <v>-5.26</v>
      </c>
      <c r="AC106" s="15">
        <v>12401</v>
      </c>
    </row>
    <row r="107" spans="2:29" ht="15.75" thickBot="1" x14ac:dyDescent="0.3">
      <c r="B107" s="5" t="s">
        <v>37</v>
      </c>
      <c r="C107" s="6">
        <v>7</v>
      </c>
      <c r="D107" s="6">
        <v>24</v>
      </c>
      <c r="E107" s="6">
        <v>24</v>
      </c>
      <c r="F107" s="6">
        <v>40</v>
      </c>
      <c r="G107" s="6">
        <v>60</v>
      </c>
      <c r="H107" s="6">
        <v>300</v>
      </c>
      <c r="I107" s="6">
        <v>11</v>
      </c>
      <c r="J107" s="7">
        <v>5000</v>
      </c>
      <c r="K107" s="8">
        <v>107.5</v>
      </c>
      <c r="L107" s="9">
        <v>705.88</v>
      </c>
      <c r="M107" s="10">
        <v>1.1399999999999999</v>
      </c>
      <c r="N107" s="10">
        <v>1.181</v>
      </c>
      <c r="O107" s="11">
        <v>1.1599999999999999</v>
      </c>
      <c r="P107" s="12">
        <v>804.38</v>
      </c>
      <c r="Q107" s="12">
        <v>126.91</v>
      </c>
      <c r="R107" s="13">
        <v>465.64</v>
      </c>
      <c r="S107" s="14" t="s">
        <v>51</v>
      </c>
      <c r="T107" s="12">
        <v>2841.77</v>
      </c>
      <c r="U107" s="15">
        <v>15.31</v>
      </c>
      <c r="V107" s="15">
        <v>1646</v>
      </c>
      <c r="W107" s="15">
        <v>10805</v>
      </c>
      <c r="X107" s="15">
        <v>12451</v>
      </c>
      <c r="Y107" s="6">
        <v>11</v>
      </c>
      <c r="Z107" s="15">
        <v>2841.77</v>
      </c>
      <c r="AA107" s="15">
        <v>15.30737345</v>
      </c>
      <c r="AB107" s="52">
        <v>-4.88</v>
      </c>
      <c r="AC107" s="15">
        <v>12451</v>
      </c>
    </row>
    <row r="108" spans="2:29" ht="15.75" thickBot="1" x14ac:dyDescent="0.3">
      <c r="B108" s="5" t="s">
        <v>52</v>
      </c>
      <c r="C108" s="6">
        <v>3</v>
      </c>
      <c r="D108" s="6">
        <v>9</v>
      </c>
      <c r="E108" s="6">
        <v>9</v>
      </c>
      <c r="F108" s="6">
        <v>3</v>
      </c>
      <c r="G108" s="6">
        <v>6</v>
      </c>
      <c r="H108" s="6">
        <v>25</v>
      </c>
      <c r="I108" s="6">
        <v>9</v>
      </c>
      <c r="J108" s="7">
        <v>240</v>
      </c>
      <c r="K108" s="8">
        <v>6.3</v>
      </c>
      <c r="L108" s="9">
        <v>31.25</v>
      </c>
      <c r="M108" s="10">
        <v>19.440000000000001</v>
      </c>
      <c r="N108" s="10">
        <v>26.667000000000002</v>
      </c>
      <c r="O108" s="11">
        <v>23.056000000000001</v>
      </c>
      <c r="P108" s="12">
        <v>607.64</v>
      </c>
      <c r="Q108" s="12">
        <v>168</v>
      </c>
      <c r="R108" s="13">
        <v>387.82</v>
      </c>
      <c r="S108" s="14" t="s">
        <v>58</v>
      </c>
      <c r="T108" s="12">
        <v>130.62</v>
      </c>
      <c r="U108" s="15">
        <v>333.02</v>
      </c>
      <c r="V108" s="15">
        <v>2098</v>
      </c>
      <c r="W108" s="15">
        <v>10407</v>
      </c>
      <c r="X108" s="15">
        <v>12505</v>
      </c>
      <c r="Y108" s="6">
        <v>9</v>
      </c>
      <c r="Z108" s="15">
        <v>130.62</v>
      </c>
      <c r="AA108" s="15">
        <v>333.01785819999998</v>
      </c>
      <c r="AB108" s="58">
        <v>-4.47</v>
      </c>
      <c r="AC108" s="15">
        <v>12505</v>
      </c>
    </row>
    <row r="109" spans="2:29" ht="15.75" thickBot="1" x14ac:dyDescent="0.3">
      <c r="B109" s="17" t="s">
        <v>82</v>
      </c>
      <c r="C109" s="6">
        <v>2</v>
      </c>
      <c r="D109" s="6">
        <v>6</v>
      </c>
      <c r="E109" s="6">
        <v>5</v>
      </c>
      <c r="F109" s="6">
        <v>1</v>
      </c>
      <c r="G109" s="6">
        <v>4</v>
      </c>
      <c r="H109" s="6">
        <v>14</v>
      </c>
      <c r="I109" s="6">
        <v>6</v>
      </c>
      <c r="J109" s="7">
        <v>130</v>
      </c>
      <c r="K109" s="8">
        <v>3.13</v>
      </c>
      <c r="L109" s="9">
        <v>15.56</v>
      </c>
      <c r="M109" s="10">
        <v>39.200000000000003</v>
      </c>
      <c r="N109" s="10">
        <v>53.570999999999998</v>
      </c>
      <c r="O109" s="11">
        <v>46.386000000000003</v>
      </c>
      <c r="P109" s="12">
        <v>609.78</v>
      </c>
      <c r="Q109" s="12">
        <v>167.41</v>
      </c>
      <c r="R109" s="13">
        <v>388.59</v>
      </c>
      <c r="S109" s="14" t="s">
        <v>85</v>
      </c>
      <c r="T109" s="12">
        <v>63.81</v>
      </c>
      <c r="U109" s="15">
        <v>681.75</v>
      </c>
      <c r="V109" s="15">
        <v>2130</v>
      </c>
      <c r="W109" s="15">
        <v>10605</v>
      </c>
      <c r="X109" s="15">
        <v>12736</v>
      </c>
      <c r="Y109" s="6">
        <v>6</v>
      </c>
      <c r="Z109" s="15">
        <v>63.81</v>
      </c>
      <c r="AA109" s="15">
        <v>681.75265530000001</v>
      </c>
      <c r="AB109" s="80">
        <v>-2.71</v>
      </c>
      <c r="AC109" s="15">
        <v>12736</v>
      </c>
    </row>
    <row r="110" spans="2:29" ht="15.75" thickBot="1" x14ac:dyDescent="0.3">
      <c r="B110" s="17" t="s">
        <v>52</v>
      </c>
      <c r="C110" s="6">
        <v>3</v>
      </c>
      <c r="D110" s="6">
        <v>8</v>
      </c>
      <c r="E110" s="6">
        <v>8</v>
      </c>
      <c r="F110" s="6">
        <v>3</v>
      </c>
      <c r="G110" s="6">
        <v>6</v>
      </c>
      <c r="H110" s="6">
        <v>25</v>
      </c>
      <c r="I110" s="6">
        <v>6</v>
      </c>
      <c r="J110" s="7">
        <v>200</v>
      </c>
      <c r="K110" s="8">
        <v>6.08</v>
      </c>
      <c r="L110" s="9">
        <v>30.3</v>
      </c>
      <c r="M110" s="10">
        <v>20.16</v>
      </c>
      <c r="N110" s="10">
        <v>27.5</v>
      </c>
      <c r="O110" s="11">
        <v>23.832000000000001</v>
      </c>
      <c r="P110" s="12">
        <v>611.04999999999995</v>
      </c>
      <c r="Q110" s="12">
        <v>167.06</v>
      </c>
      <c r="R110" s="13">
        <v>389.06</v>
      </c>
      <c r="S110" s="14" t="s">
        <v>57</v>
      </c>
      <c r="T110" s="12">
        <v>123.73</v>
      </c>
      <c r="U110" s="15">
        <v>351.57</v>
      </c>
      <c r="V110" s="15">
        <v>2136</v>
      </c>
      <c r="W110" s="15">
        <v>10654</v>
      </c>
      <c r="X110" s="15">
        <v>12789</v>
      </c>
      <c r="Y110" s="6">
        <v>6</v>
      </c>
      <c r="Z110" s="15">
        <v>123.73</v>
      </c>
      <c r="AA110" s="15">
        <v>351.56864139999999</v>
      </c>
      <c r="AB110" s="57">
        <v>-2.2999999999999998</v>
      </c>
      <c r="AC110" s="15">
        <v>12789</v>
      </c>
    </row>
    <row r="111" spans="2:29" ht="15.75" thickBot="1" x14ac:dyDescent="0.3">
      <c r="B111" s="17" t="s">
        <v>67</v>
      </c>
      <c r="C111" s="6">
        <v>5</v>
      </c>
      <c r="D111" s="6">
        <v>10</v>
      </c>
      <c r="E111" s="6">
        <v>10</v>
      </c>
      <c r="F111" s="6">
        <v>4</v>
      </c>
      <c r="G111" s="6">
        <v>8</v>
      </c>
      <c r="H111" s="6">
        <v>40</v>
      </c>
      <c r="I111" s="6">
        <v>4</v>
      </c>
      <c r="J111" s="7">
        <v>400</v>
      </c>
      <c r="K111" s="8">
        <v>8.6999999999999993</v>
      </c>
      <c r="L111" s="9">
        <v>51.61</v>
      </c>
      <c r="M111" s="10">
        <v>14.08</v>
      </c>
      <c r="N111" s="10">
        <v>16.146000000000001</v>
      </c>
      <c r="O111" s="11">
        <v>15.113</v>
      </c>
      <c r="P111" s="12">
        <v>726.73</v>
      </c>
      <c r="Q111" s="12">
        <v>140.47</v>
      </c>
      <c r="R111" s="13">
        <v>433.6</v>
      </c>
      <c r="S111" s="14" t="s">
        <v>76</v>
      </c>
      <c r="T111" s="12">
        <v>197.67</v>
      </c>
      <c r="U111" s="15">
        <v>220.06</v>
      </c>
      <c r="V111" s="15">
        <v>1915</v>
      </c>
      <c r="W111" s="15">
        <v>11358</v>
      </c>
      <c r="X111" s="15">
        <v>13273</v>
      </c>
      <c r="Y111" s="6">
        <v>4</v>
      </c>
      <c r="Z111" s="15">
        <v>203</v>
      </c>
      <c r="AA111" s="15">
        <v>214.2857143</v>
      </c>
      <c r="AB111" s="74">
        <v>-1.27</v>
      </c>
      <c r="AC111" s="15">
        <v>12924</v>
      </c>
    </row>
    <row r="112" spans="2:29" ht="15.75" thickBot="1" x14ac:dyDescent="0.3">
      <c r="B112" s="17" t="s">
        <v>142</v>
      </c>
      <c r="C112" s="109"/>
      <c r="D112" s="6">
        <v>11</v>
      </c>
      <c r="E112" s="6">
        <v>12</v>
      </c>
      <c r="F112" s="6">
        <v>8</v>
      </c>
      <c r="G112" s="6">
        <v>10</v>
      </c>
      <c r="H112" s="6">
        <v>50</v>
      </c>
      <c r="I112" s="6">
        <v>5</v>
      </c>
      <c r="J112" s="7">
        <v>500</v>
      </c>
      <c r="K112" s="8">
        <v>13.5</v>
      </c>
      <c r="L112" s="9">
        <v>68.97</v>
      </c>
      <c r="M112" s="10">
        <v>9.07</v>
      </c>
      <c r="N112" s="10">
        <v>12.083</v>
      </c>
      <c r="O112" s="11">
        <v>10.579000000000001</v>
      </c>
      <c r="P112" s="12">
        <v>625.79999999999995</v>
      </c>
      <c r="Q112" s="12">
        <v>163.12</v>
      </c>
      <c r="R112" s="13">
        <v>394.46</v>
      </c>
      <c r="S112" s="14" t="s">
        <v>146</v>
      </c>
      <c r="T112" s="12">
        <v>277.3</v>
      </c>
      <c r="U112" s="15">
        <v>156.87</v>
      </c>
      <c r="V112" s="15">
        <v>2118</v>
      </c>
      <c r="W112" s="15">
        <v>10819</v>
      </c>
      <c r="X112" s="15">
        <v>12936</v>
      </c>
      <c r="Y112" s="6">
        <v>5</v>
      </c>
      <c r="Z112" s="15">
        <v>277.3</v>
      </c>
      <c r="AA112" s="15">
        <v>156.87060020000001</v>
      </c>
      <c r="AB112" s="112">
        <v>-1.17</v>
      </c>
      <c r="AC112" s="15">
        <v>12936</v>
      </c>
    </row>
    <row r="113" spans="2:29" ht="15.75" thickBot="1" x14ac:dyDescent="0.3">
      <c r="B113" s="17" t="s">
        <v>142</v>
      </c>
      <c r="C113" s="109"/>
      <c r="D113" s="6">
        <v>6</v>
      </c>
      <c r="E113" s="6">
        <v>5</v>
      </c>
      <c r="F113" s="6">
        <v>2</v>
      </c>
      <c r="G113" s="6">
        <v>3</v>
      </c>
      <c r="H113" s="6">
        <v>15</v>
      </c>
      <c r="I113" s="6">
        <v>6</v>
      </c>
      <c r="J113" s="7">
        <v>150</v>
      </c>
      <c r="K113" s="8">
        <v>3.13</v>
      </c>
      <c r="L113" s="9">
        <v>16.670000000000002</v>
      </c>
      <c r="M113" s="10">
        <v>39.200000000000003</v>
      </c>
      <c r="N113" s="10">
        <v>50</v>
      </c>
      <c r="O113" s="11">
        <v>44.6</v>
      </c>
      <c r="P113" s="12">
        <v>653.33000000000004</v>
      </c>
      <c r="Q113" s="12">
        <v>156.25</v>
      </c>
      <c r="R113" s="13">
        <v>404.79</v>
      </c>
      <c r="S113" s="14" t="s">
        <v>149</v>
      </c>
      <c r="T113" s="12">
        <v>66.540000000000006</v>
      </c>
      <c r="U113" s="15">
        <v>653.78</v>
      </c>
      <c r="V113" s="15">
        <v>2043</v>
      </c>
      <c r="W113" s="15">
        <v>10896</v>
      </c>
      <c r="X113" s="15">
        <v>12939</v>
      </c>
      <c r="Y113" s="6">
        <v>6</v>
      </c>
      <c r="Z113" s="15">
        <v>66.540000000000006</v>
      </c>
      <c r="AA113" s="15">
        <v>653.77902240000003</v>
      </c>
      <c r="AB113" s="112">
        <v>-1.1499999999999999</v>
      </c>
      <c r="AC113" s="15">
        <v>12939</v>
      </c>
    </row>
    <row r="114" spans="2:29" ht="15.75" thickBot="1" x14ac:dyDescent="0.3">
      <c r="B114" s="17" t="s">
        <v>52</v>
      </c>
      <c r="C114" s="6">
        <v>1</v>
      </c>
      <c r="D114" s="6">
        <v>4</v>
      </c>
      <c r="E114" s="6">
        <v>5</v>
      </c>
      <c r="F114" s="6">
        <v>1</v>
      </c>
      <c r="G114" s="6">
        <v>3</v>
      </c>
      <c r="H114" s="6">
        <v>10</v>
      </c>
      <c r="I114" s="6">
        <v>4</v>
      </c>
      <c r="J114" s="7">
        <v>60</v>
      </c>
      <c r="K114" s="8">
        <v>2.2999999999999998</v>
      </c>
      <c r="L114" s="9">
        <v>11.11</v>
      </c>
      <c r="M114" s="10">
        <v>53.26</v>
      </c>
      <c r="N114" s="10">
        <v>75</v>
      </c>
      <c r="O114" s="11">
        <v>64.13</v>
      </c>
      <c r="P114" s="12">
        <v>591.79</v>
      </c>
      <c r="Q114" s="12">
        <v>172.5</v>
      </c>
      <c r="R114" s="13">
        <v>382.14</v>
      </c>
      <c r="S114" s="14" t="s">
        <v>53</v>
      </c>
      <c r="T114" s="12">
        <v>42.39</v>
      </c>
      <c r="U114" s="15">
        <v>1026.27</v>
      </c>
      <c r="V114" s="15">
        <v>2360</v>
      </c>
      <c r="W114" s="15">
        <v>11403</v>
      </c>
      <c r="X114" s="15">
        <v>13763</v>
      </c>
      <c r="Y114" s="6">
        <v>4</v>
      </c>
      <c r="Z114" s="15">
        <v>45</v>
      </c>
      <c r="AA114" s="15">
        <v>966.66666669999995</v>
      </c>
      <c r="AB114" s="54">
        <v>-0.96</v>
      </c>
      <c r="AC114" s="15">
        <v>12964</v>
      </c>
    </row>
    <row r="115" spans="2:29" ht="15.75" thickBot="1" x14ac:dyDescent="0.3">
      <c r="B115" s="17" t="s">
        <v>20</v>
      </c>
      <c r="C115" s="6">
        <v>5</v>
      </c>
      <c r="D115" s="6">
        <v>9</v>
      </c>
      <c r="E115" s="6">
        <v>12</v>
      </c>
      <c r="F115" s="6">
        <v>10</v>
      </c>
      <c r="G115" s="6">
        <v>14</v>
      </c>
      <c r="H115" s="6">
        <v>65</v>
      </c>
      <c r="I115" s="6">
        <v>4</v>
      </c>
      <c r="J115" s="7">
        <v>425</v>
      </c>
      <c r="K115" s="8">
        <v>16.8</v>
      </c>
      <c r="L115" s="9">
        <v>89.66</v>
      </c>
      <c r="M115" s="10">
        <v>7.29</v>
      </c>
      <c r="N115" s="10">
        <v>9.2949999999999999</v>
      </c>
      <c r="O115" s="11">
        <v>8.2929999999999993</v>
      </c>
      <c r="P115" s="12">
        <v>653.74</v>
      </c>
      <c r="Q115" s="12">
        <v>156.15</v>
      </c>
      <c r="R115" s="13">
        <v>404.94</v>
      </c>
      <c r="S115" s="14" t="s">
        <v>163</v>
      </c>
      <c r="T115" s="12">
        <v>358.45</v>
      </c>
      <c r="U115" s="15">
        <v>121.36</v>
      </c>
      <c r="V115" s="15">
        <v>2039</v>
      </c>
      <c r="W115" s="15">
        <v>10880</v>
      </c>
      <c r="X115" s="15">
        <v>12919</v>
      </c>
      <c r="Y115" s="6">
        <v>4</v>
      </c>
      <c r="Z115" s="15">
        <v>357</v>
      </c>
      <c r="AA115" s="15">
        <v>121.84873949999999</v>
      </c>
      <c r="AB115" s="54">
        <v>-0.91</v>
      </c>
      <c r="AC115" s="15">
        <v>12971</v>
      </c>
    </row>
    <row r="116" spans="2:29" ht="15.75" thickBot="1" x14ac:dyDescent="0.3">
      <c r="B116" s="5" t="s">
        <v>127</v>
      </c>
      <c r="C116" s="6">
        <v>2</v>
      </c>
      <c r="D116" s="6">
        <v>5</v>
      </c>
      <c r="E116" s="6">
        <v>5</v>
      </c>
      <c r="F116" s="6">
        <v>2</v>
      </c>
      <c r="G116" s="6">
        <v>3</v>
      </c>
      <c r="H116" s="6">
        <v>20</v>
      </c>
      <c r="I116" s="6">
        <v>4</v>
      </c>
      <c r="J116" s="7">
        <v>125</v>
      </c>
      <c r="K116" s="8">
        <v>3</v>
      </c>
      <c r="L116" s="9">
        <v>22.22</v>
      </c>
      <c r="M116" s="10">
        <v>40.83</v>
      </c>
      <c r="N116" s="10">
        <v>37.5</v>
      </c>
      <c r="O116" s="11">
        <v>39.167000000000002</v>
      </c>
      <c r="P116" s="12">
        <v>907.41</v>
      </c>
      <c r="Q116" s="12">
        <v>112.5</v>
      </c>
      <c r="R116" s="13">
        <v>509.95</v>
      </c>
      <c r="S116" s="14" t="s">
        <v>131</v>
      </c>
      <c r="T116" s="12">
        <v>76.33</v>
      </c>
      <c r="U116" s="15">
        <v>569.91</v>
      </c>
      <c r="V116" s="15">
        <v>1710</v>
      </c>
      <c r="W116" s="15">
        <v>12665</v>
      </c>
      <c r="X116" s="15">
        <v>14374</v>
      </c>
      <c r="Y116" s="6">
        <v>4</v>
      </c>
      <c r="Z116" s="15">
        <v>84.5</v>
      </c>
      <c r="AA116" s="15">
        <v>514.79289940000001</v>
      </c>
      <c r="AB116" s="54">
        <v>-0.81</v>
      </c>
      <c r="AC116" s="15">
        <v>12984</v>
      </c>
    </row>
    <row r="117" spans="2:29" ht="15.75" thickBot="1" x14ac:dyDescent="0.3">
      <c r="B117" s="17" t="s">
        <v>20</v>
      </c>
      <c r="C117" s="6">
        <v>5</v>
      </c>
      <c r="D117" s="6">
        <v>9</v>
      </c>
      <c r="E117" s="6">
        <v>12</v>
      </c>
      <c r="F117" s="6">
        <v>10</v>
      </c>
      <c r="G117" s="6">
        <v>14</v>
      </c>
      <c r="H117" s="6">
        <v>55</v>
      </c>
      <c r="I117" s="6">
        <v>3</v>
      </c>
      <c r="J117" s="7">
        <v>350</v>
      </c>
      <c r="K117" s="8">
        <v>16.8</v>
      </c>
      <c r="L117" s="9">
        <v>75.86</v>
      </c>
      <c r="M117" s="10">
        <v>7.29</v>
      </c>
      <c r="N117" s="10">
        <v>10.984999999999999</v>
      </c>
      <c r="O117" s="11">
        <v>9.1379999999999999</v>
      </c>
      <c r="P117" s="12">
        <v>553.16</v>
      </c>
      <c r="Q117" s="12">
        <v>184.54</v>
      </c>
      <c r="R117" s="13">
        <v>368.85</v>
      </c>
      <c r="S117" s="14" t="s">
        <v>162</v>
      </c>
      <c r="T117" s="12">
        <v>330.19</v>
      </c>
      <c r="U117" s="15">
        <v>131.74</v>
      </c>
      <c r="V117" s="15">
        <v>2213</v>
      </c>
      <c r="W117" s="15">
        <v>9994</v>
      </c>
      <c r="X117" s="15">
        <v>12207</v>
      </c>
      <c r="Y117" s="6">
        <v>3</v>
      </c>
      <c r="Z117" s="15">
        <v>310</v>
      </c>
      <c r="AA117" s="15">
        <v>140.32258060000001</v>
      </c>
      <c r="AB117" s="44">
        <v>-0.67</v>
      </c>
      <c r="AC117" s="15">
        <v>13003</v>
      </c>
    </row>
    <row r="118" spans="2:29" ht="15.75" thickBot="1" x14ac:dyDescent="0.3">
      <c r="B118" s="17" t="s">
        <v>37</v>
      </c>
      <c r="C118" s="40">
        <v>3</v>
      </c>
      <c r="D118" s="40">
        <v>7</v>
      </c>
      <c r="E118" s="40">
        <v>10</v>
      </c>
      <c r="F118" s="40">
        <v>4</v>
      </c>
      <c r="G118" s="40">
        <v>5</v>
      </c>
      <c r="H118" s="40">
        <v>30</v>
      </c>
      <c r="I118" s="40">
        <v>3</v>
      </c>
      <c r="J118" s="41">
        <v>150</v>
      </c>
      <c r="K118" s="42">
        <v>5.85</v>
      </c>
      <c r="L118" s="43">
        <v>38.71</v>
      </c>
      <c r="M118" s="10">
        <v>20.94</v>
      </c>
      <c r="N118" s="10">
        <v>21.527999999999999</v>
      </c>
      <c r="O118" s="11">
        <v>21.234000000000002</v>
      </c>
      <c r="P118" s="12">
        <v>810.59</v>
      </c>
      <c r="Q118" s="12">
        <v>125.94</v>
      </c>
      <c r="R118" s="13">
        <v>468.26</v>
      </c>
      <c r="S118" s="14" t="s">
        <v>42</v>
      </c>
      <c r="T118" s="12">
        <v>147</v>
      </c>
      <c r="U118" s="15">
        <v>295.92</v>
      </c>
      <c r="V118" s="15">
        <v>1731</v>
      </c>
      <c r="W118" s="15">
        <v>11455</v>
      </c>
      <c r="X118" s="15">
        <v>13186</v>
      </c>
      <c r="Y118" s="40">
        <v>3</v>
      </c>
      <c r="Z118" s="15">
        <v>149</v>
      </c>
      <c r="AA118" s="15">
        <v>291.94630869999997</v>
      </c>
      <c r="AB118" s="44">
        <v>-0.62</v>
      </c>
      <c r="AC118" s="15">
        <v>13009</v>
      </c>
    </row>
    <row r="119" spans="2:29" ht="15.75" thickBot="1" x14ac:dyDescent="0.3">
      <c r="B119" s="17" t="s">
        <v>20</v>
      </c>
      <c r="C119" s="6">
        <v>2</v>
      </c>
      <c r="D119" s="6">
        <v>6</v>
      </c>
      <c r="E119" s="6">
        <v>7</v>
      </c>
      <c r="F119" s="6">
        <v>2</v>
      </c>
      <c r="G119" s="6">
        <v>4</v>
      </c>
      <c r="H119" s="6">
        <v>20</v>
      </c>
      <c r="I119" s="6">
        <v>3</v>
      </c>
      <c r="J119" s="7">
        <v>120</v>
      </c>
      <c r="K119" s="8">
        <v>3.75</v>
      </c>
      <c r="L119" s="9">
        <v>23.53</v>
      </c>
      <c r="M119" s="10">
        <v>32.67</v>
      </c>
      <c r="N119" s="10">
        <v>35.417000000000002</v>
      </c>
      <c r="O119" s="11">
        <v>34.042000000000002</v>
      </c>
      <c r="P119" s="12">
        <v>768.63</v>
      </c>
      <c r="Q119" s="12">
        <v>132.81</v>
      </c>
      <c r="R119" s="13">
        <v>450.72</v>
      </c>
      <c r="S119" s="14" t="s">
        <v>156</v>
      </c>
      <c r="T119" s="12">
        <v>86.95</v>
      </c>
      <c r="U119" s="15">
        <v>500.31</v>
      </c>
      <c r="V119" s="15">
        <v>1876</v>
      </c>
      <c r="W119" s="15">
        <v>11772</v>
      </c>
      <c r="X119" s="15">
        <v>13648</v>
      </c>
      <c r="Y119" s="6">
        <v>3</v>
      </c>
      <c r="Z119" s="15">
        <v>91</v>
      </c>
      <c r="AA119" s="15">
        <v>478.02197799999999</v>
      </c>
      <c r="AB119" s="23">
        <v>-0.38</v>
      </c>
      <c r="AC119" s="15">
        <v>13040</v>
      </c>
    </row>
    <row r="120" spans="2:29" ht="15.75" thickBot="1" x14ac:dyDescent="0.3">
      <c r="B120" s="17" t="s">
        <v>22</v>
      </c>
      <c r="C120" s="6">
        <v>4</v>
      </c>
      <c r="D120" s="6">
        <v>13</v>
      </c>
      <c r="E120" s="6">
        <v>7</v>
      </c>
      <c r="F120" s="6">
        <v>6</v>
      </c>
      <c r="G120" s="6">
        <v>12</v>
      </c>
      <c r="H120" s="6">
        <v>40</v>
      </c>
      <c r="I120" s="6">
        <v>4</v>
      </c>
      <c r="J120" s="7">
        <v>300</v>
      </c>
      <c r="K120" s="8">
        <v>14.4</v>
      </c>
      <c r="L120" s="9">
        <v>47.06</v>
      </c>
      <c r="M120" s="10">
        <v>8.51</v>
      </c>
      <c r="N120" s="10">
        <v>17.707999999999998</v>
      </c>
      <c r="O120" s="11">
        <v>13.108000000000001</v>
      </c>
      <c r="P120" s="12">
        <v>400.33</v>
      </c>
      <c r="Q120" s="12">
        <v>255</v>
      </c>
      <c r="R120" s="13">
        <v>327.66000000000003</v>
      </c>
      <c r="S120" s="14" t="s">
        <v>29</v>
      </c>
      <c r="T120" s="12">
        <v>238.61</v>
      </c>
      <c r="U120" s="15">
        <v>182.3</v>
      </c>
      <c r="V120" s="15">
        <v>2625</v>
      </c>
      <c r="W120" s="15">
        <v>8579</v>
      </c>
      <c r="X120" s="15">
        <v>11204</v>
      </c>
      <c r="Y120" s="6">
        <v>4</v>
      </c>
      <c r="Z120" s="15">
        <v>205</v>
      </c>
      <c r="AA120" s="15">
        <v>212.195122</v>
      </c>
      <c r="AB120" s="23">
        <v>-0.37</v>
      </c>
      <c r="AC120" s="15">
        <v>13041</v>
      </c>
    </row>
    <row r="121" spans="2:29" ht="15.75" thickBot="1" x14ac:dyDescent="0.3">
      <c r="B121" s="17" t="s">
        <v>82</v>
      </c>
      <c r="C121" s="6">
        <v>1</v>
      </c>
      <c r="D121" s="6">
        <v>4</v>
      </c>
      <c r="E121" s="6">
        <v>3</v>
      </c>
      <c r="F121" s="6">
        <v>1</v>
      </c>
      <c r="G121" s="6">
        <v>3</v>
      </c>
      <c r="H121" s="6">
        <v>5</v>
      </c>
      <c r="I121" s="6">
        <v>4</v>
      </c>
      <c r="J121" s="7">
        <v>50</v>
      </c>
      <c r="K121" s="8">
        <v>2.2999999999999998</v>
      </c>
      <c r="L121" s="9">
        <v>5.26</v>
      </c>
      <c r="M121" s="10">
        <v>53.26</v>
      </c>
      <c r="N121" s="10">
        <v>158.333</v>
      </c>
      <c r="O121" s="11">
        <v>105.797</v>
      </c>
      <c r="P121" s="12">
        <v>280.32</v>
      </c>
      <c r="Q121" s="12">
        <v>364.17</v>
      </c>
      <c r="R121" s="13">
        <v>322.24</v>
      </c>
      <c r="S121" s="14" t="s">
        <v>83</v>
      </c>
      <c r="T121" s="12">
        <v>31.08</v>
      </c>
      <c r="U121" s="15">
        <v>1399.61</v>
      </c>
      <c r="V121" s="15">
        <v>3219</v>
      </c>
      <c r="W121" s="15">
        <v>7366</v>
      </c>
      <c r="X121" s="15">
        <v>10586</v>
      </c>
      <c r="Y121" s="6">
        <v>4</v>
      </c>
      <c r="Z121" s="15">
        <v>25.2</v>
      </c>
      <c r="AA121" s="15">
        <v>1726.190476</v>
      </c>
      <c r="AB121" s="23">
        <v>-0.26</v>
      </c>
      <c r="AC121" s="15">
        <v>13055</v>
      </c>
    </row>
    <row r="122" spans="2:29" ht="15.75" thickBot="1" x14ac:dyDescent="0.3">
      <c r="B122" s="17" t="s">
        <v>127</v>
      </c>
      <c r="C122" s="6">
        <v>1</v>
      </c>
      <c r="D122" s="6">
        <v>5</v>
      </c>
      <c r="E122" s="6">
        <v>4</v>
      </c>
      <c r="F122" s="6">
        <v>1</v>
      </c>
      <c r="G122" s="6">
        <v>3</v>
      </c>
      <c r="H122" s="6">
        <v>6</v>
      </c>
      <c r="I122" s="6">
        <v>4</v>
      </c>
      <c r="J122" s="7">
        <v>60</v>
      </c>
      <c r="K122" s="8">
        <v>2.4</v>
      </c>
      <c r="L122" s="9">
        <v>6.49</v>
      </c>
      <c r="M122" s="10">
        <v>51.04</v>
      </c>
      <c r="N122" s="10">
        <v>128.47200000000001</v>
      </c>
      <c r="O122" s="11">
        <v>89.757000000000005</v>
      </c>
      <c r="P122" s="12">
        <v>331.08</v>
      </c>
      <c r="Q122" s="12">
        <v>308.33</v>
      </c>
      <c r="R122" s="13">
        <v>319.70999999999998</v>
      </c>
      <c r="S122" s="14" t="s">
        <v>128</v>
      </c>
      <c r="T122" s="12">
        <v>36.880000000000003</v>
      </c>
      <c r="U122" s="15">
        <v>1179.42</v>
      </c>
      <c r="V122" s="15">
        <v>2831</v>
      </c>
      <c r="W122" s="15">
        <v>7650</v>
      </c>
      <c r="X122" s="15">
        <v>10481</v>
      </c>
      <c r="Y122" s="6">
        <v>4</v>
      </c>
      <c r="Z122" s="15">
        <v>29.6</v>
      </c>
      <c r="AA122" s="15">
        <v>1469.594595</v>
      </c>
      <c r="AB122" s="23">
        <v>-0.23</v>
      </c>
      <c r="AC122" s="15">
        <v>13060</v>
      </c>
    </row>
    <row r="123" spans="2:29" ht="15.75" thickBot="1" x14ac:dyDescent="0.3">
      <c r="B123" s="31" t="s">
        <v>37</v>
      </c>
      <c r="C123" s="32">
        <v>1</v>
      </c>
      <c r="D123" s="32">
        <v>3</v>
      </c>
      <c r="E123" s="32">
        <v>3</v>
      </c>
      <c r="F123" s="32">
        <v>1</v>
      </c>
      <c r="G123" s="32">
        <v>2</v>
      </c>
      <c r="H123" s="32">
        <v>4</v>
      </c>
      <c r="I123" s="32">
        <v>4</v>
      </c>
      <c r="J123" s="33">
        <v>30</v>
      </c>
      <c r="K123" s="34">
        <v>1.65</v>
      </c>
      <c r="L123" s="35">
        <v>4.21</v>
      </c>
      <c r="M123" s="10">
        <v>74.239999999999995</v>
      </c>
      <c r="N123" s="10">
        <v>197.916</v>
      </c>
      <c r="O123" s="11">
        <v>136.07900000000001</v>
      </c>
      <c r="P123" s="12">
        <v>312.60000000000002</v>
      </c>
      <c r="Q123" s="12">
        <v>326.56</v>
      </c>
      <c r="R123" s="13">
        <v>319.58</v>
      </c>
      <c r="S123" s="14" t="s">
        <v>38</v>
      </c>
      <c r="T123" s="12">
        <v>24.29</v>
      </c>
      <c r="U123" s="15">
        <v>1790.69</v>
      </c>
      <c r="V123" s="15">
        <v>2955</v>
      </c>
      <c r="W123" s="15">
        <v>7540</v>
      </c>
      <c r="X123" s="15">
        <v>10494</v>
      </c>
      <c r="Y123" s="32">
        <v>4</v>
      </c>
      <c r="Z123" s="15">
        <v>19.5</v>
      </c>
      <c r="AA123" s="15">
        <v>2230.7692310000002</v>
      </c>
      <c r="AB123" s="36">
        <v>-0.13</v>
      </c>
      <c r="AC123" s="15">
        <v>13073</v>
      </c>
    </row>
    <row r="124" spans="2:29" ht="15.75" thickBot="1" x14ac:dyDescent="0.3">
      <c r="B124" s="17" t="s">
        <v>97</v>
      </c>
      <c r="C124" s="6">
        <v>1</v>
      </c>
      <c r="D124" s="6">
        <v>3</v>
      </c>
      <c r="E124" s="6">
        <v>5</v>
      </c>
      <c r="F124" s="6">
        <v>2</v>
      </c>
      <c r="G124" s="6">
        <v>3</v>
      </c>
      <c r="H124" s="6">
        <v>6</v>
      </c>
      <c r="I124" s="6">
        <v>4</v>
      </c>
      <c r="J124" s="7">
        <v>50</v>
      </c>
      <c r="K124" s="8">
        <v>2.75</v>
      </c>
      <c r="L124" s="9">
        <v>6.67</v>
      </c>
      <c r="M124" s="10">
        <v>44.55</v>
      </c>
      <c r="N124" s="10">
        <v>125</v>
      </c>
      <c r="O124" s="11">
        <v>84.772000000000006</v>
      </c>
      <c r="P124" s="12">
        <v>296.97000000000003</v>
      </c>
      <c r="Q124" s="12">
        <v>343.75</v>
      </c>
      <c r="R124" s="13">
        <v>320.36</v>
      </c>
      <c r="S124" s="14" t="s">
        <v>98</v>
      </c>
      <c r="T124" s="12">
        <v>39.950000000000003</v>
      </c>
      <c r="U124" s="15">
        <v>1088.97</v>
      </c>
      <c r="V124" s="15">
        <v>2995</v>
      </c>
      <c r="W124" s="15">
        <v>7260</v>
      </c>
      <c r="X124" s="15">
        <v>10255</v>
      </c>
      <c r="Y124" s="6">
        <v>4</v>
      </c>
      <c r="Z124" s="15">
        <v>31.3</v>
      </c>
      <c r="AA124" s="15">
        <v>1389.7763580000001</v>
      </c>
      <c r="AB124" s="36">
        <v>-0.02</v>
      </c>
      <c r="AC124" s="15">
        <v>13087</v>
      </c>
    </row>
    <row r="125" spans="2:29" ht="15.75" thickBot="1" x14ac:dyDescent="0.3">
      <c r="B125" s="17" t="s">
        <v>67</v>
      </c>
      <c r="C125" s="6">
        <v>4</v>
      </c>
      <c r="D125" s="6">
        <v>10</v>
      </c>
      <c r="E125" s="6">
        <v>8</v>
      </c>
      <c r="F125" s="6">
        <v>4</v>
      </c>
      <c r="G125" s="6">
        <v>6</v>
      </c>
      <c r="H125" s="6">
        <v>35</v>
      </c>
      <c r="I125" s="6">
        <v>6</v>
      </c>
      <c r="J125" s="7">
        <v>350</v>
      </c>
      <c r="K125" s="8">
        <v>7.25</v>
      </c>
      <c r="L125" s="9">
        <v>42.42</v>
      </c>
      <c r="M125" s="10">
        <v>16.899999999999999</v>
      </c>
      <c r="N125" s="10">
        <v>19.643000000000001</v>
      </c>
      <c r="O125" s="11">
        <v>18.27</v>
      </c>
      <c r="P125" s="12">
        <v>716.82</v>
      </c>
      <c r="Q125" s="12">
        <v>142.41</v>
      </c>
      <c r="R125" s="13">
        <v>429.62</v>
      </c>
      <c r="S125" s="14" t="s">
        <v>74</v>
      </c>
      <c r="T125" s="12">
        <v>164.25</v>
      </c>
      <c r="U125" s="15">
        <v>264.83999999999997</v>
      </c>
      <c r="V125" s="15">
        <v>1920</v>
      </c>
      <c r="W125" s="15">
        <v>11235</v>
      </c>
      <c r="X125" s="15">
        <v>13156</v>
      </c>
      <c r="Y125" s="6">
        <v>6</v>
      </c>
      <c r="Z125" s="15">
        <v>164.25</v>
      </c>
      <c r="AA125" s="15">
        <v>264.83600560000002</v>
      </c>
      <c r="AB125" s="72">
        <v>0.5</v>
      </c>
      <c r="AC125" s="15">
        <v>13156</v>
      </c>
    </row>
    <row r="126" spans="2:29" ht="15.75" thickBot="1" x14ac:dyDescent="0.3">
      <c r="B126" s="17" t="s">
        <v>127</v>
      </c>
      <c r="C126" s="6">
        <v>2</v>
      </c>
      <c r="D126" s="6">
        <v>5</v>
      </c>
      <c r="E126" s="6">
        <v>5</v>
      </c>
      <c r="F126" s="6">
        <v>2</v>
      </c>
      <c r="G126" s="6">
        <v>3</v>
      </c>
      <c r="H126" s="6">
        <v>15</v>
      </c>
      <c r="I126" s="6">
        <v>3</v>
      </c>
      <c r="J126" s="7">
        <v>100</v>
      </c>
      <c r="K126" s="8">
        <v>3</v>
      </c>
      <c r="L126" s="9">
        <v>16.670000000000002</v>
      </c>
      <c r="M126" s="10">
        <v>40.83</v>
      </c>
      <c r="N126" s="10">
        <v>50</v>
      </c>
      <c r="O126" s="11">
        <v>45.417000000000002</v>
      </c>
      <c r="P126" s="12">
        <v>680.56</v>
      </c>
      <c r="Q126" s="12">
        <v>150</v>
      </c>
      <c r="R126" s="13">
        <v>415.28</v>
      </c>
      <c r="S126" s="14" t="s">
        <v>130</v>
      </c>
      <c r="T126" s="12">
        <v>65</v>
      </c>
      <c r="U126" s="15">
        <v>669.23</v>
      </c>
      <c r="V126" s="15">
        <v>2008</v>
      </c>
      <c r="W126" s="15">
        <v>11154</v>
      </c>
      <c r="X126" s="15">
        <v>13162</v>
      </c>
      <c r="Y126" s="6">
        <v>3</v>
      </c>
      <c r="Z126" s="15">
        <v>65</v>
      </c>
      <c r="AA126" s="15">
        <v>669.23076920000005</v>
      </c>
      <c r="AB126" s="100">
        <v>0.55000000000000004</v>
      </c>
      <c r="AC126" s="15">
        <v>13162</v>
      </c>
    </row>
    <row r="127" spans="2:29" ht="15.75" thickBot="1" x14ac:dyDescent="0.3">
      <c r="B127" s="17" t="s">
        <v>142</v>
      </c>
      <c r="C127" s="109"/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3</v>
      </c>
      <c r="J127" s="7">
        <v>10</v>
      </c>
      <c r="K127" s="8">
        <v>1</v>
      </c>
      <c r="L127" s="9">
        <v>1</v>
      </c>
      <c r="M127" s="10">
        <v>122.5</v>
      </c>
      <c r="N127" s="10">
        <v>833.33</v>
      </c>
      <c r="O127" s="11">
        <v>477.91500000000002</v>
      </c>
      <c r="P127" s="12">
        <v>122.5</v>
      </c>
      <c r="Q127" s="12">
        <v>833.33</v>
      </c>
      <c r="R127" s="13">
        <v>477.92</v>
      </c>
      <c r="S127" s="14" t="s">
        <v>143</v>
      </c>
      <c r="T127" s="12">
        <v>10</v>
      </c>
      <c r="U127" s="15">
        <v>4350</v>
      </c>
      <c r="V127" s="15">
        <v>4350</v>
      </c>
      <c r="W127" s="15">
        <v>4350</v>
      </c>
      <c r="X127" s="15">
        <v>8700</v>
      </c>
      <c r="Y127" s="6">
        <v>3</v>
      </c>
      <c r="Z127" s="15">
        <v>6.6</v>
      </c>
      <c r="AA127" s="15">
        <v>6590.9090910000004</v>
      </c>
      <c r="AB127" s="110">
        <v>0.7</v>
      </c>
      <c r="AC127" s="15">
        <v>13182</v>
      </c>
    </row>
    <row r="128" spans="2:29" ht="15.75" thickBot="1" x14ac:dyDescent="0.3">
      <c r="B128" s="5" t="s">
        <v>37</v>
      </c>
      <c r="C128" s="6">
        <v>2</v>
      </c>
      <c r="D128" s="6">
        <v>7</v>
      </c>
      <c r="E128" s="6">
        <v>7</v>
      </c>
      <c r="F128" s="6">
        <v>2</v>
      </c>
      <c r="G128" s="6">
        <v>3</v>
      </c>
      <c r="H128" s="6">
        <v>16</v>
      </c>
      <c r="I128" s="6">
        <v>9</v>
      </c>
      <c r="J128" s="7">
        <v>160</v>
      </c>
      <c r="K128" s="8">
        <v>3.25</v>
      </c>
      <c r="L128" s="9">
        <v>18.82</v>
      </c>
      <c r="M128" s="10">
        <v>37.69</v>
      </c>
      <c r="N128" s="10">
        <v>44.271000000000001</v>
      </c>
      <c r="O128" s="11">
        <v>40.981000000000002</v>
      </c>
      <c r="P128" s="12">
        <v>709.5</v>
      </c>
      <c r="Q128" s="12">
        <v>143.88</v>
      </c>
      <c r="R128" s="13">
        <v>426.69</v>
      </c>
      <c r="S128" s="14" t="s">
        <v>41</v>
      </c>
      <c r="T128" s="12">
        <v>71.62</v>
      </c>
      <c r="U128" s="15">
        <v>607.35</v>
      </c>
      <c r="V128" s="15">
        <v>1974</v>
      </c>
      <c r="W128" s="15">
        <v>11432</v>
      </c>
      <c r="X128" s="15">
        <v>13406</v>
      </c>
      <c r="Y128" s="6">
        <v>9</v>
      </c>
      <c r="Z128" s="15">
        <v>71.62</v>
      </c>
      <c r="AA128" s="15">
        <v>607.34734830000002</v>
      </c>
      <c r="AB128" s="39">
        <v>2.42</v>
      </c>
      <c r="AC128" s="15">
        <v>13406</v>
      </c>
    </row>
    <row r="129" spans="2:29" ht="15.75" thickBot="1" x14ac:dyDescent="0.3">
      <c r="B129" s="17" t="s">
        <v>97</v>
      </c>
      <c r="C129" s="6">
        <v>3</v>
      </c>
      <c r="D129" s="6">
        <v>7</v>
      </c>
      <c r="E129" s="6">
        <v>9</v>
      </c>
      <c r="F129" s="6">
        <v>2</v>
      </c>
      <c r="G129" s="6">
        <v>5</v>
      </c>
      <c r="H129" s="6">
        <v>20</v>
      </c>
      <c r="I129" s="6">
        <v>9</v>
      </c>
      <c r="J129" s="7">
        <v>220</v>
      </c>
      <c r="K129" s="8">
        <v>4.55</v>
      </c>
      <c r="L129" s="9">
        <v>25</v>
      </c>
      <c r="M129" s="10">
        <v>26.92</v>
      </c>
      <c r="N129" s="10">
        <v>33.332999999999998</v>
      </c>
      <c r="O129" s="11">
        <v>30.128</v>
      </c>
      <c r="P129" s="12">
        <v>673.08</v>
      </c>
      <c r="Q129" s="12">
        <v>151.66999999999999</v>
      </c>
      <c r="R129" s="13">
        <v>412.37</v>
      </c>
      <c r="S129" s="14" t="s">
        <v>102</v>
      </c>
      <c r="T129" s="12">
        <v>95.86</v>
      </c>
      <c r="U129" s="15">
        <v>453.78</v>
      </c>
      <c r="V129" s="15">
        <v>2065</v>
      </c>
      <c r="W129" s="15">
        <v>11344</v>
      </c>
      <c r="X129" s="15">
        <v>13409</v>
      </c>
      <c r="Y129" s="6">
        <v>9</v>
      </c>
      <c r="Z129" s="15">
        <v>95.86</v>
      </c>
      <c r="AA129" s="15">
        <v>453.7793499</v>
      </c>
      <c r="AB129" s="39">
        <v>2.44</v>
      </c>
      <c r="AC129" s="15">
        <v>13409</v>
      </c>
    </row>
    <row r="130" spans="2:29" ht="15.75" thickBot="1" x14ac:dyDescent="0.3">
      <c r="B130" s="5" t="s">
        <v>20</v>
      </c>
      <c r="C130" s="6">
        <v>2</v>
      </c>
      <c r="D130" s="6">
        <v>7</v>
      </c>
      <c r="E130" s="6">
        <v>7</v>
      </c>
      <c r="F130" s="6">
        <v>2</v>
      </c>
      <c r="G130" s="6">
        <v>4</v>
      </c>
      <c r="H130" s="6">
        <v>20</v>
      </c>
      <c r="I130" s="6">
        <v>5</v>
      </c>
      <c r="J130" s="7">
        <v>150</v>
      </c>
      <c r="K130" s="8">
        <v>3.9</v>
      </c>
      <c r="L130" s="9">
        <v>23.53</v>
      </c>
      <c r="M130" s="10">
        <v>31.41</v>
      </c>
      <c r="N130" s="10">
        <v>35.417000000000002</v>
      </c>
      <c r="O130" s="11">
        <v>33.412999999999997</v>
      </c>
      <c r="P130" s="12">
        <v>739.06</v>
      </c>
      <c r="Q130" s="12">
        <v>138.12</v>
      </c>
      <c r="R130" s="13">
        <v>438.59</v>
      </c>
      <c r="S130" s="14" t="s">
        <v>157</v>
      </c>
      <c r="T130" s="12">
        <v>88.78</v>
      </c>
      <c r="U130" s="15">
        <v>489.97</v>
      </c>
      <c r="V130" s="15">
        <v>1911</v>
      </c>
      <c r="W130" s="15">
        <v>11529</v>
      </c>
      <c r="X130" s="15">
        <v>13439</v>
      </c>
      <c r="Y130" s="6">
        <v>5</v>
      </c>
      <c r="Z130" s="15">
        <v>88.78</v>
      </c>
      <c r="AA130" s="15">
        <v>489.96610779999997</v>
      </c>
      <c r="AB130" s="121">
        <v>2.67</v>
      </c>
      <c r="AC130" s="15">
        <v>13439</v>
      </c>
    </row>
    <row r="131" spans="2:29" ht="15.75" thickBot="1" x14ac:dyDescent="0.3">
      <c r="B131" s="17" t="s">
        <v>37</v>
      </c>
      <c r="C131" s="6">
        <v>2</v>
      </c>
      <c r="D131" s="6">
        <v>6</v>
      </c>
      <c r="E131" s="6">
        <v>6</v>
      </c>
      <c r="F131" s="6">
        <v>2</v>
      </c>
      <c r="G131" s="6">
        <v>3</v>
      </c>
      <c r="H131" s="6">
        <v>16</v>
      </c>
      <c r="I131" s="6">
        <v>6</v>
      </c>
      <c r="J131" s="7">
        <v>130</v>
      </c>
      <c r="K131" s="8">
        <v>3.13</v>
      </c>
      <c r="L131" s="9">
        <v>18.29</v>
      </c>
      <c r="M131" s="10">
        <v>39.200000000000003</v>
      </c>
      <c r="N131" s="10">
        <v>45.573</v>
      </c>
      <c r="O131" s="11">
        <v>42.386000000000003</v>
      </c>
      <c r="P131" s="12">
        <v>716.8</v>
      </c>
      <c r="Q131" s="12">
        <v>142.41</v>
      </c>
      <c r="R131" s="13">
        <v>429.61</v>
      </c>
      <c r="S131" s="14" t="s">
        <v>40</v>
      </c>
      <c r="T131" s="12">
        <v>69.03</v>
      </c>
      <c r="U131" s="15">
        <v>630.16</v>
      </c>
      <c r="V131" s="15">
        <v>1969</v>
      </c>
      <c r="W131" s="15">
        <v>11523</v>
      </c>
      <c r="X131" s="15">
        <v>13492</v>
      </c>
      <c r="Y131" s="6">
        <v>6</v>
      </c>
      <c r="Z131" s="15">
        <v>69.03</v>
      </c>
      <c r="AA131" s="15">
        <v>630.15899260000003</v>
      </c>
      <c r="AB131" s="38">
        <v>3.07</v>
      </c>
      <c r="AC131" s="15">
        <v>13492</v>
      </c>
    </row>
    <row r="132" spans="2:29" ht="15.75" thickBot="1" x14ac:dyDescent="0.3">
      <c r="B132" s="17" t="s">
        <v>67</v>
      </c>
      <c r="C132" s="6">
        <v>3</v>
      </c>
      <c r="D132" s="6">
        <v>8</v>
      </c>
      <c r="E132" s="6">
        <v>10</v>
      </c>
      <c r="F132" s="6">
        <v>3</v>
      </c>
      <c r="G132" s="6">
        <v>7</v>
      </c>
      <c r="H132" s="6">
        <v>30</v>
      </c>
      <c r="I132" s="6">
        <v>5</v>
      </c>
      <c r="J132" s="7">
        <v>300</v>
      </c>
      <c r="K132" s="8">
        <v>6.75</v>
      </c>
      <c r="L132" s="9">
        <v>38.71</v>
      </c>
      <c r="M132" s="10">
        <v>18.149999999999999</v>
      </c>
      <c r="N132" s="10">
        <v>21.527999999999999</v>
      </c>
      <c r="O132" s="11">
        <v>19.838000000000001</v>
      </c>
      <c r="P132" s="12">
        <v>702.51</v>
      </c>
      <c r="Q132" s="12">
        <v>145.31</v>
      </c>
      <c r="R132" s="13">
        <v>423.91</v>
      </c>
      <c r="S132" s="14" t="s">
        <v>72</v>
      </c>
      <c r="T132" s="12">
        <v>144.76</v>
      </c>
      <c r="U132" s="15">
        <v>300.51</v>
      </c>
      <c r="V132" s="15">
        <v>2028</v>
      </c>
      <c r="W132" s="15">
        <v>11632</v>
      </c>
      <c r="X132" s="15">
        <v>13661</v>
      </c>
      <c r="Y132" s="6">
        <v>5</v>
      </c>
      <c r="Z132" s="15">
        <v>144.76</v>
      </c>
      <c r="AA132" s="15">
        <v>300.50588320000003</v>
      </c>
      <c r="AB132" s="70">
        <v>4.3600000000000003</v>
      </c>
      <c r="AC132" s="15">
        <v>13661</v>
      </c>
    </row>
    <row r="133" spans="2:29" ht="15.75" thickBot="1" x14ac:dyDescent="0.3">
      <c r="B133" s="17" t="s">
        <v>142</v>
      </c>
      <c r="C133" s="109"/>
      <c r="D133" s="6">
        <v>7</v>
      </c>
      <c r="E133" s="6">
        <v>7</v>
      </c>
      <c r="F133" s="6">
        <v>3</v>
      </c>
      <c r="G133" s="6">
        <v>5</v>
      </c>
      <c r="H133" s="6">
        <v>30</v>
      </c>
      <c r="I133" s="6">
        <v>5</v>
      </c>
      <c r="J133" s="7">
        <v>300</v>
      </c>
      <c r="K133" s="8">
        <v>5.2</v>
      </c>
      <c r="L133" s="9">
        <v>35.29</v>
      </c>
      <c r="M133" s="10">
        <v>23.56</v>
      </c>
      <c r="N133" s="10">
        <v>23.611000000000001</v>
      </c>
      <c r="O133" s="11">
        <v>23.584</v>
      </c>
      <c r="P133" s="12">
        <v>831.45</v>
      </c>
      <c r="Q133" s="12">
        <v>122.78</v>
      </c>
      <c r="R133" s="13">
        <v>477.11</v>
      </c>
      <c r="S133" s="14" t="s">
        <v>147</v>
      </c>
      <c r="T133" s="12">
        <v>127.95</v>
      </c>
      <c r="U133" s="15">
        <v>339.99</v>
      </c>
      <c r="V133" s="15">
        <v>1768</v>
      </c>
      <c r="W133" s="15">
        <v>12000</v>
      </c>
      <c r="X133" s="15">
        <v>13768</v>
      </c>
      <c r="Y133" s="6">
        <v>5</v>
      </c>
      <c r="Z133" s="15">
        <v>127.95</v>
      </c>
      <c r="AA133" s="15">
        <v>339.98805959999999</v>
      </c>
      <c r="AB133" s="113">
        <v>5.18</v>
      </c>
      <c r="AC133" s="15">
        <v>13768</v>
      </c>
    </row>
    <row r="134" spans="2:29" ht="15.75" thickBot="1" x14ac:dyDescent="0.3">
      <c r="B134" s="17" t="s">
        <v>142</v>
      </c>
      <c r="C134" s="109"/>
      <c r="D134" s="6">
        <v>9</v>
      </c>
      <c r="E134" s="6">
        <v>8</v>
      </c>
      <c r="F134" s="6">
        <v>2</v>
      </c>
      <c r="G134" s="6">
        <v>6</v>
      </c>
      <c r="H134" s="6">
        <v>30</v>
      </c>
      <c r="I134" s="6">
        <v>7</v>
      </c>
      <c r="J134" s="7">
        <v>200</v>
      </c>
      <c r="K134" s="8">
        <v>5.6</v>
      </c>
      <c r="L134" s="9">
        <v>36.36</v>
      </c>
      <c r="M134" s="10">
        <v>21.88</v>
      </c>
      <c r="N134" s="10">
        <v>22.917000000000002</v>
      </c>
      <c r="O134" s="11">
        <v>22.396000000000001</v>
      </c>
      <c r="P134" s="12">
        <v>795.45</v>
      </c>
      <c r="Q134" s="12">
        <v>128.33000000000001</v>
      </c>
      <c r="R134" s="13">
        <v>461.89</v>
      </c>
      <c r="S134" s="14" t="s">
        <v>151</v>
      </c>
      <c r="T134" s="12">
        <v>129.84</v>
      </c>
      <c r="U134" s="15">
        <v>335.02</v>
      </c>
      <c r="V134" s="15">
        <v>1876</v>
      </c>
      <c r="W134" s="15">
        <v>12182</v>
      </c>
      <c r="X134" s="15">
        <v>14059</v>
      </c>
      <c r="Y134" s="6">
        <v>7</v>
      </c>
      <c r="Z134" s="15">
        <v>129.84</v>
      </c>
      <c r="AA134" s="15">
        <v>335.01859619999999</v>
      </c>
      <c r="AB134" s="119">
        <v>7.4</v>
      </c>
      <c r="AC134" s="15">
        <v>14059</v>
      </c>
    </row>
    <row r="135" spans="2:29" ht="15.75" thickBot="1" x14ac:dyDescent="0.3">
      <c r="B135" s="5" t="s">
        <v>52</v>
      </c>
      <c r="C135" s="6">
        <v>7</v>
      </c>
      <c r="D135" s="6">
        <v>30</v>
      </c>
      <c r="E135" s="6">
        <v>30</v>
      </c>
      <c r="F135" s="6">
        <v>50</v>
      </c>
      <c r="G135" s="6">
        <v>50</v>
      </c>
      <c r="H135" s="6">
        <v>250</v>
      </c>
      <c r="I135" s="6">
        <v>18</v>
      </c>
      <c r="J135" s="7">
        <v>5000</v>
      </c>
      <c r="K135" s="8">
        <v>122.5</v>
      </c>
      <c r="L135" s="9">
        <v>833.33</v>
      </c>
      <c r="M135" s="10">
        <v>1</v>
      </c>
      <c r="N135" s="10">
        <v>1</v>
      </c>
      <c r="O135" s="11">
        <v>1</v>
      </c>
      <c r="P135" s="12">
        <v>833.33</v>
      </c>
      <c r="Q135" s="12">
        <v>122.5</v>
      </c>
      <c r="R135" s="13">
        <v>477.92</v>
      </c>
      <c r="S135" s="14" t="s">
        <v>66</v>
      </c>
      <c r="T135" s="12">
        <v>2896.93</v>
      </c>
      <c r="U135" s="15">
        <v>15.02</v>
      </c>
      <c r="V135" s="15">
        <v>1839</v>
      </c>
      <c r="W135" s="15">
        <v>12513</v>
      </c>
      <c r="X135" s="15">
        <v>14353</v>
      </c>
      <c r="Y135" s="6">
        <v>18</v>
      </c>
      <c r="Z135" s="15">
        <v>2896.93</v>
      </c>
      <c r="AA135" s="15">
        <v>15.01592181</v>
      </c>
      <c r="AB135" s="65">
        <v>9.65</v>
      </c>
      <c r="AC135" s="15">
        <v>14353</v>
      </c>
    </row>
    <row r="136" spans="2:29" ht="15.75" thickBot="1" x14ac:dyDescent="0.3">
      <c r="B136" s="5" t="s">
        <v>37</v>
      </c>
      <c r="C136" s="6">
        <v>3</v>
      </c>
      <c r="D136" s="6">
        <v>9</v>
      </c>
      <c r="E136" s="6">
        <v>10</v>
      </c>
      <c r="F136" s="6">
        <v>4</v>
      </c>
      <c r="G136" s="6">
        <v>5</v>
      </c>
      <c r="H136" s="6">
        <v>35</v>
      </c>
      <c r="I136" s="6">
        <v>5</v>
      </c>
      <c r="J136" s="7">
        <v>200</v>
      </c>
      <c r="K136" s="8">
        <v>6.3</v>
      </c>
      <c r="L136" s="9">
        <v>45.16</v>
      </c>
      <c r="M136" s="10">
        <v>19.440000000000001</v>
      </c>
      <c r="N136" s="10">
        <v>18.452000000000002</v>
      </c>
      <c r="O136" s="11">
        <v>18.948</v>
      </c>
      <c r="P136" s="12">
        <v>878.14</v>
      </c>
      <c r="Q136" s="12">
        <v>116.25</v>
      </c>
      <c r="R136" s="13">
        <v>497.19</v>
      </c>
      <c r="S136" s="14" t="s">
        <v>43</v>
      </c>
      <c r="T136" s="12">
        <v>155.28</v>
      </c>
      <c r="U136" s="15">
        <v>280.14</v>
      </c>
      <c r="V136" s="15">
        <v>1765</v>
      </c>
      <c r="W136" s="15">
        <v>12651</v>
      </c>
      <c r="X136" s="15">
        <v>14416</v>
      </c>
      <c r="Y136" s="6">
        <v>5</v>
      </c>
      <c r="Z136" s="15">
        <v>155.28</v>
      </c>
      <c r="AA136" s="15">
        <v>280.13771910000003</v>
      </c>
      <c r="AB136" s="45">
        <v>10.130000000000001</v>
      </c>
      <c r="AC136" s="15">
        <v>14416</v>
      </c>
    </row>
    <row r="137" spans="2:29" ht="15.75" thickBot="1" x14ac:dyDescent="0.3">
      <c r="B137" s="5" t="s">
        <v>20</v>
      </c>
      <c r="C137" s="6">
        <v>7</v>
      </c>
      <c r="D137" s="6">
        <v>27</v>
      </c>
      <c r="E137" s="6">
        <v>27</v>
      </c>
      <c r="F137" s="6">
        <v>40</v>
      </c>
      <c r="G137" s="6">
        <v>50</v>
      </c>
      <c r="H137" s="6">
        <v>250</v>
      </c>
      <c r="I137" s="6">
        <v>16</v>
      </c>
      <c r="J137" s="7">
        <v>4000</v>
      </c>
      <c r="K137" s="8">
        <v>103.5</v>
      </c>
      <c r="L137" s="9">
        <v>714.29</v>
      </c>
      <c r="M137" s="10">
        <v>1.18</v>
      </c>
      <c r="N137" s="10">
        <v>1.167</v>
      </c>
      <c r="O137" s="11">
        <v>1.175</v>
      </c>
      <c r="P137" s="12">
        <v>845.41</v>
      </c>
      <c r="Q137" s="12">
        <v>120.75</v>
      </c>
      <c r="R137" s="13">
        <v>483.08</v>
      </c>
      <c r="S137" s="14" t="s">
        <v>21</v>
      </c>
      <c r="T137" s="12">
        <v>2411.9899999999998</v>
      </c>
      <c r="U137" s="15">
        <v>18.03</v>
      </c>
      <c r="V137" s="15">
        <v>1867</v>
      </c>
      <c r="W137" s="15">
        <v>12882</v>
      </c>
      <c r="X137" s="15">
        <v>14749</v>
      </c>
      <c r="Y137" s="6">
        <v>16</v>
      </c>
      <c r="Z137" s="15">
        <v>2411.9899999999998</v>
      </c>
      <c r="AA137" s="15">
        <v>18.034924960000001</v>
      </c>
      <c r="AB137" s="16">
        <v>12.67</v>
      </c>
      <c r="AC137" s="15">
        <v>14749</v>
      </c>
    </row>
    <row r="138" spans="2:29" ht="15.75" thickBot="1" x14ac:dyDescent="0.3">
      <c r="B138" s="5" t="s">
        <v>82</v>
      </c>
      <c r="C138" s="6">
        <v>7</v>
      </c>
      <c r="D138" s="6">
        <v>25</v>
      </c>
      <c r="E138" s="6">
        <v>25</v>
      </c>
      <c r="F138" s="6">
        <v>40</v>
      </c>
      <c r="G138" s="6">
        <v>50</v>
      </c>
      <c r="H138" s="6">
        <v>300</v>
      </c>
      <c r="I138" s="6">
        <v>15</v>
      </c>
      <c r="J138" s="7">
        <v>4000</v>
      </c>
      <c r="K138" s="8">
        <v>99</v>
      </c>
      <c r="L138" s="9">
        <v>750</v>
      </c>
      <c r="M138" s="10">
        <v>1.24</v>
      </c>
      <c r="N138" s="10">
        <v>1.111</v>
      </c>
      <c r="O138" s="11">
        <v>1.1739999999999999</v>
      </c>
      <c r="P138" s="12">
        <v>928.03</v>
      </c>
      <c r="Q138" s="12">
        <v>110</v>
      </c>
      <c r="R138" s="13">
        <v>519.01</v>
      </c>
      <c r="S138" s="14" t="s">
        <v>96</v>
      </c>
      <c r="T138" s="12">
        <v>2418.7600000000002</v>
      </c>
      <c r="U138" s="15">
        <v>17.98</v>
      </c>
      <c r="V138" s="15">
        <v>1780</v>
      </c>
      <c r="W138" s="15">
        <v>13488</v>
      </c>
      <c r="X138" s="15">
        <v>15269</v>
      </c>
      <c r="Y138" s="6">
        <v>15</v>
      </c>
      <c r="Z138" s="15">
        <v>2418.7600000000002</v>
      </c>
      <c r="AA138" s="15">
        <v>17.9844367</v>
      </c>
      <c r="AB138" s="85">
        <v>16.64</v>
      </c>
      <c r="AC138" s="15">
        <v>15269</v>
      </c>
    </row>
  </sheetData>
  <sortState ref="B1:AD137">
    <sortCondition ref="AB1:AB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A1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Toster_Arena</vt:lpstr>
      <vt:lpstr>Heroes 3</vt:lpstr>
      <vt:lpstr>Spelle_Export_xml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Musielski</dc:creator>
  <cp:lastModifiedBy>Piotr Musielski</cp:lastModifiedBy>
  <cp:lastPrinted>2019-08-22T16:13:22Z</cp:lastPrinted>
  <dcterms:created xsi:type="dcterms:W3CDTF">2019-08-18T04:46:42Z</dcterms:created>
  <dcterms:modified xsi:type="dcterms:W3CDTF">2019-08-25T13:05:22Z</dcterms:modified>
</cp:coreProperties>
</file>