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oph Quandt\Desktop\"/>
    </mc:Choice>
  </mc:AlternateContent>
  <bookViews>
    <workbookView xWindow="0" yWindow="0" windowWidth="11670" windowHeight="4455" tabRatio="993" firstSheet="1" activeTab="4"/>
  </bookViews>
  <sheets>
    <sheet name="Ernst" sheetId="1" r:id="rId1"/>
    <sheet name="Cassegrain WN 5" sheetId="2" r:id="rId2"/>
    <sheet name="Cassegrain gam-Cas" sheetId="3" r:id="rId3"/>
    <sheet name="Erläuterung" sheetId="4" r:id="rId4"/>
    <sheet name="SIMSPEC Slit" sheetId="5" r:id="rId5"/>
  </sheets>
  <definedNames>
    <definedName name="_xlnm.Print_Area" localSheetId="2">'Cassegrain gam-Cas'!$A$1:$I$43</definedName>
    <definedName name="_xlnm.Print_Area" localSheetId="1">'Cassegrain WN 5'!$A$1:$I$43</definedName>
    <definedName name="_xlnm.Print_Area" localSheetId="0">Ernst!$A$1:$I$43</definedName>
    <definedName name="_xlnm.Print_Area" localSheetId="4">'SIMSPEC Slit'!$A$1:$I$44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6" i="5" l="1"/>
  <c r="E37" i="5" l="1"/>
  <c r="E36" i="5"/>
  <c r="E35" i="5"/>
  <c r="G29" i="5"/>
  <c r="B28" i="5"/>
  <c r="B29" i="5" s="1"/>
  <c r="B36" i="5" s="1"/>
  <c r="B26" i="5"/>
  <c r="B13" i="5"/>
  <c r="B7" i="5"/>
  <c r="E36" i="3"/>
  <c r="E35" i="3"/>
  <c r="E34" i="3"/>
  <c r="B27" i="3"/>
  <c r="B28" i="3" s="1"/>
  <c r="B35" i="3" s="1"/>
  <c r="B25" i="3"/>
  <c r="B29" i="3" s="1"/>
  <c r="B12" i="3"/>
  <c r="B6" i="3"/>
  <c r="E36" i="2"/>
  <c r="E38" i="2" s="1"/>
  <c r="E35" i="2"/>
  <c r="E34" i="2"/>
  <c r="B27" i="2"/>
  <c r="B28" i="2" s="1"/>
  <c r="B35" i="2" s="1"/>
  <c r="B25" i="2"/>
  <c r="B26" i="2" s="1"/>
  <c r="E14" i="2" s="1"/>
  <c r="B12" i="2"/>
  <c r="B6" i="2"/>
  <c r="E36" i="1"/>
  <c r="E38" i="1" s="1"/>
  <c r="E35" i="1"/>
  <c r="E34" i="1"/>
  <c r="B27" i="1"/>
  <c r="B28" i="1" s="1"/>
  <c r="B35" i="1" s="1"/>
  <c r="B25" i="1"/>
  <c r="B26" i="1" s="1"/>
  <c r="E14" i="1" s="1"/>
  <c r="B12" i="1"/>
  <c r="B6" i="1"/>
  <c r="E5" i="1"/>
  <c r="E38" i="5" l="1"/>
  <c r="B30" i="5"/>
  <c r="B36" i="3"/>
  <c r="B37" i="3"/>
  <c r="B36" i="2"/>
  <c r="B37" i="2"/>
  <c r="E37" i="3"/>
  <c r="B36" i="1"/>
  <c r="B37" i="1"/>
  <c r="E37" i="2"/>
  <c r="E39" i="5"/>
  <c r="E37" i="1"/>
  <c r="E38" i="3"/>
  <c r="B38" i="5"/>
  <c r="B37" i="5"/>
  <c r="B29" i="1"/>
  <c r="B29" i="2"/>
  <c r="B30" i="1"/>
  <c r="B30" i="2"/>
  <c r="B26" i="3"/>
  <c r="E14" i="3" s="1"/>
  <c r="B30" i="3"/>
  <c r="B27" i="5"/>
  <c r="E15" i="5" s="1"/>
  <c r="B31" i="5"/>
  <c r="E40" i="5" l="1"/>
  <c r="E41" i="5" s="1"/>
  <c r="E39" i="2"/>
  <c r="E40" i="2" s="1"/>
  <c r="B38" i="2"/>
  <c r="B32" i="2"/>
  <c r="B33" i="2" s="1"/>
  <c r="E15" i="2" s="1"/>
  <c r="B39" i="2" s="1"/>
  <c r="B40" i="2" s="1"/>
  <c r="B41" i="2" s="1"/>
  <c r="B42" i="2" s="1"/>
  <c r="B31" i="2"/>
  <c r="E39" i="1"/>
  <c r="E40" i="1" s="1"/>
  <c r="B33" i="5"/>
  <c r="B34" i="5" s="1"/>
  <c r="E16" i="5" s="1"/>
  <c r="B32" i="5"/>
  <c r="B39" i="5"/>
  <c r="B38" i="1"/>
  <c r="B39" i="1" s="1"/>
  <c r="B40" i="1" s="1"/>
  <c r="B41" i="1" s="1"/>
  <c r="B42" i="1" s="1"/>
  <c r="B32" i="1"/>
  <c r="B33" i="1" s="1"/>
  <c r="E15" i="1" s="1"/>
  <c r="B31" i="1"/>
  <c r="B38" i="3"/>
  <c r="B32" i="3"/>
  <c r="B33" i="3" s="1"/>
  <c r="E15" i="3" s="1"/>
  <c r="B39" i="3" s="1"/>
  <c r="B40" i="3" s="1"/>
  <c r="B41" i="3" s="1"/>
  <c r="B42" i="3" s="1"/>
  <c r="B31" i="3"/>
  <c r="E39" i="3"/>
  <c r="E40" i="3" s="1"/>
  <c r="B40" i="5" l="1"/>
  <c r="B41" i="5" s="1"/>
  <c r="B42" i="5" s="1"/>
  <c r="B43" i="5" s="1"/>
</calcChain>
</file>

<file path=xl/comments1.xml><?xml version="1.0" encoding="utf-8"?>
<comments xmlns="http://schemas.openxmlformats.org/spreadsheetml/2006/main">
  <authors>
    <author/>
  </authors>
  <commentList>
    <comment ref="E12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Wenn spaltlos gearbeitet wird hier unbedingt Null eingeben !!!
</t>
        </r>
      </text>
    </comment>
    <comment ref="E14" authorId="0" shapeId="0">
      <text>
        <r>
          <rPr>
            <sz val="8"/>
            <color rgb="FF000000"/>
            <rFont val="Tahoma"/>
            <family val="2"/>
            <charset val="1"/>
          </rPr>
          <t xml:space="preserve">Hier wird vereinfacht das Airy-Scheibchen (beugungsbegrenzt) benutzt um die Mindest-FWHM des Kollimators abzuschätzen. Dieser Parameter hängt natürlich von der Qualität der verwendeten Optik ab und kann durchaus auch erheblich (2-4 mal ?) größer sein. </t>
        </r>
      </text>
    </comment>
    <comment ref="E15" authorId="0" shapeId="0">
      <text>
        <r>
          <rPr>
            <b/>
            <sz val="8"/>
            <color rgb="FF000000"/>
            <rFont val="Tahoma"/>
            <family val="2"/>
            <charset val="1"/>
          </rPr>
          <t>Hier wird vereinfacht das Airy-Scheibchen der Kamera benutzt. Dieser Parameter hängt natürlich von der Qualität der verwendeten Optik ab und kann durchaus auch 2-3 mal grösser sein.</t>
        </r>
      </text>
    </comment>
    <comment ref="B40" authorId="0" shapeId="0">
      <text>
        <r>
          <rPr>
            <sz val="8"/>
            <color rgb="FF000000"/>
            <rFont val="Tahoma"/>
            <family val="2"/>
            <charset val="1"/>
          </rPr>
          <t>Der Abtastfaktor sollte etwa 1 betragen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E12" authorId="0" shapeId="0">
      <text>
        <r>
          <rPr>
            <b/>
            <sz val="8"/>
            <color rgb="FFFF0000"/>
            <rFont val="Tahoma"/>
            <family val="2"/>
            <charset val="1"/>
          </rPr>
          <t xml:space="preserve">Wenn spaltlos gearbeitet wird hier unbedingt Null eingeben !!!
</t>
        </r>
      </text>
    </comment>
    <comment ref="E14" authorId="0" shapeId="0">
      <text>
        <r>
          <rPr>
            <sz val="8"/>
            <color rgb="FF000000"/>
            <rFont val="Tahoma"/>
            <family val="2"/>
            <charset val="1"/>
          </rPr>
          <t xml:space="preserve">Hier wird vereinfacht das Airy-Scheibchen (beugungsbegrenzt) benutzt um die FWHM des Kollmators abzuschätzen. Dieser Parameter hängt natürlich von der Qualität der verwendeten Optik ab und kann durchaus auch erheblich (2-4 mal ?) größer sein. </t>
        </r>
      </text>
    </comment>
    <comment ref="E15" authorId="0" shapeId="0">
      <text>
        <r>
          <rPr>
            <b/>
            <sz val="8"/>
            <color rgb="FF000000"/>
            <rFont val="Tahoma"/>
            <family val="2"/>
            <charset val="1"/>
          </rPr>
          <t>Hier wird vereinfacht das Airy-Scheibchen der Kamera benutzt. Dieser Parameter hängt natürlich von der Qualität der verwendeten Optik ab und kann durchaus auch 2-3 mal grösser sein.</t>
        </r>
      </text>
    </comment>
    <comment ref="B40" authorId="0" shapeId="0">
      <text>
        <r>
          <rPr>
            <sz val="8"/>
            <color rgb="FF000000"/>
            <rFont val="Tahoma"/>
            <family val="2"/>
            <charset val="1"/>
          </rPr>
          <t>Der Abtastfaktor sollte etwa 1 betragen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E12" authorId="0" shapeId="0">
      <text>
        <r>
          <rPr>
            <b/>
            <sz val="8"/>
            <color rgb="FFFF0000"/>
            <rFont val="Tahoma"/>
            <family val="2"/>
            <charset val="1"/>
          </rPr>
          <t xml:space="preserve">Wenn spaltlos gearbeitet wird hier unbedingt Null eingeben !!!
</t>
        </r>
      </text>
    </comment>
    <comment ref="E14" authorId="0" shapeId="0">
      <text>
        <r>
          <rPr>
            <sz val="8"/>
            <color rgb="FF000000"/>
            <rFont val="Tahoma"/>
            <family val="2"/>
            <charset val="1"/>
          </rPr>
          <t xml:space="preserve">Hier wird vereinfacht das Airy-Scheibchen (beugungsbegrenzt) benutzt um die FWHM des Kollmators abzuschätzen. Dieser Parameter hängt natürlich von der Qualität der verwendeten Optik ab und kann durchaus auch erheblich (2-4 mal ?) größer sein. </t>
        </r>
      </text>
    </comment>
    <comment ref="E15" authorId="0" shapeId="0">
      <text>
        <r>
          <rPr>
            <b/>
            <sz val="8"/>
            <color rgb="FF000000"/>
            <rFont val="Tahoma"/>
            <family val="2"/>
            <charset val="1"/>
          </rPr>
          <t>Hier wird vereinfacht das Airy-Scheibchen der Kamera benutzt. Dieser Parameter hängt natürlich von der Qualität der verwendeten Optik ab und kann durchaus auch 2-3 mal grösser sein.</t>
        </r>
      </text>
    </comment>
    <comment ref="B40" authorId="0" shapeId="0">
      <text>
        <r>
          <rPr>
            <sz val="8"/>
            <color rgb="FF000000"/>
            <rFont val="Tahoma"/>
            <family val="2"/>
            <charset val="1"/>
          </rPr>
          <t>Der Abtastfaktor sollte etwa 1 betragen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E13" authorId="0" shapeId="0">
      <text>
        <r>
          <rPr>
            <b/>
            <sz val="8"/>
            <color rgb="FFFF0000"/>
            <rFont val="Tahoma"/>
            <family val="2"/>
            <charset val="1"/>
          </rPr>
          <t xml:space="preserve">Wenn spaltlos gearbeitet wird hier unbedingt Null eingeben !!!
</t>
        </r>
      </text>
    </comment>
    <comment ref="E15" authorId="0" shapeId="0">
      <text>
        <r>
          <rPr>
            <sz val="8"/>
            <color rgb="FF000000"/>
            <rFont val="Tahoma"/>
            <family val="2"/>
            <charset val="1"/>
          </rPr>
          <t xml:space="preserve">Hier wird vereinfacht das Airy-Scheibchen (beugungsbegrenzt) benutzt um die FWHM des Kollmators abzuschätzen. Dieser Parameter hängt natürlich von der Qualität der verwendeten Optik ab und kann durchaus erheblich (2-4 mal ?) größer sein. </t>
        </r>
      </text>
    </comment>
    <comment ref="E16" authorId="0" shapeId="0">
      <text>
        <r>
          <rPr>
            <b/>
            <sz val="8"/>
            <color rgb="FF000000"/>
            <rFont val="Tahoma"/>
            <family val="2"/>
            <charset val="1"/>
          </rPr>
          <t>Hier wird vereinfacht das Airy-Scheibchen der Kamera benutzt. Dieser Parameter hängt natürlich von der Qualität der verwendeten Optik ab und kann durchaus auch 2-3 mal grösser sein.</t>
        </r>
      </text>
    </comment>
    <comment ref="B41" authorId="0" shapeId="0">
      <text>
        <r>
          <rPr>
            <sz val="8"/>
            <color rgb="FF000000"/>
            <rFont val="Tahoma"/>
            <family val="2"/>
            <charset val="1"/>
          </rPr>
          <t>Der Abtastfaktor sollte etwa 1 betragen</t>
        </r>
      </text>
    </comment>
  </commentList>
</comments>
</file>

<file path=xl/sharedStrings.xml><?xml version="1.0" encoding="utf-8"?>
<sst xmlns="http://schemas.openxmlformats.org/spreadsheetml/2006/main" count="417" uniqueCount="95">
  <si>
    <t>SIMSPEC V2.2 (11 mars 2003) - Simulation eines Spektrometers mit Reflexionsgitter - von Christian Buil</t>
  </si>
  <si>
    <t>Teleskop-Parameter</t>
  </si>
  <si>
    <t>Parameter des Spektrographen</t>
  </si>
  <si>
    <t>Parameter der CCD-Kamera</t>
  </si>
  <si>
    <t>Objektiv-Durchmesser (D) :</t>
  </si>
  <si>
    <t>mm</t>
  </si>
  <si>
    <t>Kollimatorbrennweite (f1) :</t>
  </si>
  <si>
    <t>Pixelabmessung (p) :</t>
  </si>
  <si>
    <t>microns</t>
  </si>
  <si>
    <t>Brennweite (f) :</t>
  </si>
  <si>
    <t>Kamerabrennweite + Barlow (f2) :</t>
  </si>
  <si>
    <t>Pixelanzahl (Nx) :</t>
  </si>
  <si>
    <t>F/D (F#) :</t>
  </si>
  <si>
    <t>Gitterkonstante in Linien / mm (m) :</t>
  </si>
  <si>
    <r>
      <rPr>
        <sz val="8"/>
        <rFont val="Arial"/>
        <family val="2"/>
        <charset val="1"/>
      </rPr>
      <t>Relative Quanten Efficiency (</t>
    </r>
    <r>
      <rPr>
        <sz val="8"/>
        <rFont val="Symbol"/>
        <family val="1"/>
        <charset val="2"/>
      </rPr>
      <t>h</t>
    </r>
    <r>
      <rPr>
        <sz val="8"/>
        <rFont val="Arial"/>
        <family val="2"/>
        <charset val="1"/>
      </rPr>
      <t>) :</t>
    </r>
  </si>
  <si>
    <t>%</t>
  </si>
  <si>
    <r>
      <rPr>
        <sz val="8"/>
        <rFont val="Arial"/>
        <family val="2"/>
        <charset val="1"/>
      </rPr>
      <t>Obstruktion bei Spiegeltelskopen (</t>
    </r>
    <r>
      <rPr>
        <sz val="8"/>
        <rFont val="Symbol"/>
        <family val="1"/>
        <charset val="2"/>
      </rPr>
      <t>e</t>
    </r>
    <r>
      <rPr>
        <sz val="8"/>
        <rFont val="Arial"/>
        <family val="2"/>
        <charset val="1"/>
      </rPr>
      <t>) :</t>
    </r>
  </si>
  <si>
    <t>Ordnung (k) :</t>
  </si>
  <si>
    <t xml:space="preserve"> Rauschsignal (RON) :</t>
  </si>
  <si>
    <t>e-/pixel</t>
  </si>
  <si>
    <t>Transmission des Teleskopes (To) :</t>
  </si>
  <si>
    <r>
      <rPr>
        <sz val="8"/>
        <rFont val="Arial"/>
        <family val="2"/>
        <charset val="1"/>
      </rPr>
      <t>Totaler Winkel (</t>
    </r>
    <r>
      <rPr>
        <sz val="8"/>
        <rFont val="Symbol"/>
        <family val="1"/>
        <charset val="2"/>
      </rPr>
      <t>g</t>
    </r>
    <r>
      <rPr>
        <sz val="8"/>
        <rFont val="Arial"/>
        <family val="2"/>
        <charset val="1"/>
      </rPr>
      <t>) :</t>
    </r>
  </si>
  <si>
    <t>°</t>
  </si>
  <si>
    <t>Thermisches Signal (Nd) :</t>
  </si>
  <si>
    <t>e-/s/pixel</t>
  </si>
  <si>
    <r>
      <rPr>
        <sz val="8"/>
        <rFont val="Arial"/>
        <family val="2"/>
        <charset val="1"/>
      </rPr>
      <t>Wellenlänge (</t>
    </r>
    <r>
      <rPr>
        <sz val="8"/>
        <rFont val="Symbol"/>
        <family val="1"/>
        <charset val="2"/>
      </rPr>
      <t>l</t>
    </r>
    <r>
      <rPr>
        <sz val="8"/>
        <rFont val="Arial"/>
        <family val="2"/>
        <charset val="1"/>
      </rPr>
      <t>0) :</t>
    </r>
  </si>
  <si>
    <t>A</t>
  </si>
  <si>
    <t>Beobachtungsbedingungen</t>
  </si>
  <si>
    <t>Abstand Gitter - "Kamera" (T) :</t>
  </si>
  <si>
    <r>
      <rPr>
        <sz val="8"/>
        <rFont val="Arial"/>
        <family val="2"/>
        <charset val="1"/>
      </rPr>
      <t>Seeing (</t>
    </r>
    <r>
      <rPr>
        <sz val="8"/>
        <rFont val="Symbol"/>
        <family val="1"/>
        <charset val="2"/>
      </rPr>
      <t>f</t>
    </r>
    <r>
      <rPr>
        <sz val="8"/>
        <rFont val="Arial"/>
        <family val="2"/>
        <charset val="1"/>
      </rPr>
      <t>) :</t>
    </r>
  </si>
  <si>
    <t>"</t>
  </si>
  <si>
    <t>Transmission des Spektrometers (Ts) :</t>
  </si>
  <si>
    <t>Seeingscheibchen :</t>
  </si>
  <si>
    <r>
      <rPr>
        <sz val="8"/>
        <rFont val="Symbol"/>
        <family val="1"/>
        <charset val="2"/>
      </rPr>
      <t xml:space="preserve">m </t>
    </r>
    <r>
      <rPr>
        <sz val="8"/>
        <rFont val="Arial"/>
        <family val="2"/>
        <charset val="1"/>
      </rPr>
      <t>m</t>
    </r>
  </si>
  <si>
    <r>
      <rPr>
        <sz val="8"/>
        <rFont val="Arial"/>
        <family val="2"/>
        <charset val="1"/>
      </rPr>
      <t xml:space="preserve">Spaltbreite in </t>
    </r>
    <r>
      <rPr>
        <sz val="8"/>
        <rFont val="Symbol"/>
        <family val="1"/>
        <charset val="2"/>
      </rPr>
      <t>m</t>
    </r>
    <r>
      <rPr>
        <sz val="8"/>
        <rFont val="Arial"/>
        <family val="2"/>
        <charset val="1"/>
      </rPr>
      <t xml:space="preserve"> m (w) :</t>
    </r>
  </si>
  <si>
    <t>Transmission der Atmosphäre (Ta) :</t>
  </si>
  <si>
    <t>Himmelshintergrund in Magnituden (ms) :</t>
  </si>
  <si>
    <t>Auflösung Kollimator im Fokus (FWHMc) :</t>
  </si>
  <si>
    <t>Gesamtbelichtungszeit in Sekunden (t) :</t>
  </si>
  <si>
    <t>Auflösung "Kamera" im Fokus (FWHMo) :</t>
  </si>
  <si>
    <t>Anzahl der Elementaraufnahmen (n) :</t>
  </si>
  <si>
    <t>CCD-Binning</t>
  </si>
  <si>
    <t>Objekt-Parameter</t>
  </si>
  <si>
    <t>Fraction intégrée axe trans. (k) :</t>
  </si>
  <si>
    <t>Magnitude (m) :</t>
  </si>
  <si>
    <r>
      <rPr>
        <sz val="8"/>
        <rFont val="Symbol"/>
        <family val="1"/>
        <charset val="2"/>
      </rPr>
      <t xml:space="preserve">g  </t>
    </r>
    <r>
      <rPr>
        <sz val="8"/>
        <rFont val="Arial"/>
        <family val="2"/>
        <charset val="1"/>
      </rPr>
      <t>Cas</t>
    </r>
  </si>
  <si>
    <r>
      <rPr>
        <sz val="8"/>
        <rFont val="Arial"/>
        <family val="2"/>
        <charset val="1"/>
      </rPr>
      <t>Binning in Dispersionsrichtung (f</t>
    </r>
    <r>
      <rPr>
        <sz val="8"/>
        <rFont val="Symbol"/>
        <family val="1"/>
        <charset val="2"/>
      </rPr>
      <t>l</t>
    </r>
    <r>
      <rPr>
        <sz val="8"/>
        <rFont val="Arial"/>
        <family val="2"/>
        <charset val="1"/>
      </rPr>
      <t>) :</t>
    </r>
  </si>
  <si>
    <t>Effektivtemperatur  (Te) :</t>
  </si>
  <si>
    <t>Kelvin</t>
  </si>
  <si>
    <t>Binning senkrecht (fy) :</t>
  </si>
  <si>
    <t>Bolometrische Korrektur (BC) :</t>
  </si>
  <si>
    <t>?</t>
  </si>
  <si>
    <t>Binning numérique transverse (q) :</t>
  </si>
  <si>
    <t>Ergebnisse</t>
  </si>
  <si>
    <t>Minimaler Durchmesser des Kollimators (d1) :</t>
  </si>
  <si>
    <t>Minimales F/D des Kollimators (Fc) :</t>
  </si>
  <si>
    <r>
      <rPr>
        <sz val="8"/>
        <rFont val="Arial"/>
        <family val="2"/>
        <charset val="1"/>
      </rPr>
      <t>Einfallswinkel (</t>
    </r>
    <r>
      <rPr>
        <sz val="8"/>
        <rFont val="Symbol"/>
        <family val="1"/>
        <charset val="2"/>
      </rPr>
      <t>a</t>
    </r>
    <r>
      <rPr>
        <sz val="8"/>
        <rFont val="Arial"/>
        <family val="2"/>
        <charset val="1"/>
      </rPr>
      <t>) :</t>
    </r>
  </si>
  <si>
    <r>
      <rPr>
        <sz val="8"/>
        <rFont val="Arial"/>
        <family val="2"/>
        <charset val="1"/>
      </rPr>
      <t>Beugungswinkel (</t>
    </r>
    <r>
      <rPr>
        <sz val="8"/>
        <rFont val="Symbol"/>
        <family val="1"/>
        <charset val="2"/>
      </rPr>
      <t>b</t>
    </r>
    <r>
      <rPr>
        <sz val="8"/>
        <rFont val="Arial"/>
        <family val="2"/>
        <charset val="1"/>
      </rPr>
      <t>) :</t>
    </r>
  </si>
  <si>
    <t>Minimale Gittergröße (W) :</t>
  </si>
  <si>
    <t>Anamorphose-Faktor (r) :</t>
  </si>
  <si>
    <r>
      <rPr>
        <sz val="8"/>
        <rFont val="Arial"/>
        <family val="2"/>
        <charset val="1"/>
      </rPr>
      <t xml:space="preserve">Durchmesser der "Kamera" bei </t>
    </r>
    <r>
      <rPr>
        <sz val="8"/>
        <rFont val="Symbol"/>
        <family val="1"/>
        <charset val="2"/>
      </rPr>
      <t>l</t>
    </r>
    <r>
      <rPr>
        <sz val="8"/>
        <rFont val="Arial"/>
        <family val="2"/>
        <charset val="1"/>
      </rPr>
      <t>0 (d2) :</t>
    </r>
  </si>
  <si>
    <t>Minimaler Durchmesser der "Kamera" (d'2) :</t>
  </si>
  <si>
    <t>Minimales F/D der "Kamera" (Fo) :</t>
  </si>
  <si>
    <t>Photonfluß Objekt (E) :</t>
  </si>
  <si>
    <t>photons/cm2/s/A</t>
  </si>
  <si>
    <r>
      <rPr>
        <sz val="8"/>
        <rFont val="Arial"/>
        <family val="2"/>
        <charset val="1"/>
      </rPr>
      <t>Dispersion (</t>
    </r>
    <r>
      <rPr>
        <sz val="8"/>
        <rFont val="Symbol"/>
        <family val="1"/>
        <charset val="2"/>
      </rPr>
      <t>r</t>
    </r>
    <r>
      <rPr>
        <sz val="8"/>
        <rFont val="Arial"/>
        <family val="2"/>
        <charset val="1"/>
      </rPr>
      <t>) :</t>
    </r>
  </si>
  <si>
    <t>A/pixel</t>
  </si>
  <si>
    <t>Photonfluß Himmelshintergrund (Ed) :</t>
  </si>
  <si>
    <t>photons/cm2/s/A/arcsec</t>
  </si>
  <si>
    <r>
      <rPr>
        <sz val="8"/>
        <rFont val="Arial"/>
        <family val="2"/>
        <charset val="1"/>
      </rPr>
      <t>Lambda min. (</t>
    </r>
    <r>
      <rPr>
        <sz val="8"/>
        <rFont val="Symbol"/>
        <family val="1"/>
        <charset val="2"/>
      </rPr>
      <t>l</t>
    </r>
    <r>
      <rPr>
        <sz val="8"/>
        <rFont val="Arial"/>
        <family val="2"/>
        <charset val="1"/>
      </rPr>
      <t>1) :</t>
    </r>
  </si>
  <si>
    <t>Gesamteffizienz (R) :</t>
  </si>
  <si>
    <r>
      <rPr>
        <sz val="8"/>
        <rFont val="Arial"/>
        <family val="2"/>
        <charset val="1"/>
      </rPr>
      <t>Lambda max. (</t>
    </r>
    <r>
      <rPr>
        <sz val="8"/>
        <rFont val="Symbol"/>
        <family val="1"/>
        <charset val="2"/>
      </rPr>
      <t>l</t>
    </r>
    <r>
      <rPr>
        <sz val="8"/>
        <rFont val="Arial"/>
        <family val="2"/>
        <charset val="1"/>
      </rPr>
      <t>2) :</t>
    </r>
  </si>
  <si>
    <t>Signal (Nm) :</t>
  </si>
  <si>
    <t>FWHMd :</t>
  </si>
  <si>
    <t>Signal Himmelshintergrund (Ns) :</t>
  </si>
  <si>
    <t>FWHMt :</t>
  </si>
  <si>
    <r>
      <rPr>
        <sz val="8"/>
        <rFont val="Arial"/>
        <family val="2"/>
        <charset val="1"/>
      </rPr>
      <t>Rauschen (</t>
    </r>
    <r>
      <rPr>
        <sz val="8"/>
        <rFont val="Symbol"/>
        <family val="1"/>
        <charset val="2"/>
      </rPr>
      <t>s</t>
    </r>
    <r>
      <rPr>
        <sz val="8"/>
        <rFont val="Arial"/>
        <family val="2"/>
        <charset val="1"/>
      </rPr>
      <t>) :</t>
    </r>
  </si>
  <si>
    <t>e-</t>
  </si>
  <si>
    <t>Abtast-Faktor :</t>
  </si>
  <si>
    <t>Signal-zu-Rausch Verhältnis (SNR) :</t>
  </si>
  <si>
    <t>Auflösungsvermögen (R) :</t>
  </si>
  <si>
    <r>
      <rPr>
        <b/>
        <sz val="8"/>
        <rFont val="Arial"/>
        <family val="2"/>
        <charset val="1"/>
      </rPr>
      <t>Spektrale Auflösung (</t>
    </r>
    <r>
      <rPr>
        <b/>
        <sz val="8"/>
        <rFont val="Symbol"/>
        <family val="1"/>
        <charset val="2"/>
      </rPr>
      <t>Dl</t>
    </r>
    <r>
      <rPr>
        <b/>
        <sz val="8"/>
        <rFont val="Arial"/>
        <family val="2"/>
        <charset val="1"/>
      </rPr>
      <t>) :</t>
    </r>
  </si>
  <si>
    <t>Kamerabrennweite (f2) :</t>
  </si>
  <si>
    <t>Spaltbreite (w) :</t>
  </si>
  <si>
    <t>Signal-zu-Rausch-Verhältnis (SNR) :</t>
  </si>
  <si>
    <r>
      <rPr>
        <b/>
        <sz val="8"/>
        <rFont val="Symbol"/>
        <family val="1"/>
        <charset val="2"/>
      </rPr>
      <t xml:space="preserve">g  </t>
    </r>
    <r>
      <rPr>
        <b/>
        <sz val="8"/>
        <rFont val="Arial"/>
        <family val="2"/>
        <charset val="1"/>
      </rPr>
      <t>Cas</t>
    </r>
  </si>
  <si>
    <t>Erläuterung des Excel-Sheet SIMSPEC_Slit.xls</t>
  </si>
  <si>
    <r>
      <rPr>
        <sz val="11"/>
        <rFont val="Times New Roman"/>
        <family val="1"/>
        <charset val="1"/>
      </rPr>
      <t xml:space="preserve">Das Excel-Sheet </t>
    </r>
    <r>
      <rPr>
        <b/>
        <sz val="11"/>
        <rFont val="Times New Roman"/>
        <family val="1"/>
        <charset val="1"/>
      </rPr>
      <t>SIMSPEC_Slit</t>
    </r>
    <r>
      <rPr>
        <sz val="11"/>
        <rFont val="Times New Roman"/>
        <family val="1"/>
        <charset val="1"/>
      </rPr>
      <t xml:space="preserve"> ist eine Erweiterung des Excel-Sheets </t>
    </r>
    <r>
      <rPr>
        <b/>
        <sz val="11"/>
        <rFont val="Times New Roman"/>
        <family val="1"/>
        <charset val="1"/>
      </rPr>
      <t>SIMSPEC</t>
    </r>
    <r>
      <rPr>
        <sz val="11"/>
        <rFont val="Times New Roman"/>
        <family val="1"/>
        <charset val="1"/>
      </rPr>
      <t xml:space="preserve"> von </t>
    </r>
  </si>
  <si>
    <t xml:space="preserve">Christian Buil (http://www.astrosurf.com/buil/). Mit SIMSPEC_Slit können auch Spaltspektrographen berechnet werden.  </t>
  </si>
  <si>
    <t xml:space="preserve">Abhängig von den Teleskop-Parametern, den Beobachtungsbedingungen, den Parametern der zu nutzenden CCD sowie den </t>
  </si>
  <si>
    <t>Parametern des zu entwickelnden Spektrographen werden das entsprechende Auflösungsvermögen, die spektrale Auflösung</t>
  </si>
  <si>
    <t>sowie das erzielbare Signal-zu-Rausch-Verhältnis S/N bestimmt.</t>
  </si>
  <si>
    <t xml:space="preserve">Die Modifikation von SIMSPEC wurde von Klaus Vollmann (klaus.vollmann@stsci.de) durchgeführt. </t>
  </si>
  <si>
    <t>Das Sheet befindet sich auf dem zweiten Blatt.</t>
  </si>
  <si>
    <t>SIMSPEC_Slit - Erweiterung um die Anwendung eines optischen Spalts - von Klaus Vollmann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</si>
</sst>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.##000&quot; €&quot;;\-#.##000&quot; €&quot;"/>
    <numFmt numFmtId="165" formatCode="0.0"/>
    <numFmt numFmtId="166" formatCode="0.000"/>
    <numFmt numFmtId="167" formatCode="0.000000"/>
    <numFmt numFmtId="168" formatCode="m/d/yyyy"/>
    <numFmt numFmtId="169" formatCode="#,##0.0"/>
  </numFmts>
  <fonts count="14" x14ac:knownFonts="1">
    <font>
      <sz val="10"/>
      <name val="Arial"/>
      <family val="2"/>
      <charset val="1"/>
    </font>
    <font>
      <sz val="8"/>
      <name val="Arial"/>
      <family val="2"/>
      <charset val="1"/>
    </font>
    <font>
      <b/>
      <sz val="8"/>
      <color rgb="FFFF0000"/>
      <name val="Arial"/>
      <family val="2"/>
      <charset val="1"/>
    </font>
    <font>
      <b/>
      <sz val="8"/>
      <color rgb="FF0000FF"/>
      <name val="Arial"/>
      <family val="2"/>
      <charset val="1"/>
    </font>
    <font>
      <sz val="8"/>
      <name val="Symbol"/>
      <family val="1"/>
      <charset val="2"/>
    </font>
    <font>
      <b/>
      <sz val="8"/>
      <name val="Arial"/>
      <family val="2"/>
      <charset val="1"/>
    </font>
    <font>
      <b/>
      <sz val="8"/>
      <name val="Symbol"/>
      <family val="1"/>
      <charset val="2"/>
    </font>
    <font>
      <sz val="8"/>
      <color rgb="FF000000"/>
      <name val="Tahoma"/>
      <family val="2"/>
      <charset val="1"/>
    </font>
    <font>
      <b/>
      <sz val="8"/>
      <color rgb="FF000000"/>
      <name val="Tahoma"/>
      <family val="2"/>
      <charset val="1"/>
    </font>
    <font>
      <b/>
      <sz val="8"/>
      <color rgb="FFFF0000"/>
      <name val="Tahoma"/>
      <family val="2"/>
      <charset val="1"/>
    </font>
    <font>
      <sz val="8"/>
      <color rgb="FFFF0000"/>
      <name val="Arial"/>
      <family val="2"/>
      <charset val="1"/>
    </font>
    <font>
      <b/>
      <sz val="11"/>
      <name val="Times New Roman"/>
      <family val="1"/>
      <charset val="1"/>
    </font>
    <font>
      <sz val="11"/>
      <name val="Times New Roman"/>
      <family val="1"/>
      <charset val="1"/>
    </font>
    <font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CC99FF"/>
        <bgColor rgb="FF9999FF"/>
      </patternFill>
    </fill>
    <fill>
      <patternFill patternType="solid">
        <fgColor rgb="FF99CCFF"/>
        <bgColor rgb="FFCCCCFF"/>
      </patternFill>
    </fill>
    <fill>
      <patternFill patternType="solid">
        <fgColor rgb="FF00FF00"/>
        <bgColor rgb="FF33CCCC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C0C0C0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3" fillId="0" borderId="0" applyBorder="0" applyProtection="0"/>
  </cellStyleXfs>
  <cellXfs count="7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3" fillId="0" borderId="4" xfId="0" applyFont="1" applyBorder="1"/>
    <xf numFmtId="0" fontId="1" fillId="0" borderId="0" xfId="0" applyFont="1" applyBorder="1"/>
    <xf numFmtId="164" fontId="3" fillId="0" borderId="0" xfId="0" applyNumberFormat="1" applyFont="1" applyBorder="1"/>
    <xf numFmtId="0" fontId="3" fillId="0" borderId="0" xfId="0" applyFont="1" applyBorder="1"/>
    <xf numFmtId="0" fontId="1" fillId="0" borderId="5" xfId="0" applyFont="1" applyBorder="1"/>
    <xf numFmtId="0" fontId="1" fillId="0" borderId="4" xfId="0" applyFont="1" applyBorder="1" applyAlignment="1">
      <alignment horizontal="right"/>
    </xf>
    <xf numFmtId="0" fontId="1" fillId="2" borderId="0" xfId="0" applyFont="1" applyFill="1" applyBorder="1"/>
    <xf numFmtId="0" fontId="1" fillId="0" borderId="0" xfId="0" applyFont="1" applyBorder="1" applyAlignment="1">
      <alignment horizontal="right"/>
    </xf>
    <xf numFmtId="0" fontId="1" fillId="3" borderId="0" xfId="0" applyFont="1" applyFill="1" applyBorder="1"/>
    <xf numFmtId="0" fontId="1" fillId="4" borderId="0" xfId="0" applyFont="1" applyFill="1" applyBorder="1"/>
    <xf numFmtId="1" fontId="1" fillId="3" borderId="0" xfId="0" applyNumberFormat="1" applyFont="1" applyFill="1" applyBorder="1"/>
    <xf numFmtId="0" fontId="1" fillId="0" borderId="0" xfId="0" applyFont="1" applyBorder="1"/>
    <xf numFmtId="9" fontId="1" fillId="2" borderId="0" xfId="1" applyFont="1" applyFill="1" applyBorder="1" applyAlignment="1" applyProtection="1"/>
    <xf numFmtId="0" fontId="3" fillId="0" borderId="4" xfId="0" applyFont="1" applyBorder="1" applyAlignment="1">
      <alignment horizontal="left"/>
    </xf>
    <xf numFmtId="0" fontId="1" fillId="5" borderId="0" xfId="0" applyFont="1" applyFill="1" applyBorder="1"/>
    <xf numFmtId="9" fontId="1" fillId="3" borderId="0" xfId="1" applyFont="1" applyFill="1" applyBorder="1" applyAlignment="1" applyProtection="1"/>
    <xf numFmtId="165" fontId="1" fillId="0" borderId="0" xfId="0" applyNumberFormat="1" applyFont="1" applyBorder="1"/>
    <xf numFmtId="0" fontId="4" fillId="0" borderId="0" xfId="0" applyFont="1" applyBorder="1" applyAlignment="1">
      <alignment horizontal="left"/>
    </xf>
    <xf numFmtId="9" fontId="1" fillId="5" borderId="0" xfId="1" applyFont="1" applyFill="1" applyBorder="1" applyAlignment="1" applyProtection="1"/>
    <xf numFmtId="0" fontId="1" fillId="0" borderId="4" xfId="0" applyFont="1" applyBorder="1"/>
    <xf numFmtId="0" fontId="3" fillId="0" borderId="0" xfId="0" applyFont="1" applyBorder="1" applyAlignment="1">
      <alignment horizontal="left"/>
    </xf>
    <xf numFmtId="0" fontId="5" fillId="0" borderId="0" xfId="0" applyFont="1" applyBorder="1"/>
    <xf numFmtId="0" fontId="1" fillId="6" borderId="0" xfId="0" applyFont="1" applyFill="1" applyBorder="1" applyAlignment="1">
      <alignment horizontal="right"/>
    </xf>
    <xf numFmtId="0" fontId="1" fillId="7" borderId="0" xfId="0" applyFont="1" applyFill="1" applyBorder="1"/>
    <xf numFmtId="0" fontId="1" fillId="8" borderId="0" xfId="0" applyFont="1" applyFill="1" applyBorder="1"/>
    <xf numFmtId="0" fontId="4" fillId="0" borderId="0" xfId="0" applyFont="1" applyBorder="1" applyAlignment="1">
      <alignment horizontal="right"/>
    </xf>
    <xf numFmtId="2" fontId="1" fillId="0" borderId="0" xfId="0" applyNumberFormat="1" applyFont="1" applyBorder="1"/>
    <xf numFmtId="2" fontId="1" fillId="0" borderId="0" xfId="0" applyNumberFormat="1" applyFont="1" applyBorder="1"/>
    <xf numFmtId="166" fontId="2" fillId="0" borderId="0" xfId="0" applyNumberFormat="1" applyFont="1" applyBorder="1"/>
    <xf numFmtId="167" fontId="1" fillId="0" borderId="0" xfId="0" applyNumberFormat="1" applyFont="1" applyBorder="1"/>
    <xf numFmtId="1" fontId="1" fillId="0" borderId="0" xfId="0" applyNumberFormat="1" applyFont="1" applyBorder="1"/>
    <xf numFmtId="9" fontId="1" fillId="0" borderId="0" xfId="1" applyFont="1" applyBorder="1" applyAlignment="1" applyProtection="1"/>
    <xf numFmtId="0" fontId="5" fillId="0" borderId="0" xfId="0" applyFont="1" applyBorder="1" applyAlignment="1">
      <alignment horizontal="right"/>
    </xf>
    <xf numFmtId="165" fontId="2" fillId="0" borderId="0" xfId="0" applyNumberFormat="1" applyFont="1" applyBorder="1"/>
    <xf numFmtId="0" fontId="5" fillId="0" borderId="4" xfId="0" applyFont="1" applyBorder="1" applyAlignment="1">
      <alignment horizontal="right"/>
    </xf>
    <xf numFmtId="1" fontId="2" fillId="0" borderId="0" xfId="0" applyNumberFormat="1" applyFont="1" applyBorder="1"/>
    <xf numFmtId="2" fontId="2" fillId="0" borderId="0" xfId="0" applyNumberFormat="1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3" fillId="0" borderId="0" xfId="0" applyFont="1"/>
    <xf numFmtId="164" fontId="3" fillId="0" borderId="0" xfId="0" applyNumberFormat="1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0" borderId="0" xfId="0" applyFont="1"/>
    <xf numFmtId="0" fontId="3" fillId="0" borderId="0" xfId="0" applyFont="1" applyAlignment="1">
      <alignment horizontal="left"/>
    </xf>
    <xf numFmtId="0" fontId="1" fillId="5" borderId="0" xfId="0" applyFont="1" applyFill="1"/>
    <xf numFmtId="165" fontId="1" fillId="0" borderId="0" xfId="0" applyNumberFormat="1" applyFont="1"/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/>
    <xf numFmtId="0" fontId="1" fillId="7" borderId="0" xfId="0" applyFont="1" applyFill="1"/>
    <xf numFmtId="0" fontId="1" fillId="8" borderId="0" xfId="0" applyFont="1" applyFill="1"/>
    <xf numFmtId="0" fontId="4" fillId="0" borderId="0" xfId="0" applyFont="1" applyAlignment="1">
      <alignment horizontal="right"/>
    </xf>
    <xf numFmtId="2" fontId="1" fillId="0" borderId="0" xfId="0" applyNumberFormat="1" applyFont="1"/>
    <xf numFmtId="2" fontId="1" fillId="0" borderId="0" xfId="0" applyNumberFormat="1" applyFont="1"/>
    <xf numFmtId="167" fontId="1" fillId="0" borderId="0" xfId="0" applyNumberFormat="1" applyFont="1"/>
    <xf numFmtId="2" fontId="2" fillId="0" borderId="0" xfId="0" applyNumberFormat="1" applyFont="1"/>
    <xf numFmtId="1" fontId="1" fillId="0" borderId="0" xfId="0" applyNumberFormat="1" applyFont="1"/>
    <xf numFmtId="0" fontId="5" fillId="0" borderId="0" xfId="0" applyFont="1" applyAlignment="1">
      <alignment horizontal="right"/>
    </xf>
    <xf numFmtId="165" fontId="2" fillId="0" borderId="0" xfId="0" applyNumberFormat="1" applyFont="1"/>
    <xf numFmtId="1" fontId="2" fillId="0" borderId="0" xfId="0" applyNumberFormat="1" applyFont="1"/>
    <xf numFmtId="2" fontId="2" fillId="0" borderId="0" xfId="0" applyNumberFormat="1" applyFont="1"/>
    <xf numFmtId="0" fontId="6" fillId="0" borderId="0" xfId="0" applyFont="1" applyBorder="1" applyAlignment="1">
      <alignment horizontal="left"/>
    </xf>
    <xf numFmtId="165" fontId="10" fillId="0" borderId="0" xfId="0" applyNumberFormat="1" applyFont="1"/>
    <xf numFmtId="0" fontId="11" fillId="8" borderId="0" xfId="0" applyFont="1" applyFill="1"/>
    <xf numFmtId="0" fontId="12" fillId="8" borderId="0" xfId="0" applyFont="1" applyFill="1"/>
    <xf numFmtId="168" fontId="12" fillId="8" borderId="0" xfId="0" applyNumberFormat="1" applyFont="1" applyFill="1" applyAlignment="1">
      <alignment horizontal="left"/>
    </xf>
    <xf numFmtId="0" fontId="0" fillId="8" borderId="0" xfId="0" applyFill="1"/>
    <xf numFmtId="169" fontId="1" fillId="0" borderId="0" xfId="0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314325</xdr:colOff>
      <xdr:row>66</xdr:row>
      <xdr:rowOff>66675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52012D2A-0330-4A54-85C0-A584AEC01A5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314325</xdr:colOff>
      <xdr:row>66</xdr:row>
      <xdr:rowOff>66675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FDDE72DC-1BFE-4574-A2F8-E1B96E46602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314325</xdr:colOff>
      <xdr:row>66</xdr:row>
      <xdr:rowOff>66675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E0465C31-97C3-487F-AAE2-712814D74B2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314325</xdr:colOff>
      <xdr:row>66</xdr:row>
      <xdr:rowOff>66675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708EA955-EBB1-428C-ACA6-7C53CF2B3E6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371475</xdr:colOff>
      <xdr:row>66</xdr:row>
      <xdr:rowOff>38100</xdr:rowOff>
    </xdr:to>
    <xdr:sp macro="" textlink="">
      <xdr:nvSpPr>
        <xdr:cNvPr id="2056" name="shapetype_202" hidden="1">
          <a:extLst>
            <a:ext uri="{FF2B5EF4-FFF2-40B4-BE49-F238E27FC236}">
              <a16:creationId xmlns:a16="http://schemas.microsoft.com/office/drawing/2014/main" id="{B4C3530A-D0A3-4A47-BCA2-5BE14F33830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371475</xdr:colOff>
      <xdr:row>66</xdr:row>
      <xdr:rowOff>38100</xdr:rowOff>
    </xdr:to>
    <xdr:sp macro="" textlink="">
      <xdr:nvSpPr>
        <xdr:cNvPr id="2054" name="shapetype_202" hidden="1">
          <a:extLst>
            <a:ext uri="{FF2B5EF4-FFF2-40B4-BE49-F238E27FC236}">
              <a16:creationId xmlns:a16="http://schemas.microsoft.com/office/drawing/2014/main" id="{4FC5D4C5-FD38-4644-AFAA-7FD5866F94C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371475</xdr:colOff>
      <xdr:row>66</xdr:row>
      <xdr:rowOff>38100</xdr:rowOff>
    </xdr:to>
    <xdr:sp macro="" textlink="">
      <xdr:nvSpPr>
        <xdr:cNvPr id="2052" name="shapetype_202" hidden="1">
          <a:extLst>
            <a:ext uri="{FF2B5EF4-FFF2-40B4-BE49-F238E27FC236}">
              <a16:creationId xmlns:a16="http://schemas.microsoft.com/office/drawing/2014/main" id="{B2EBE3F3-2789-4E71-878B-6AADEC52356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371475</xdr:colOff>
      <xdr:row>66</xdr:row>
      <xdr:rowOff>38100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8CFC3212-33DF-4B3F-8906-BD043805569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314325</xdr:colOff>
      <xdr:row>66</xdr:row>
      <xdr:rowOff>38100</xdr:rowOff>
    </xdr:to>
    <xdr:sp macro="" textlink="">
      <xdr:nvSpPr>
        <xdr:cNvPr id="3080" name="shapetype_202" hidden="1">
          <a:extLst>
            <a:ext uri="{FF2B5EF4-FFF2-40B4-BE49-F238E27FC236}">
              <a16:creationId xmlns:a16="http://schemas.microsoft.com/office/drawing/2014/main" id="{CE65B660-9E65-4CA8-BABA-630425C88BB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314325</xdr:colOff>
      <xdr:row>66</xdr:row>
      <xdr:rowOff>38100</xdr:rowOff>
    </xdr:to>
    <xdr:sp macro="" textlink="">
      <xdr:nvSpPr>
        <xdr:cNvPr id="3078" name="shapetype_202" hidden="1">
          <a:extLst>
            <a:ext uri="{FF2B5EF4-FFF2-40B4-BE49-F238E27FC236}">
              <a16:creationId xmlns:a16="http://schemas.microsoft.com/office/drawing/2014/main" id="{D2E2492D-96DC-4DFD-A0CE-87191F7D438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314325</xdr:colOff>
      <xdr:row>66</xdr:row>
      <xdr:rowOff>38100</xdr:rowOff>
    </xdr:to>
    <xdr:sp macro="" textlink="">
      <xdr:nvSpPr>
        <xdr:cNvPr id="3076" name="shapetype_202" hidden="1">
          <a:extLst>
            <a:ext uri="{FF2B5EF4-FFF2-40B4-BE49-F238E27FC236}">
              <a16:creationId xmlns:a16="http://schemas.microsoft.com/office/drawing/2014/main" id="{39148E66-B76A-4DDB-854D-3AA8757A0AA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314325</xdr:colOff>
      <xdr:row>66</xdr:row>
      <xdr:rowOff>38100</xdr:rowOff>
    </xdr:to>
    <xdr:sp macro="" textlink="">
      <xdr:nvSpPr>
        <xdr:cNvPr id="3074" name="shapetype_202" hidden="1">
          <a:extLst>
            <a:ext uri="{FF2B5EF4-FFF2-40B4-BE49-F238E27FC236}">
              <a16:creationId xmlns:a16="http://schemas.microsoft.com/office/drawing/2014/main" id="{D7E1CD17-2104-4BB1-938B-7646FD84AD0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247650</xdr:colOff>
      <xdr:row>66</xdr:row>
      <xdr:rowOff>66675</xdr:rowOff>
    </xdr:to>
    <xdr:sp macro="" textlink="">
      <xdr:nvSpPr>
        <xdr:cNvPr id="4104" name="shapetype_202" hidden="1">
          <a:extLst>
            <a:ext uri="{FF2B5EF4-FFF2-40B4-BE49-F238E27FC236}">
              <a16:creationId xmlns:a16="http://schemas.microsoft.com/office/drawing/2014/main" id="{8A7F6180-CA51-476E-B27B-CA2B6B0412A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66</xdr:row>
      <xdr:rowOff>66675</xdr:rowOff>
    </xdr:to>
    <xdr:sp macro="" textlink="">
      <xdr:nvSpPr>
        <xdr:cNvPr id="4102" name="shapetype_202" hidden="1">
          <a:extLst>
            <a:ext uri="{FF2B5EF4-FFF2-40B4-BE49-F238E27FC236}">
              <a16:creationId xmlns:a16="http://schemas.microsoft.com/office/drawing/2014/main" id="{C1A740DA-E150-43ED-B4BB-E759B10480A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66</xdr:row>
      <xdr:rowOff>66675</xdr:rowOff>
    </xdr:to>
    <xdr:sp macro="" textlink="">
      <xdr:nvSpPr>
        <xdr:cNvPr id="4100" name="shapetype_202" hidden="1">
          <a:extLst>
            <a:ext uri="{FF2B5EF4-FFF2-40B4-BE49-F238E27FC236}">
              <a16:creationId xmlns:a16="http://schemas.microsoft.com/office/drawing/2014/main" id="{3DDF0448-65FA-42AF-A02B-191F3EB23A9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66</xdr:row>
      <xdr:rowOff>66675</xdr:rowOff>
    </xdr:to>
    <xdr:sp macro="" textlink="">
      <xdr:nvSpPr>
        <xdr:cNvPr id="4098" name="shapetype_202" hidden="1">
          <a:extLst>
            <a:ext uri="{FF2B5EF4-FFF2-40B4-BE49-F238E27FC236}">
              <a16:creationId xmlns:a16="http://schemas.microsoft.com/office/drawing/2014/main" id="{E96F955A-0B92-400A-BD87-E3FACF80028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43"/>
  <sheetViews>
    <sheetView topLeftCell="A3" zoomScaleNormal="100" workbookViewId="0">
      <selection activeCell="D29" sqref="D29"/>
    </sheetView>
  </sheetViews>
  <sheetFormatPr baseColWidth="10" defaultColWidth="9.140625" defaultRowHeight="12.75" x14ac:dyDescent="0.2"/>
  <cols>
    <col min="1" max="1" width="33.85546875" style="1"/>
    <col min="2" max="2" width="9.28515625" style="1"/>
    <col min="3" max="3" width="9" style="1"/>
    <col min="4" max="4" width="31.140625" style="1"/>
    <col min="5" max="5" width="9.5703125" style="1"/>
    <col min="6" max="6" width="7" style="1"/>
    <col min="7" max="7" width="24.140625" style="1"/>
    <col min="8" max="8" width="6.5703125" style="1"/>
    <col min="9" max="9" width="7.5703125" style="1"/>
    <col min="10" max="1025" width="12.140625" style="1"/>
  </cols>
  <sheetData>
    <row r="1" spans="1:9" ht="10.5" customHeight="1" x14ac:dyDescent="0.2">
      <c r="A1" s="2" t="s">
        <v>0</v>
      </c>
      <c r="B1"/>
      <c r="C1"/>
      <c r="E1"/>
      <c r="F1"/>
      <c r="G1"/>
      <c r="H1"/>
      <c r="I1"/>
    </row>
    <row r="2" spans="1:9" ht="10.5" customHeight="1" x14ac:dyDescent="0.2">
      <c r="A2" s="3"/>
      <c r="B2" s="4"/>
      <c r="C2" s="4"/>
      <c r="D2" s="4"/>
      <c r="E2" s="4"/>
      <c r="F2" s="4"/>
      <c r="G2" s="4"/>
      <c r="H2" s="4"/>
      <c r="I2" s="5"/>
    </row>
    <row r="3" spans="1:9" ht="10.5" customHeight="1" x14ac:dyDescent="0.2">
      <c r="A3" s="6" t="s">
        <v>1</v>
      </c>
      <c r="B3" s="7"/>
      <c r="C3" s="7"/>
      <c r="D3" s="8" t="s">
        <v>2</v>
      </c>
      <c r="E3" s="7"/>
      <c r="F3" s="7"/>
      <c r="G3" s="9" t="s">
        <v>3</v>
      </c>
      <c r="H3" s="7"/>
      <c r="I3" s="10"/>
    </row>
    <row r="4" spans="1:9" ht="10.5" customHeight="1" x14ac:dyDescent="0.2">
      <c r="A4" s="11" t="s">
        <v>4</v>
      </c>
      <c r="B4" s="12">
        <v>200</v>
      </c>
      <c r="C4" s="7" t="s">
        <v>5</v>
      </c>
      <c r="D4" s="13" t="s">
        <v>6</v>
      </c>
      <c r="E4" s="14">
        <v>135</v>
      </c>
      <c r="F4" s="7" t="s">
        <v>5</v>
      </c>
      <c r="G4" s="13" t="s">
        <v>7</v>
      </c>
      <c r="H4" s="15">
        <v>9</v>
      </c>
      <c r="I4" s="10" t="s">
        <v>8</v>
      </c>
    </row>
    <row r="5" spans="1:9" ht="10.5" customHeight="1" x14ac:dyDescent="0.2">
      <c r="A5" s="11" t="s">
        <v>9</v>
      </c>
      <c r="B5" s="12">
        <v>760</v>
      </c>
      <c r="C5" s="7" t="s">
        <v>5</v>
      </c>
      <c r="D5" s="13" t="s">
        <v>10</v>
      </c>
      <c r="E5" s="16">
        <f>135*1.425</f>
        <v>192.375</v>
      </c>
      <c r="F5" s="7" t="s">
        <v>5</v>
      </c>
      <c r="G5" s="13" t="s">
        <v>11</v>
      </c>
      <c r="H5" s="15">
        <v>768</v>
      </c>
      <c r="I5" s="10"/>
    </row>
    <row r="6" spans="1:9" ht="10.5" customHeight="1" x14ac:dyDescent="0.2">
      <c r="A6" s="11" t="s">
        <v>12</v>
      </c>
      <c r="B6" s="17">
        <f>B5/B4</f>
        <v>3.8</v>
      </c>
      <c r="C6" s="7"/>
      <c r="D6" s="13" t="s">
        <v>13</v>
      </c>
      <c r="E6" s="14">
        <v>1200</v>
      </c>
      <c r="F6" s="7"/>
      <c r="G6" s="13" t="s">
        <v>14</v>
      </c>
      <c r="H6" s="15">
        <v>70</v>
      </c>
      <c r="I6" s="10" t="s">
        <v>15</v>
      </c>
    </row>
    <row r="7" spans="1:9" ht="10.5" customHeight="1" x14ac:dyDescent="0.2">
      <c r="A7" s="11" t="s">
        <v>16</v>
      </c>
      <c r="B7" s="18">
        <v>0.3</v>
      </c>
      <c r="C7" s="7"/>
      <c r="D7" s="13" t="s">
        <v>17</v>
      </c>
      <c r="E7" s="14">
        <v>1</v>
      </c>
      <c r="F7" s="7"/>
      <c r="G7" s="13" t="s">
        <v>18</v>
      </c>
      <c r="H7" s="15">
        <v>30</v>
      </c>
      <c r="I7" s="10" t="s">
        <v>19</v>
      </c>
    </row>
    <row r="8" spans="1:9" ht="10.5" customHeight="1" x14ac:dyDescent="0.2">
      <c r="A8" s="11" t="s">
        <v>20</v>
      </c>
      <c r="B8" s="18">
        <v>0.75</v>
      </c>
      <c r="C8" s="7"/>
      <c r="D8" s="13" t="s">
        <v>21</v>
      </c>
      <c r="E8" s="14">
        <v>38</v>
      </c>
      <c r="F8" s="7" t="s">
        <v>22</v>
      </c>
      <c r="G8" s="13" t="s">
        <v>23</v>
      </c>
      <c r="H8" s="15">
        <v>0.1</v>
      </c>
      <c r="I8" s="10" t="s">
        <v>24</v>
      </c>
    </row>
    <row r="9" spans="1:9" ht="10.5" customHeight="1" x14ac:dyDescent="0.2">
      <c r="A9" s="11"/>
      <c r="B9" s="7"/>
      <c r="C9" s="7"/>
      <c r="D9" s="13" t="s">
        <v>25</v>
      </c>
      <c r="E9" s="14">
        <v>6670</v>
      </c>
      <c r="F9" s="7" t="s">
        <v>26</v>
      </c>
      <c r="G9" s="13"/>
      <c r="H9" s="7"/>
      <c r="I9" s="10"/>
    </row>
    <row r="10" spans="1:9" ht="10.5" customHeight="1" x14ac:dyDescent="0.2">
      <c r="A10" s="19" t="s">
        <v>27</v>
      </c>
      <c r="B10" s="7"/>
      <c r="C10" s="7"/>
      <c r="D10" s="13" t="s">
        <v>28</v>
      </c>
      <c r="E10" s="14">
        <v>20</v>
      </c>
      <c r="F10" s="7" t="s">
        <v>5</v>
      </c>
      <c r="G10" s="13"/>
      <c r="H10" s="7"/>
      <c r="I10" s="10"/>
    </row>
    <row r="11" spans="1:9" ht="10.5" customHeight="1" x14ac:dyDescent="0.2">
      <c r="A11" s="11" t="s">
        <v>29</v>
      </c>
      <c r="B11" s="20">
        <v>1</v>
      </c>
      <c r="C11" s="7" t="s">
        <v>30</v>
      </c>
      <c r="D11" s="13" t="s">
        <v>31</v>
      </c>
      <c r="E11" s="21">
        <v>0.7</v>
      </c>
      <c r="F11" s="7"/>
      <c r="G11" s="7"/>
      <c r="H11" s="7"/>
      <c r="I11" s="10"/>
    </row>
    <row r="12" spans="1:9" ht="10.5" customHeight="1" x14ac:dyDescent="0.2">
      <c r="A12" s="11" t="s">
        <v>32</v>
      </c>
      <c r="B12" s="22">
        <f>B11/3600/180*PI()*B5*1000</f>
        <v>3.6845839764324735</v>
      </c>
      <c r="C12" s="23" t="s">
        <v>33</v>
      </c>
      <c r="D12" s="13" t="s">
        <v>34</v>
      </c>
      <c r="E12" s="14">
        <v>0</v>
      </c>
      <c r="F12" s="23" t="s">
        <v>33</v>
      </c>
      <c r="G12" s="7"/>
      <c r="H12" s="7"/>
      <c r="I12" s="10"/>
    </row>
    <row r="13" spans="1:9" ht="10.5" customHeight="1" x14ac:dyDescent="0.2">
      <c r="A13" s="11" t="s">
        <v>35</v>
      </c>
      <c r="B13" s="24">
        <v>0.75</v>
      </c>
      <c r="C13" s="7"/>
      <c r="D13" s="13"/>
      <c r="E13" s="7"/>
      <c r="F13" s="7"/>
      <c r="G13" s="13"/>
      <c r="H13" s="7"/>
      <c r="I13" s="10"/>
    </row>
    <row r="14" spans="1:9" ht="10.5" customHeight="1" x14ac:dyDescent="0.2">
      <c r="A14" s="11" t="s">
        <v>36</v>
      </c>
      <c r="B14" s="20">
        <v>18</v>
      </c>
      <c r="C14" s="7"/>
      <c r="D14" s="13" t="s">
        <v>37</v>
      </c>
      <c r="E14" s="22">
        <f>2.44*$E$9/10000*B26</f>
        <v>6.1844239999999999</v>
      </c>
      <c r="F14" s="23" t="s">
        <v>33</v>
      </c>
      <c r="G14" s="7"/>
      <c r="H14" s="7"/>
      <c r="I14" s="10"/>
    </row>
    <row r="15" spans="1:9" ht="10.5" customHeight="1" x14ac:dyDescent="0.2">
      <c r="A15" s="11" t="s">
        <v>38</v>
      </c>
      <c r="B15" s="20">
        <v>20</v>
      </c>
      <c r="C15" s="7"/>
      <c r="D15" s="13" t="s">
        <v>39</v>
      </c>
      <c r="E15" s="22">
        <f>2.44*$E$9/10000*B33</f>
        <v>6.2786334117385181</v>
      </c>
      <c r="F15" s="23" t="s">
        <v>33</v>
      </c>
      <c r="G15" s="7"/>
      <c r="H15" s="7"/>
      <c r="I15" s="10"/>
    </row>
    <row r="16" spans="1:9" ht="10.5" customHeight="1" x14ac:dyDescent="0.2">
      <c r="A16" s="11" t="s">
        <v>40</v>
      </c>
      <c r="B16" s="20">
        <v>10</v>
      </c>
      <c r="C16" s="7"/>
      <c r="D16" s="13"/>
      <c r="E16" s="17"/>
      <c r="F16" s="7"/>
      <c r="G16" s="7"/>
      <c r="H16" s="7"/>
      <c r="I16" s="10"/>
    </row>
    <row r="17" spans="1:9" ht="10.5" customHeight="1" x14ac:dyDescent="0.2">
      <c r="A17" s="25"/>
      <c r="B17" s="7"/>
      <c r="C17" s="7"/>
      <c r="D17" s="26" t="s">
        <v>41</v>
      </c>
      <c r="E17" s="17"/>
      <c r="F17" s="7"/>
      <c r="G17" s="7"/>
      <c r="H17" s="7"/>
      <c r="I17" s="10"/>
    </row>
    <row r="18" spans="1:9" ht="10.5" customHeight="1" x14ac:dyDescent="0.2">
      <c r="A18" s="6" t="s">
        <v>42</v>
      </c>
      <c r="B18" s="7"/>
      <c r="C18" s="27"/>
      <c r="D18" s="28" t="s">
        <v>43</v>
      </c>
      <c r="E18" s="29">
        <v>1</v>
      </c>
      <c r="F18" s="7"/>
      <c r="G18" s="7"/>
      <c r="H18" s="7"/>
      <c r="I18" s="10"/>
    </row>
    <row r="19" spans="1:9" ht="10.5" customHeight="1" x14ac:dyDescent="0.2">
      <c r="A19" s="11" t="s">
        <v>44</v>
      </c>
      <c r="B19" s="30">
        <v>2.4</v>
      </c>
      <c r="C19" s="23" t="s">
        <v>45</v>
      </c>
      <c r="D19" s="13" t="s">
        <v>46</v>
      </c>
      <c r="E19" s="29">
        <v>1</v>
      </c>
      <c r="F19" s="7"/>
      <c r="G19" s="7"/>
      <c r="H19" s="7"/>
      <c r="I19" s="10"/>
    </row>
    <row r="20" spans="1:9" ht="10.5" customHeight="1" x14ac:dyDescent="0.2">
      <c r="A20" s="11" t="s">
        <v>47</v>
      </c>
      <c r="B20" s="30">
        <v>12000</v>
      </c>
      <c r="C20" s="7" t="s">
        <v>48</v>
      </c>
      <c r="D20" s="13" t="s">
        <v>49</v>
      </c>
      <c r="E20" s="29">
        <v>1</v>
      </c>
      <c r="F20" s="7"/>
      <c r="G20" s="7"/>
      <c r="H20" s="7"/>
      <c r="I20" s="10"/>
    </row>
    <row r="21" spans="1:9" ht="10.5" customHeight="1" x14ac:dyDescent="0.2">
      <c r="A21" s="11" t="s">
        <v>50</v>
      </c>
      <c r="B21" s="30">
        <v>-0.4</v>
      </c>
      <c r="C21" s="7" t="s">
        <v>51</v>
      </c>
      <c r="D21" s="28" t="s">
        <v>52</v>
      </c>
      <c r="E21" s="29">
        <v>1</v>
      </c>
      <c r="F21" s="7"/>
      <c r="G21" s="7"/>
      <c r="H21" s="7"/>
      <c r="I21" s="10"/>
    </row>
    <row r="22" spans="1:9" ht="10.5" customHeight="1" x14ac:dyDescent="0.2">
      <c r="A22" s="25"/>
      <c r="B22" s="7"/>
      <c r="C22" s="7"/>
      <c r="D22" s="13"/>
      <c r="E22" s="17"/>
      <c r="F22" s="7"/>
      <c r="G22" s="7"/>
      <c r="H22" s="7"/>
      <c r="I22" s="10"/>
    </row>
    <row r="23" spans="1:9" ht="10.5" customHeight="1" x14ac:dyDescent="0.2">
      <c r="A23" s="3"/>
      <c r="B23" s="4"/>
      <c r="C23" s="4"/>
      <c r="D23" s="4"/>
      <c r="E23" s="4"/>
      <c r="F23" s="4"/>
      <c r="G23" s="4"/>
      <c r="H23" s="4"/>
      <c r="I23" s="5"/>
    </row>
    <row r="24" spans="1:9" ht="10.5" customHeight="1" x14ac:dyDescent="0.2">
      <c r="A24" s="19" t="s">
        <v>53</v>
      </c>
      <c r="B24" s="7"/>
      <c r="C24" s="7"/>
      <c r="D24" s="31"/>
      <c r="E24" s="7"/>
      <c r="F24" s="7"/>
      <c r="G24" s="7"/>
      <c r="H24" s="7"/>
      <c r="I24" s="10"/>
    </row>
    <row r="25" spans="1:9" ht="10.5" customHeight="1" x14ac:dyDescent="0.2">
      <c r="A25" s="11" t="s">
        <v>54</v>
      </c>
      <c r="B25" s="22">
        <f>B4*E4/B5</f>
        <v>35.526315789473685</v>
      </c>
      <c r="C25" s="7" t="s">
        <v>5</v>
      </c>
      <c r="D25" s="7"/>
      <c r="E25" s="7"/>
      <c r="F25" s="7"/>
      <c r="G25" s="7"/>
      <c r="H25" s="7"/>
      <c r="I25" s="10"/>
    </row>
    <row r="26" spans="1:9" ht="10.5" customHeight="1" x14ac:dyDescent="0.2">
      <c r="A26" s="11" t="s">
        <v>55</v>
      </c>
      <c r="B26" s="7">
        <f>E4/B25</f>
        <v>3.8</v>
      </c>
      <c r="C26" s="7" t="s">
        <v>22</v>
      </c>
      <c r="D26" s="7"/>
      <c r="E26" s="7"/>
      <c r="F26" s="7"/>
      <c r="G26" s="7"/>
      <c r="H26" s="7"/>
      <c r="I26" s="10"/>
    </row>
    <row r="27" spans="1:9" ht="10.5" customHeight="1" x14ac:dyDescent="0.2">
      <c r="A27" s="11" t="s">
        <v>56</v>
      </c>
      <c r="B27" s="32">
        <f>DEGREES(ASIN(0.0000001*E7*E6*E9/2/COS(RADIANS(E8/2))))+E8/2</f>
        <v>44.040563826615795</v>
      </c>
      <c r="C27" s="7" t="s">
        <v>22</v>
      </c>
      <c r="D27" s="7"/>
      <c r="E27" s="7"/>
      <c r="F27" s="7"/>
      <c r="G27" s="7"/>
      <c r="H27" s="7"/>
      <c r="I27" s="10"/>
    </row>
    <row r="28" spans="1:9" ht="10.5" customHeight="1" x14ac:dyDescent="0.2">
      <c r="A28" s="11" t="s">
        <v>57</v>
      </c>
      <c r="B28" s="22">
        <f>B27-E8</f>
        <v>6.0405638266157951</v>
      </c>
      <c r="C28" s="7" t="s">
        <v>22</v>
      </c>
      <c r="D28" s="7"/>
      <c r="E28" s="7"/>
      <c r="F28" s="7"/>
      <c r="G28" s="7"/>
      <c r="H28" s="7"/>
      <c r="I28" s="10"/>
    </row>
    <row r="29" spans="1:9" ht="10.5" customHeight="1" x14ac:dyDescent="0.2">
      <c r="A29" s="11" t="s">
        <v>58</v>
      </c>
      <c r="B29" s="22">
        <f>B25/COS(RADIANS(B27))</f>
        <v>49.421191442530798</v>
      </c>
      <c r="C29" s="7" t="s">
        <v>5</v>
      </c>
      <c r="D29" s="7"/>
      <c r="E29" s="7"/>
      <c r="F29" s="7"/>
      <c r="G29" s="7"/>
      <c r="H29" s="7"/>
      <c r="I29" s="10"/>
    </row>
    <row r="30" spans="1:9" ht="10.5" customHeight="1" x14ac:dyDescent="0.2">
      <c r="A30" s="11" t="s">
        <v>59</v>
      </c>
      <c r="B30" s="32">
        <f>COS(RADIANS(B27))/COS(RADIANS(B28))</f>
        <v>0.72286140587527103</v>
      </c>
      <c r="C30" s="7"/>
      <c r="D30" s="7"/>
      <c r="E30" s="7"/>
      <c r="F30" s="7"/>
      <c r="G30" s="7"/>
      <c r="H30" s="7"/>
      <c r="I30" s="10"/>
    </row>
    <row r="31" spans="1:9" ht="10.5" customHeight="1" x14ac:dyDescent="0.2">
      <c r="A31" s="11" t="s">
        <v>60</v>
      </c>
      <c r="B31" s="22">
        <f>E4/B30/B6</f>
        <v>49.146787338102421</v>
      </c>
      <c r="C31" s="7" t="s">
        <v>5</v>
      </c>
      <c r="D31" s="7"/>
      <c r="E31" s="7"/>
      <c r="F31" s="7"/>
      <c r="G31" s="7"/>
      <c r="H31" s="7"/>
      <c r="I31" s="10"/>
    </row>
    <row r="32" spans="1:9" ht="10.5" customHeight="1" x14ac:dyDescent="0.2">
      <c r="A32" s="11" t="s">
        <v>61</v>
      </c>
      <c r="B32" s="22">
        <f>E4/B30/B6+E10*H4*H5/E5/1000</f>
        <v>49.86538382933049</v>
      </c>
      <c r="C32" s="7" t="s">
        <v>5</v>
      </c>
      <c r="D32" s="7"/>
      <c r="E32" s="7"/>
      <c r="F32" s="7"/>
      <c r="G32" s="7"/>
      <c r="H32" s="7"/>
      <c r="I32" s="10"/>
    </row>
    <row r="33" spans="1:9" ht="10.5" customHeight="1" x14ac:dyDescent="0.2">
      <c r="A33" s="11" t="s">
        <v>62</v>
      </c>
      <c r="B33" s="33">
        <f>E5/B32</f>
        <v>3.8578866786310848</v>
      </c>
      <c r="C33" s="7"/>
      <c r="D33" s="7"/>
      <c r="E33" s="7"/>
      <c r="F33" s="7"/>
      <c r="G33" s="7"/>
      <c r="H33" s="7"/>
      <c r="I33" s="10"/>
    </row>
    <row r="34" spans="1:9" ht="10.5" customHeight="1" x14ac:dyDescent="0.2">
      <c r="A34" s="11"/>
      <c r="B34" s="32"/>
      <c r="C34" s="7"/>
      <c r="D34" s="13" t="s">
        <v>63</v>
      </c>
      <c r="E34" s="22">
        <f>8.48E+34*POWER(10,-0.4*(B19+B21))/POWER(B20,4)/POWER(E9,4)/(EXP(144000000/B20/E9)-1)</f>
        <v>64.919407897640383</v>
      </c>
      <c r="F34" s="7" t="s">
        <v>64</v>
      </c>
      <c r="G34" s="7"/>
      <c r="H34" s="7"/>
      <c r="I34" s="10"/>
    </row>
    <row r="35" spans="1:9" ht="10.5" customHeight="1" x14ac:dyDescent="0.2">
      <c r="A35" s="11" t="s">
        <v>65</v>
      </c>
      <c r="B35" s="34">
        <f>ABS(10000*H4*E19*COS(RADIANS(B28))/E7/E6/E5)</f>
        <v>0.38769888611113906</v>
      </c>
      <c r="C35" s="7" t="s">
        <v>66</v>
      </c>
      <c r="D35" s="13" t="s">
        <v>67</v>
      </c>
      <c r="E35" s="35">
        <f>100*POWER(10,-0.4*B14)</f>
        <v>6.3095734448019178E-6</v>
      </c>
      <c r="F35" s="7" t="s">
        <v>68</v>
      </c>
      <c r="G35" s="7"/>
      <c r="H35" s="7"/>
      <c r="I35" s="10"/>
    </row>
    <row r="36" spans="1:9" ht="10.5" customHeight="1" x14ac:dyDescent="0.2">
      <c r="A36" s="11" t="s">
        <v>69</v>
      </c>
      <c r="B36" s="36">
        <f>E9-H5*B35/E19/2</f>
        <v>6521.1236277333228</v>
      </c>
      <c r="C36" s="7" t="s">
        <v>26</v>
      </c>
      <c r="D36" s="13" t="s">
        <v>70</v>
      </c>
      <c r="E36" s="37">
        <f>(1-B7*B7)*B13*B8*E11*H6/100</f>
        <v>0.25081874999999998</v>
      </c>
      <c r="F36" s="7"/>
      <c r="G36" s="7"/>
      <c r="H36" s="7"/>
      <c r="I36" s="10"/>
    </row>
    <row r="37" spans="1:9" ht="10.5" customHeight="1" x14ac:dyDescent="0.2">
      <c r="A37" s="11" t="s">
        <v>71</v>
      </c>
      <c r="B37" s="36">
        <f>E9+H5*B35/E19/2</f>
        <v>6818.8763722666772</v>
      </c>
      <c r="C37" s="7" t="s">
        <v>26</v>
      </c>
      <c r="D37" s="13" t="s">
        <v>72</v>
      </c>
      <c r="E37" s="22">
        <f>0.25*PI()*E34*E36*B4*B4*B35*E18*B15/100</f>
        <v>39665.138119212977</v>
      </c>
      <c r="F37" s="7" t="s">
        <v>19</v>
      </c>
      <c r="G37" s="7"/>
      <c r="H37" s="7"/>
      <c r="I37" s="10"/>
    </row>
    <row r="38" spans="1:9" ht="10.5" customHeight="1" x14ac:dyDescent="0.2">
      <c r="A38" s="11" t="s">
        <v>73</v>
      </c>
      <c r="B38" s="32">
        <f>0.0001*E5*E9/(E4/B30/B6)</f>
        <v>2.6108344400473338</v>
      </c>
      <c r="C38" s="23" t="s">
        <v>33</v>
      </c>
      <c r="D38" s="13" t="s">
        <v>74</v>
      </c>
      <c r="E38" s="22">
        <f>106300000*PI()*E35*E36*B35*E20*H4/1000*E12*B15*E4/E5/B6/B6</f>
        <v>0</v>
      </c>
      <c r="F38" s="7" t="s">
        <v>19</v>
      </c>
      <c r="G38" s="7"/>
      <c r="H38" s="7"/>
      <c r="I38" s="10"/>
    </row>
    <row r="39" spans="1:9" ht="10.5" customHeight="1" x14ac:dyDescent="0.2">
      <c r="A39" s="11" t="s">
        <v>75</v>
      </c>
      <c r="B39" s="22">
        <f>1000*SQRT(POWER($B$30*$E$5/$E$4,2)*(IF(E12=0,POWER($B$11*PI()/648000,2)*$B$5*$B$5,POWER(   MIN(B12,$E$12/1000),2))+POWER($E$14/1000,2))+POWER($E$15/1000,2)+POWER($B$38/1000,2)+POWER($E$19*$H$4/1000,2))</f>
        <v>13.499083821836662</v>
      </c>
      <c r="C39" s="23" t="s">
        <v>33</v>
      </c>
      <c r="D39" s="13" t="s">
        <v>76</v>
      </c>
      <c r="E39" s="22">
        <f>SQRT(E37+E21*E38+H8*E21*B15*E19*E20+E21*B16*H7*H7)</f>
        <v>220.60629664452685</v>
      </c>
      <c r="F39" s="7" t="s">
        <v>77</v>
      </c>
      <c r="G39" s="22"/>
      <c r="H39" s="7"/>
      <c r="I39" s="10"/>
    </row>
    <row r="40" spans="1:9" ht="10.5" customHeight="1" x14ac:dyDescent="0.2">
      <c r="A40" s="11" t="s">
        <v>78</v>
      </c>
      <c r="B40" s="32">
        <f>B39/2/H4/E19</f>
        <v>0.74994910121314784</v>
      </c>
      <c r="C40" s="7"/>
      <c r="D40" s="38" t="s">
        <v>79</v>
      </c>
      <c r="E40" s="39">
        <f>E37/E39</f>
        <v>179.80057107403081</v>
      </c>
      <c r="F40" s="7"/>
      <c r="G40" s="7"/>
      <c r="H40" s="7"/>
      <c r="I40" s="10"/>
    </row>
    <row r="41" spans="1:9" ht="10.5" customHeight="1" x14ac:dyDescent="0.2">
      <c r="A41" s="40" t="s">
        <v>80</v>
      </c>
      <c r="B41" s="41">
        <f>IF(B40&lt;1,ABS(1000*B30*E5/2/H4/E19*(TAN(RADIANS(B27))+SIN(RADIANS(B28))/COS(RADIANS(B27)))),ABS(1000*B30*E5/B39*(TAN(RADIANS(B27))+SIN(RADIANS(B28))/COS(RADIANS(B27)))))</f>
        <v>8602.0365790887954</v>
      </c>
      <c r="C41" s="27"/>
      <c r="D41" s="7"/>
      <c r="E41" s="7"/>
      <c r="F41" s="7"/>
      <c r="G41" s="7"/>
      <c r="H41" s="7"/>
      <c r="I41" s="10"/>
    </row>
    <row r="42" spans="1:9" ht="10.5" customHeight="1" x14ac:dyDescent="0.2">
      <c r="A42" s="40" t="s">
        <v>81</v>
      </c>
      <c r="B42" s="42">
        <f>E9/B41</f>
        <v>0.77539777222227835</v>
      </c>
      <c r="C42" s="27" t="s">
        <v>26</v>
      </c>
      <c r="D42" s="7"/>
      <c r="E42" s="7"/>
      <c r="F42" s="7"/>
      <c r="G42" s="7"/>
      <c r="H42" s="7"/>
      <c r="I42" s="10"/>
    </row>
    <row r="43" spans="1:9" ht="10.5" customHeight="1" x14ac:dyDescent="0.2">
      <c r="A43" s="43"/>
      <c r="B43" s="44"/>
      <c r="C43" s="44"/>
      <c r="D43" s="44"/>
      <c r="E43" s="44"/>
      <c r="F43" s="44"/>
      <c r="G43" s="44"/>
      <c r="H43" s="44"/>
      <c r="I43" s="45"/>
    </row>
  </sheetData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42"/>
  <sheetViews>
    <sheetView topLeftCell="A3" zoomScaleNormal="100" workbookViewId="0">
      <selection activeCell="A25" sqref="A25"/>
    </sheetView>
  </sheetViews>
  <sheetFormatPr baseColWidth="10" defaultColWidth="9.140625" defaultRowHeight="12.75" x14ac:dyDescent="0.2"/>
  <cols>
    <col min="1" max="1" width="33.85546875" style="1"/>
    <col min="2" max="2" width="9.28515625" style="1"/>
    <col min="3" max="3" width="9" style="1"/>
    <col min="4" max="4" width="30.28515625" style="1"/>
    <col min="5" max="5" width="9.5703125" style="1"/>
    <col min="6" max="6" width="7" style="1"/>
    <col min="7" max="7" width="24.140625" style="1"/>
    <col min="8" max="8" width="6.5703125" style="1"/>
    <col min="9" max="9" width="7.5703125" style="1"/>
    <col min="10" max="1025" width="12.140625" style="1"/>
  </cols>
  <sheetData>
    <row r="1" spans="1:9" ht="10.5" customHeight="1" x14ac:dyDescent="0.2">
      <c r="A1" s="2" t="s">
        <v>0</v>
      </c>
      <c r="B1"/>
      <c r="C1"/>
      <c r="E1"/>
      <c r="F1"/>
      <c r="G1"/>
      <c r="H1"/>
      <c r="I1"/>
    </row>
    <row r="2" spans="1:9" ht="10.5" customHeight="1" x14ac:dyDescent="0.2">
      <c r="A2"/>
      <c r="B2"/>
      <c r="C2"/>
      <c r="D2"/>
      <c r="E2"/>
      <c r="F2"/>
      <c r="G2"/>
      <c r="H2"/>
      <c r="I2"/>
    </row>
    <row r="3" spans="1:9" ht="10.5" customHeight="1" x14ac:dyDescent="0.2">
      <c r="A3" s="46" t="s">
        <v>1</v>
      </c>
      <c r="B3"/>
      <c r="C3"/>
      <c r="D3" s="47" t="s">
        <v>2</v>
      </c>
      <c r="E3"/>
      <c r="F3"/>
      <c r="G3" s="46" t="s">
        <v>3</v>
      </c>
      <c r="H3"/>
      <c r="I3"/>
    </row>
    <row r="4" spans="1:9" ht="10.5" customHeight="1" x14ac:dyDescent="0.2">
      <c r="A4" s="48" t="s">
        <v>4</v>
      </c>
      <c r="B4" s="49">
        <v>317.5</v>
      </c>
      <c r="C4" s="1" t="s">
        <v>5</v>
      </c>
      <c r="D4" s="48" t="s">
        <v>6</v>
      </c>
      <c r="E4" s="50">
        <v>500</v>
      </c>
      <c r="F4" s="1" t="s">
        <v>5</v>
      </c>
      <c r="G4" s="48" t="s">
        <v>7</v>
      </c>
      <c r="H4" s="51">
        <v>24</v>
      </c>
      <c r="I4" s="1" t="s">
        <v>8</v>
      </c>
    </row>
    <row r="5" spans="1:9" ht="10.5" customHeight="1" x14ac:dyDescent="0.2">
      <c r="A5" s="48" t="s">
        <v>9</v>
      </c>
      <c r="B5" s="49">
        <v>3200</v>
      </c>
      <c r="C5" s="1" t="s">
        <v>5</v>
      </c>
      <c r="D5" s="48" t="s">
        <v>82</v>
      </c>
      <c r="E5" s="50">
        <v>500</v>
      </c>
      <c r="F5" s="1" t="s">
        <v>5</v>
      </c>
      <c r="G5" s="48" t="s">
        <v>11</v>
      </c>
      <c r="H5" s="51">
        <v>1024</v>
      </c>
      <c r="I5"/>
    </row>
    <row r="6" spans="1:9" ht="10.5" customHeight="1" x14ac:dyDescent="0.2">
      <c r="A6" s="48" t="s">
        <v>12</v>
      </c>
      <c r="B6" s="52">
        <f>B5/B4</f>
        <v>10.078740157480315</v>
      </c>
      <c r="C6"/>
      <c r="D6" s="48" t="s">
        <v>13</v>
      </c>
      <c r="E6" s="50">
        <v>1200</v>
      </c>
      <c r="F6"/>
      <c r="G6" s="48" t="s">
        <v>14</v>
      </c>
      <c r="H6" s="51">
        <v>85</v>
      </c>
      <c r="I6" s="1" t="s">
        <v>15</v>
      </c>
    </row>
    <row r="7" spans="1:9" ht="10.5" customHeight="1" x14ac:dyDescent="0.2">
      <c r="A7" s="48" t="s">
        <v>16</v>
      </c>
      <c r="B7" s="18">
        <v>0.3</v>
      </c>
      <c r="C7"/>
      <c r="D7" s="48" t="s">
        <v>17</v>
      </c>
      <c r="E7" s="50">
        <v>1</v>
      </c>
      <c r="F7"/>
      <c r="G7" s="48" t="s">
        <v>18</v>
      </c>
      <c r="H7" s="51">
        <v>30</v>
      </c>
      <c r="I7" s="1" t="s">
        <v>19</v>
      </c>
    </row>
    <row r="8" spans="1:9" ht="10.5" customHeight="1" x14ac:dyDescent="0.2">
      <c r="A8" s="48" t="s">
        <v>20</v>
      </c>
      <c r="B8" s="18">
        <v>0.75</v>
      </c>
      <c r="C8"/>
      <c r="D8" s="48" t="s">
        <v>21</v>
      </c>
      <c r="E8" s="50">
        <v>5</v>
      </c>
      <c r="F8" s="1" t="s">
        <v>22</v>
      </c>
      <c r="G8" s="48" t="s">
        <v>23</v>
      </c>
      <c r="H8" s="51">
        <v>0.1</v>
      </c>
      <c r="I8" s="1" t="s">
        <v>24</v>
      </c>
    </row>
    <row r="9" spans="1:9" ht="10.5" customHeight="1" x14ac:dyDescent="0.2">
      <c r="A9" s="48"/>
      <c r="B9"/>
      <c r="C9"/>
      <c r="D9" s="48" t="s">
        <v>25</v>
      </c>
      <c r="E9" s="50">
        <v>4100</v>
      </c>
      <c r="F9" s="1" t="s">
        <v>26</v>
      </c>
      <c r="G9" s="48"/>
    </row>
    <row r="10" spans="1:9" ht="10.5" customHeight="1" x14ac:dyDescent="0.2">
      <c r="A10" s="53" t="s">
        <v>27</v>
      </c>
      <c r="B10"/>
      <c r="C10"/>
      <c r="D10" s="13" t="s">
        <v>28</v>
      </c>
      <c r="E10" s="50">
        <v>500</v>
      </c>
      <c r="F10" s="1" t="s">
        <v>5</v>
      </c>
      <c r="G10" s="48"/>
    </row>
    <row r="11" spans="1:9" ht="10.5" customHeight="1" x14ac:dyDescent="0.2">
      <c r="A11" s="48" t="s">
        <v>29</v>
      </c>
      <c r="B11" s="54">
        <v>2</v>
      </c>
      <c r="C11" s="1" t="s">
        <v>30</v>
      </c>
      <c r="D11" s="48" t="s">
        <v>31</v>
      </c>
      <c r="E11" s="21">
        <v>0.7</v>
      </c>
      <c r="F11"/>
      <c r="G11"/>
    </row>
    <row r="12" spans="1:9" ht="10.5" customHeight="1" x14ac:dyDescent="0.2">
      <c r="A12" s="48" t="s">
        <v>32</v>
      </c>
      <c r="B12" s="55">
        <f>B11/3600/180*PI()*B5*1000</f>
        <v>31.028075591010303</v>
      </c>
      <c r="C12" s="56" t="s">
        <v>33</v>
      </c>
      <c r="D12" s="13" t="s">
        <v>83</v>
      </c>
      <c r="E12" s="14">
        <v>0</v>
      </c>
      <c r="F12" s="57" t="s">
        <v>5</v>
      </c>
      <c r="G12"/>
    </row>
    <row r="13" spans="1:9" ht="10.5" customHeight="1" x14ac:dyDescent="0.2">
      <c r="A13" s="48" t="s">
        <v>35</v>
      </c>
      <c r="B13" s="24">
        <v>0.75</v>
      </c>
      <c r="C13"/>
      <c r="D13" s="48"/>
      <c r="E13"/>
      <c r="F13"/>
      <c r="G13" s="48"/>
    </row>
    <row r="14" spans="1:9" ht="10.5" customHeight="1" x14ac:dyDescent="0.2">
      <c r="A14" s="48" t="s">
        <v>36</v>
      </c>
      <c r="B14" s="54">
        <v>18</v>
      </c>
      <c r="C14"/>
      <c r="D14" s="48" t="s">
        <v>37</v>
      </c>
      <c r="E14" s="55">
        <f>2.44*$E$9/10000*B26*2</f>
        <v>20.165543307086612</v>
      </c>
      <c r="F14" s="56" t="s">
        <v>33</v>
      </c>
      <c r="G14"/>
    </row>
    <row r="15" spans="1:9" ht="10.5" customHeight="1" x14ac:dyDescent="0.2">
      <c r="A15" s="48" t="s">
        <v>38</v>
      </c>
      <c r="B15" s="54">
        <v>1800</v>
      </c>
      <c r="C15"/>
      <c r="D15" s="48" t="s">
        <v>39</v>
      </c>
      <c r="E15" s="55">
        <f>2.44*$E$9/10000*B33*2</f>
        <v>13.285826387485388</v>
      </c>
      <c r="F15" s="56" t="s">
        <v>33</v>
      </c>
      <c r="G15"/>
    </row>
    <row r="16" spans="1:9" ht="10.5" customHeight="1" x14ac:dyDescent="0.2">
      <c r="A16" s="48" t="s">
        <v>40</v>
      </c>
      <c r="B16" s="54">
        <v>1</v>
      </c>
      <c r="C16"/>
      <c r="D16" s="48"/>
      <c r="E16" s="52"/>
      <c r="F16"/>
      <c r="G16"/>
    </row>
    <row r="17" spans="1:7" ht="10.5" customHeight="1" x14ac:dyDescent="0.2">
      <c r="A17"/>
      <c r="B17"/>
      <c r="C17"/>
      <c r="D17" s="53" t="s">
        <v>41</v>
      </c>
      <c r="E17" s="52"/>
      <c r="F17"/>
      <c r="G17"/>
    </row>
    <row r="18" spans="1:7" ht="10.5" customHeight="1" x14ac:dyDescent="0.2">
      <c r="A18" s="46" t="s">
        <v>42</v>
      </c>
      <c r="B18"/>
      <c r="C18" s="58"/>
      <c r="D18" s="48" t="s">
        <v>43</v>
      </c>
      <c r="E18" s="59">
        <v>1</v>
      </c>
      <c r="F18"/>
      <c r="G18"/>
    </row>
    <row r="19" spans="1:7" ht="10.5" customHeight="1" x14ac:dyDescent="0.2">
      <c r="A19" s="48" t="s">
        <v>44</v>
      </c>
      <c r="B19" s="60">
        <v>6.7</v>
      </c>
      <c r="C19" s="2"/>
      <c r="D19" s="48" t="s">
        <v>46</v>
      </c>
      <c r="E19" s="59">
        <v>1</v>
      </c>
      <c r="F19"/>
      <c r="G19"/>
    </row>
    <row r="20" spans="1:7" ht="10.5" customHeight="1" x14ac:dyDescent="0.2">
      <c r="A20" s="48" t="s">
        <v>47</v>
      </c>
      <c r="B20" s="60">
        <v>30000</v>
      </c>
      <c r="C20"/>
      <c r="D20" s="48" t="s">
        <v>49</v>
      </c>
      <c r="E20" s="59">
        <v>1</v>
      </c>
      <c r="F20"/>
      <c r="G20"/>
    </row>
    <row r="21" spans="1:7" ht="10.5" customHeight="1" x14ac:dyDescent="0.2">
      <c r="A21" s="48" t="s">
        <v>50</v>
      </c>
      <c r="B21" s="60">
        <v>-0.4</v>
      </c>
      <c r="C21"/>
      <c r="D21" s="48" t="s">
        <v>52</v>
      </c>
      <c r="E21" s="59">
        <v>1</v>
      </c>
      <c r="F21"/>
      <c r="G21"/>
    </row>
    <row r="22" spans="1:7" ht="10.5" customHeight="1" x14ac:dyDescent="0.2">
      <c r="A22"/>
      <c r="B22"/>
      <c r="C22"/>
      <c r="D22" s="48"/>
      <c r="E22" s="52"/>
      <c r="F22"/>
      <c r="G22"/>
    </row>
    <row r="23" spans="1:7" ht="10.5" customHeight="1" x14ac:dyDescent="0.2">
      <c r="A23"/>
      <c r="B23"/>
      <c r="C23"/>
      <c r="D23"/>
      <c r="E23"/>
      <c r="F23"/>
      <c r="G23"/>
    </row>
    <row r="24" spans="1:7" ht="10.5" customHeight="1" x14ac:dyDescent="0.2">
      <c r="A24" s="53" t="s">
        <v>53</v>
      </c>
      <c r="B24"/>
      <c r="C24"/>
      <c r="D24" s="61"/>
      <c r="E24"/>
      <c r="F24"/>
      <c r="G24"/>
    </row>
    <row r="25" spans="1:7" ht="10.5" customHeight="1" x14ac:dyDescent="0.2">
      <c r="A25" s="48" t="s">
        <v>54</v>
      </c>
      <c r="B25" s="55">
        <f>B4*E4/B5</f>
        <v>49.609375</v>
      </c>
      <c r="C25" s="1" t="s">
        <v>5</v>
      </c>
      <c r="D25"/>
      <c r="E25"/>
      <c r="F25"/>
      <c r="G25"/>
    </row>
    <row r="26" spans="1:7" ht="10.5" customHeight="1" x14ac:dyDescent="0.2">
      <c r="A26" s="48" t="s">
        <v>55</v>
      </c>
      <c r="B26" s="55">
        <f>E4/B25</f>
        <v>10.078740157480315</v>
      </c>
      <c r="C26" s="1" t="s">
        <v>22</v>
      </c>
      <c r="D26"/>
      <c r="E26"/>
      <c r="F26"/>
      <c r="G26"/>
    </row>
    <row r="27" spans="1:7" ht="10.5" customHeight="1" x14ac:dyDescent="0.2">
      <c r="A27" s="48" t="s">
        <v>56</v>
      </c>
      <c r="B27" s="62">
        <f>DEGREES(ASIN(0.0000001*E7*E6*E9/2/COS(RADIANS(E8/2))))+E8/2</f>
        <v>16.754792331850297</v>
      </c>
      <c r="C27" s="1" t="s">
        <v>22</v>
      </c>
      <c r="D27"/>
      <c r="E27"/>
      <c r="F27"/>
      <c r="G27"/>
    </row>
    <row r="28" spans="1:7" ht="10.5" customHeight="1" x14ac:dyDescent="0.2">
      <c r="A28" s="48" t="s">
        <v>57</v>
      </c>
      <c r="B28" s="55">
        <f>B27-E8</f>
        <v>11.754792331850297</v>
      </c>
      <c r="C28" s="1" t="s">
        <v>22</v>
      </c>
      <c r="D28"/>
      <c r="E28"/>
      <c r="F28"/>
      <c r="G28"/>
    </row>
    <row r="29" spans="1:7" ht="10.5" customHeight="1" x14ac:dyDescent="0.2">
      <c r="A29" s="48" t="s">
        <v>58</v>
      </c>
      <c r="B29" s="55">
        <f>B25/COS(RADIANS(B27))</f>
        <v>51.808800963628606</v>
      </c>
      <c r="C29" s="1" t="s">
        <v>5</v>
      </c>
      <c r="D29"/>
      <c r="E29"/>
      <c r="F29"/>
      <c r="G29"/>
    </row>
    <row r="30" spans="1:7" ht="10.5" customHeight="1" x14ac:dyDescent="0.2">
      <c r="A30" s="48" t="s">
        <v>59</v>
      </c>
      <c r="B30" s="62">
        <f>COS(RADIANS(B27))/COS(RADIANS(B28))</f>
        <v>0.97805867212869069</v>
      </c>
      <c r="C30"/>
      <c r="D30"/>
      <c r="E30"/>
      <c r="F30"/>
      <c r="G30"/>
    </row>
    <row r="31" spans="1:7" ht="10.5" customHeight="1" x14ac:dyDescent="0.2">
      <c r="A31" s="48" t="s">
        <v>60</v>
      </c>
      <c r="B31" s="55">
        <f>E4/B30/B6</f>
        <v>50.722289381707476</v>
      </c>
      <c r="C31" s="1" t="s">
        <v>5</v>
      </c>
      <c r="D31"/>
      <c r="E31"/>
      <c r="F31"/>
      <c r="G31"/>
    </row>
    <row r="32" spans="1:7" ht="10.5" customHeight="1" x14ac:dyDescent="0.2">
      <c r="A32" s="48" t="s">
        <v>61</v>
      </c>
      <c r="B32" s="55">
        <f>E4/B30/B6+E10*H4*H5/E5/1000</f>
        <v>75.298289381707477</v>
      </c>
      <c r="C32" s="1" t="s">
        <v>5</v>
      </c>
      <c r="D32"/>
      <c r="E32"/>
      <c r="F32"/>
      <c r="G32"/>
    </row>
    <row r="33" spans="1:7" ht="10.5" customHeight="1" x14ac:dyDescent="0.2">
      <c r="A33" s="48" t="s">
        <v>62</v>
      </c>
      <c r="B33" s="63">
        <f>E5/B32</f>
        <v>6.6402570909063314</v>
      </c>
      <c r="C33"/>
      <c r="D33"/>
      <c r="E33"/>
      <c r="F33"/>
      <c r="G33"/>
    </row>
    <row r="34" spans="1:7" ht="10.5" customHeight="1" x14ac:dyDescent="0.2">
      <c r="A34" s="48"/>
      <c r="B34" s="62"/>
      <c r="C34"/>
      <c r="D34" s="48" t="s">
        <v>63</v>
      </c>
      <c r="E34" s="64">
        <f>8.48E+34*POWER(10,-0.4*(B19+B21))/POWER(B20,4)/POWER(E9,4)/(EXP(144000000/B20/E9)-1)</f>
        <v>0.50300473806009516</v>
      </c>
      <c r="F34" s="1" t="s">
        <v>64</v>
      </c>
      <c r="G34"/>
    </row>
    <row r="35" spans="1:7" ht="10.5" customHeight="1" x14ac:dyDescent="0.2">
      <c r="A35" s="48" t="s">
        <v>65</v>
      </c>
      <c r="B35" s="65">
        <f>ABS(10000*H4*E19*COS(RADIANS(B28))/E7/E6/E5)</f>
        <v>0.39161137442509902</v>
      </c>
      <c r="C35" s="1" t="s">
        <v>66</v>
      </c>
      <c r="D35" s="48" t="s">
        <v>67</v>
      </c>
      <c r="E35" s="64">
        <f>100*POWER(10,-0.4*B14)</f>
        <v>6.3095734448019178E-6</v>
      </c>
      <c r="F35" s="1" t="s">
        <v>68</v>
      </c>
      <c r="G35"/>
    </row>
    <row r="36" spans="1:7" ht="10.5" customHeight="1" x14ac:dyDescent="0.2">
      <c r="A36" s="48" t="s">
        <v>69</v>
      </c>
      <c r="B36" s="66">
        <f>E9-H5*B35/E19/2</f>
        <v>3899.4949762943493</v>
      </c>
      <c r="C36" s="1" t="s">
        <v>26</v>
      </c>
      <c r="D36" s="48" t="s">
        <v>70</v>
      </c>
      <c r="E36" s="37">
        <f>(1-B7*B7)*B13*B8*E11*H6/100</f>
        <v>0.30456562499999995</v>
      </c>
      <c r="F36"/>
      <c r="G36"/>
    </row>
    <row r="37" spans="1:7" ht="10.5" customHeight="1" x14ac:dyDescent="0.2">
      <c r="A37" s="48" t="s">
        <v>71</v>
      </c>
      <c r="B37" s="66">
        <f>E9+H5*B35/E19/2</f>
        <v>4300.5050237056503</v>
      </c>
      <c r="C37" s="1" t="s">
        <v>26</v>
      </c>
      <c r="D37" s="48" t="s">
        <v>72</v>
      </c>
      <c r="E37" s="55">
        <f>0.25*PI()*E34*E36*B4*B4*B35*E18*B15/100</f>
        <v>85498.422925369945</v>
      </c>
      <c r="F37" s="1" t="s">
        <v>19</v>
      </c>
      <c r="G37"/>
    </row>
    <row r="38" spans="1:7" ht="10.5" customHeight="1" x14ac:dyDescent="0.2">
      <c r="A38" s="48" t="s">
        <v>73</v>
      </c>
      <c r="B38" s="62">
        <f>0.0001*E5*E9/(E4/B30/B6)</f>
        <v>4.0416156782136756</v>
      </c>
      <c r="C38" s="56" t="s">
        <v>33</v>
      </c>
      <c r="D38" s="48" t="s">
        <v>74</v>
      </c>
      <c r="E38" s="55">
        <f>106300000*PI()*E35*E36*B35*E20*H4/1000*E12*B15*E4/E5/B6/B6</f>
        <v>0</v>
      </c>
      <c r="F38" s="1" t="s">
        <v>19</v>
      </c>
      <c r="G38"/>
    </row>
    <row r="39" spans="1:7" ht="10.5" customHeight="1" x14ac:dyDescent="0.2">
      <c r="A39" s="48" t="s">
        <v>75</v>
      </c>
      <c r="B39" s="22">
        <f>1000*SQRT(POWER($B$30*$E$5/$E$4,2)*(IF(E12=0,POWER($B$11*PI()/648000,2)*$B$5*$B$5,POWER(   MIN(B12,$E$12/1000),2))+POWER($E$14/1000,2))+POWER($E$15/1000,2)+POWER($B$38/1000,2)+POWER($E$19*$H$4/1000,2))</f>
        <v>45.593916366494831</v>
      </c>
      <c r="C39" s="56" t="s">
        <v>33</v>
      </c>
      <c r="D39" s="48" t="s">
        <v>76</v>
      </c>
      <c r="E39" s="55">
        <f>SQRT(E37+E21*E38+H8*E21*B15*E19*E20+E21*B16*H7*H7)</f>
        <v>294.24211616519131</v>
      </c>
      <c r="F39" s="1" t="s">
        <v>77</v>
      </c>
      <c r="G39" s="62"/>
    </row>
    <row r="40" spans="1:7" ht="10.5" customHeight="1" x14ac:dyDescent="0.2">
      <c r="A40" s="48" t="s">
        <v>78</v>
      </c>
      <c r="B40" s="62">
        <f>B39/2/H4/E19</f>
        <v>0.94987325763530894</v>
      </c>
      <c r="C40"/>
      <c r="D40" s="67" t="s">
        <v>84</v>
      </c>
      <c r="E40" s="68">
        <f>E37/E39</f>
        <v>290.57166947973565</v>
      </c>
    </row>
    <row r="41" spans="1:7" ht="10.5" customHeight="1" x14ac:dyDescent="0.2">
      <c r="A41" s="67" t="s">
        <v>80</v>
      </c>
      <c r="B41" s="69">
        <f>IF(B40&lt;1,ABS(1000*B30*E5/2/H4/E19*(TAN(RADIANS(B27))+SIN(RADIANS(B28))/COS(RADIANS(B27)))),ABS(1000*B30*E5/B39*(TAN(RADIANS(B27))+SIN(RADIANS(B28))/COS(RADIANS(B27)))))</f>
        <v>5234.7815561013285</v>
      </c>
      <c r="C41" s="58"/>
    </row>
    <row r="42" spans="1:7" ht="10.5" customHeight="1" x14ac:dyDescent="0.2">
      <c r="A42" s="67" t="s">
        <v>81</v>
      </c>
      <c r="B42" s="70">
        <f>E9/B41</f>
        <v>0.78322274885019805</v>
      </c>
      <c r="C42" s="58" t="s">
        <v>26</v>
      </c>
    </row>
  </sheetData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42"/>
  <sheetViews>
    <sheetView topLeftCell="A3" zoomScaleNormal="100" workbookViewId="0">
      <selection activeCell="E6" sqref="E6"/>
    </sheetView>
  </sheetViews>
  <sheetFormatPr baseColWidth="10" defaultColWidth="9.140625" defaultRowHeight="12.75" x14ac:dyDescent="0.2"/>
  <cols>
    <col min="1" max="1" width="33.85546875" style="1"/>
    <col min="2" max="2" width="9.28515625" style="1"/>
    <col min="3" max="3" width="9" style="1"/>
    <col min="4" max="4" width="31.140625" style="1"/>
    <col min="5" max="5" width="9.5703125" style="1"/>
    <col min="6" max="6" width="7" style="1"/>
    <col min="7" max="7" width="24.140625" style="1"/>
    <col min="8" max="8" width="6.5703125" style="1"/>
    <col min="9" max="9" width="7.5703125" style="1"/>
    <col min="10" max="1025" width="12.140625" style="1"/>
  </cols>
  <sheetData>
    <row r="1" spans="1:9" ht="10.5" customHeight="1" x14ac:dyDescent="0.2">
      <c r="A1" s="2" t="s">
        <v>0</v>
      </c>
      <c r="B1"/>
      <c r="C1"/>
      <c r="E1"/>
      <c r="F1"/>
      <c r="G1"/>
      <c r="H1"/>
      <c r="I1"/>
    </row>
    <row r="2" spans="1:9" ht="10.5" customHeight="1" x14ac:dyDescent="0.2">
      <c r="A2"/>
      <c r="B2"/>
      <c r="C2"/>
      <c r="D2"/>
      <c r="E2"/>
      <c r="F2"/>
      <c r="G2"/>
      <c r="H2"/>
      <c r="I2"/>
    </row>
    <row r="3" spans="1:9" ht="10.5" customHeight="1" x14ac:dyDescent="0.2">
      <c r="A3" s="46" t="s">
        <v>1</v>
      </c>
      <c r="B3"/>
      <c r="C3"/>
      <c r="D3" s="47" t="s">
        <v>2</v>
      </c>
      <c r="E3"/>
      <c r="F3"/>
      <c r="G3" s="46" t="s">
        <v>3</v>
      </c>
      <c r="H3"/>
      <c r="I3"/>
    </row>
    <row r="4" spans="1:9" ht="10.5" customHeight="1" x14ac:dyDescent="0.2">
      <c r="A4" s="48" t="s">
        <v>4</v>
      </c>
      <c r="B4" s="49">
        <v>317.5</v>
      </c>
      <c r="C4" s="1" t="s">
        <v>5</v>
      </c>
      <c r="D4" s="48" t="s">
        <v>6</v>
      </c>
      <c r="E4" s="50">
        <v>500</v>
      </c>
      <c r="F4" s="1" t="s">
        <v>5</v>
      </c>
      <c r="G4" s="48" t="s">
        <v>7</v>
      </c>
      <c r="H4" s="51">
        <v>24</v>
      </c>
      <c r="I4" s="1" t="s">
        <v>8</v>
      </c>
    </row>
    <row r="5" spans="1:9" ht="10.5" customHeight="1" x14ac:dyDescent="0.2">
      <c r="A5" s="48" t="s">
        <v>9</v>
      </c>
      <c r="B5" s="49">
        <v>3500</v>
      </c>
      <c r="C5" s="1" t="s">
        <v>5</v>
      </c>
      <c r="D5" s="48" t="s">
        <v>82</v>
      </c>
      <c r="E5" s="50">
        <v>500</v>
      </c>
      <c r="F5" s="1" t="s">
        <v>5</v>
      </c>
      <c r="G5" s="48" t="s">
        <v>11</v>
      </c>
      <c r="H5" s="51">
        <v>1024</v>
      </c>
      <c r="I5"/>
    </row>
    <row r="6" spans="1:9" ht="10.5" customHeight="1" x14ac:dyDescent="0.2">
      <c r="A6" s="48" t="s">
        <v>12</v>
      </c>
      <c r="B6" s="52">
        <f>B5/B4</f>
        <v>11.023622047244094</v>
      </c>
      <c r="C6"/>
      <c r="D6" s="48" t="s">
        <v>13</v>
      </c>
      <c r="E6" s="50">
        <v>300</v>
      </c>
      <c r="F6"/>
      <c r="G6" s="48" t="s">
        <v>14</v>
      </c>
      <c r="H6" s="51">
        <v>85</v>
      </c>
      <c r="I6" s="1" t="s">
        <v>15</v>
      </c>
    </row>
    <row r="7" spans="1:9" ht="10.5" customHeight="1" x14ac:dyDescent="0.2">
      <c r="A7" s="48" t="s">
        <v>16</v>
      </c>
      <c r="B7" s="18">
        <v>0.3</v>
      </c>
      <c r="C7"/>
      <c r="D7" s="48" t="s">
        <v>17</v>
      </c>
      <c r="E7" s="50">
        <v>1</v>
      </c>
      <c r="F7"/>
      <c r="G7" s="48" t="s">
        <v>18</v>
      </c>
      <c r="H7" s="51">
        <v>30</v>
      </c>
      <c r="I7" s="1" t="s">
        <v>19</v>
      </c>
    </row>
    <row r="8" spans="1:9" ht="10.5" customHeight="1" x14ac:dyDescent="0.2">
      <c r="A8" s="48" t="s">
        <v>20</v>
      </c>
      <c r="B8" s="18">
        <v>0.75</v>
      </c>
      <c r="C8"/>
      <c r="D8" s="48" t="s">
        <v>21</v>
      </c>
      <c r="E8" s="50">
        <v>30</v>
      </c>
      <c r="F8" s="1" t="s">
        <v>22</v>
      </c>
      <c r="G8" s="48" t="s">
        <v>23</v>
      </c>
      <c r="H8" s="51">
        <v>0.1</v>
      </c>
      <c r="I8" s="1" t="s">
        <v>24</v>
      </c>
    </row>
    <row r="9" spans="1:9" ht="10.5" customHeight="1" x14ac:dyDescent="0.2">
      <c r="A9" s="48"/>
      <c r="B9"/>
      <c r="C9"/>
      <c r="D9" s="48" t="s">
        <v>25</v>
      </c>
      <c r="E9" s="50">
        <v>6565</v>
      </c>
      <c r="F9" s="1" t="s">
        <v>26</v>
      </c>
      <c r="G9" s="48"/>
    </row>
    <row r="10" spans="1:9" ht="10.5" customHeight="1" x14ac:dyDescent="0.2">
      <c r="A10" s="53" t="s">
        <v>27</v>
      </c>
      <c r="B10"/>
      <c r="C10"/>
      <c r="D10" s="13" t="s">
        <v>28</v>
      </c>
      <c r="E10" s="50">
        <v>500</v>
      </c>
      <c r="F10" s="1" t="s">
        <v>5</v>
      </c>
      <c r="G10" s="48"/>
    </row>
    <row r="11" spans="1:9" ht="10.5" customHeight="1" x14ac:dyDescent="0.2">
      <c r="A11" s="48" t="s">
        <v>29</v>
      </c>
      <c r="B11" s="54">
        <v>2</v>
      </c>
      <c r="C11" s="1" t="s">
        <v>30</v>
      </c>
      <c r="D11" s="48" t="s">
        <v>31</v>
      </c>
      <c r="E11" s="21">
        <v>0.7</v>
      </c>
      <c r="F11"/>
      <c r="G11"/>
    </row>
    <row r="12" spans="1:9" ht="10.5" customHeight="1" x14ac:dyDescent="0.2">
      <c r="A12" s="48" t="s">
        <v>32</v>
      </c>
      <c r="B12" s="55">
        <f>B11/3600/180*PI()*B5*1000</f>
        <v>33.936957677667515</v>
      </c>
      <c r="C12" s="56" t="s">
        <v>33</v>
      </c>
      <c r="D12" s="13" t="s">
        <v>83</v>
      </c>
      <c r="E12" s="14">
        <v>0</v>
      </c>
      <c r="F12" s="56" t="s">
        <v>33</v>
      </c>
      <c r="G12"/>
    </row>
    <row r="13" spans="1:9" ht="10.5" customHeight="1" x14ac:dyDescent="0.2">
      <c r="A13" s="48" t="s">
        <v>35</v>
      </c>
      <c r="B13" s="24">
        <v>0.75</v>
      </c>
      <c r="C13"/>
      <c r="D13" s="48"/>
      <c r="E13"/>
      <c r="F13"/>
      <c r="G13" s="48"/>
    </row>
    <row r="14" spans="1:9" ht="10.5" customHeight="1" x14ac:dyDescent="0.2">
      <c r="A14" s="48" t="s">
        <v>36</v>
      </c>
      <c r="B14" s="54">
        <v>18</v>
      </c>
      <c r="C14"/>
      <c r="D14" s="48" t="s">
        <v>37</v>
      </c>
      <c r="E14" s="55">
        <f>2.44*$E$9/10000*B26</f>
        <v>17.658299212598425</v>
      </c>
      <c r="F14" s="56" t="s">
        <v>33</v>
      </c>
      <c r="G14"/>
    </row>
    <row r="15" spans="1:9" ht="10.5" customHeight="1" x14ac:dyDescent="0.2">
      <c r="A15" s="48" t="s">
        <v>38</v>
      </c>
      <c r="B15" s="54">
        <v>20</v>
      </c>
      <c r="C15"/>
      <c r="D15" s="48" t="s">
        <v>39</v>
      </c>
      <c r="E15" s="55">
        <f>2.44*$E$9/10000*B33</f>
        <v>11.048147075216383</v>
      </c>
      <c r="F15" s="56" t="s">
        <v>33</v>
      </c>
      <c r="G15"/>
    </row>
    <row r="16" spans="1:9" ht="10.5" customHeight="1" x14ac:dyDescent="0.2">
      <c r="A16" s="48" t="s">
        <v>40</v>
      </c>
      <c r="B16" s="54">
        <v>1</v>
      </c>
      <c r="C16"/>
      <c r="D16" s="48"/>
      <c r="E16" s="52"/>
      <c r="F16"/>
      <c r="G16"/>
    </row>
    <row r="17" spans="1:7" ht="10.5" customHeight="1" x14ac:dyDescent="0.2">
      <c r="A17"/>
      <c r="B17"/>
      <c r="C17"/>
      <c r="D17" s="53" t="s">
        <v>41</v>
      </c>
      <c r="E17" s="52"/>
      <c r="F17"/>
      <c r="G17"/>
    </row>
    <row r="18" spans="1:7" ht="10.5" customHeight="1" x14ac:dyDescent="0.2">
      <c r="A18" s="46" t="s">
        <v>42</v>
      </c>
      <c r="B18"/>
      <c r="C18" s="58"/>
      <c r="D18" s="48" t="s">
        <v>43</v>
      </c>
      <c r="E18" s="59">
        <v>1</v>
      </c>
      <c r="F18"/>
      <c r="G18"/>
    </row>
    <row r="19" spans="1:7" ht="10.5" customHeight="1" x14ac:dyDescent="0.2">
      <c r="A19" s="48" t="s">
        <v>44</v>
      </c>
      <c r="B19" s="60">
        <v>2.4</v>
      </c>
      <c r="C19" s="71" t="s">
        <v>85</v>
      </c>
      <c r="D19" s="48" t="s">
        <v>46</v>
      </c>
      <c r="E19" s="59">
        <v>1</v>
      </c>
      <c r="F19"/>
      <c r="G19"/>
    </row>
    <row r="20" spans="1:7" ht="10.5" customHeight="1" x14ac:dyDescent="0.2">
      <c r="A20" s="48" t="s">
        <v>47</v>
      </c>
      <c r="B20" s="60">
        <v>12000</v>
      </c>
      <c r="C20" s="7" t="s">
        <v>48</v>
      </c>
      <c r="D20" s="48" t="s">
        <v>49</v>
      </c>
      <c r="E20" s="59">
        <v>1</v>
      </c>
      <c r="F20"/>
      <c r="G20"/>
    </row>
    <row r="21" spans="1:7" ht="10.5" customHeight="1" x14ac:dyDescent="0.2">
      <c r="A21" s="48" t="s">
        <v>50</v>
      </c>
      <c r="B21" s="60">
        <v>-0.4</v>
      </c>
      <c r="C21" s="1" t="s">
        <v>51</v>
      </c>
      <c r="D21" s="48" t="s">
        <v>52</v>
      </c>
      <c r="E21" s="59">
        <v>1</v>
      </c>
      <c r="F21"/>
      <c r="G21"/>
    </row>
    <row r="22" spans="1:7" ht="10.5" customHeight="1" x14ac:dyDescent="0.2">
      <c r="A22"/>
      <c r="B22"/>
      <c r="C22"/>
      <c r="D22" s="48"/>
      <c r="E22" s="52"/>
      <c r="F22"/>
      <c r="G22"/>
    </row>
    <row r="23" spans="1:7" ht="10.5" customHeight="1" x14ac:dyDescent="0.2">
      <c r="A23"/>
      <c r="B23"/>
      <c r="C23"/>
      <c r="D23"/>
      <c r="E23"/>
      <c r="F23"/>
      <c r="G23"/>
    </row>
    <row r="24" spans="1:7" ht="10.5" customHeight="1" x14ac:dyDescent="0.2">
      <c r="A24" s="53" t="s">
        <v>53</v>
      </c>
      <c r="B24"/>
      <c r="C24"/>
      <c r="D24" s="61"/>
      <c r="E24"/>
      <c r="F24"/>
      <c r="G24"/>
    </row>
    <row r="25" spans="1:7" ht="10.5" customHeight="1" x14ac:dyDescent="0.2">
      <c r="A25" s="48" t="s">
        <v>54</v>
      </c>
      <c r="B25" s="55">
        <f>B4*E4/B5</f>
        <v>45.357142857142854</v>
      </c>
      <c r="C25" s="1" t="s">
        <v>5</v>
      </c>
      <c r="D25"/>
      <c r="E25"/>
      <c r="F25"/>
      <c r="G25"/>
    </row>
    <row r="26" spans="1:7" ht="10.5" customHeight="1" x14ac:dyDescent="0.2">
      <c r="A26" s="48" t="s">
        <v>55</v>
      </c>
      <c r="B26" s="55">
        <f>E4/B25</f>
        <v>11.023622047244094</v>
      </c>
      <c r="C26" s="1" t="s">
        <v>22</v>
      </c>
      <c r="D26"/>
      <c r="E26"/>
      <c r="F26"/>
      <c r="G26"/>
    </row>
    <row r="27" spans="1:7" ht="10.5" customHeight="1" x14ac:dyDescent="0.2">
      <c r="A27" s="48" t="s">
        <v>56</v>
      </c>
      <c r="B27" s="62">
        <f>DEGREES(ASIN(0.0000001*E7*E6*E9/2/COS(RADIANS(E8/2))))+E8/2</f>
        <v>20.851403383395734</v>
      </c>
      <c r="C27" s="1" t="s">
        <v>22</v>
      </c>
      <c r="D27"/>
      <c r="E27"/>
      <c r="F27"/>
      <c r="G27"/>
    </row>
    <row r="28" spans="1:7" ht="10.5" customHeight="1" x14ac:dyDescent="0.2">
      <c r="A28" s="48" t="s">
        <v>57</v>
      </c>
      <c r="B28" s="55">
        <f>B27-E8</f>
        <v>-9.1485966166042658</v>
      </c>
      <c r="C28" s="1" t="s">
        <v>22</v>
      </c>
      <c r="D28"/>
      <c r="E28"/>
      <c r="F28"/>
      <c r="G28"/>
    </row>
    <row r="29" spans="1:7" ht="10.5" customHeight="1" x14ac:dyDescent="0.2">
      <c r="A29" s="48" t="s">
        <v>58</v>
      </c>
      <c r="B29" s="72">
        <f>B25/COS(RADIANS(B27))</f>
        <v>48.535919777680505</v>
      </c>
      <c r="C29" s="1" t="s">
        <v>5</v>
      </c>
      <c r="D29"/>
      <c r="E29"/>
      <c r="F29"/>
      <c r="G29"/>
    </row>
    <row r="30" spans="1:7" ht="10.5" customHeight="1" x14ac:dyDescent="0.2">
      <c r="A30" s="48" t="s">
        <v>59</v>
      </c>
      <c r="B30" s="62">
        <f>COS(RADIANS(B27))/COS(RADIANS(B28))</f>
        <v>0.94654745308548927</v>
      </c>
      <c r="C30"/>
      <c r="D30"/>
      <c r="E30"/>
      <c r="F30"/>
      <c r="G30"/>
    </row>
    <row r="31" spans="1:7" ht="10.5" customHeight="1" x14ac:dyDescent="0.2">
      <c r="A31" s="48" t="s">
        <v>60</v>
      </c>
      <c r="B31" s="55">
        <f>E4/B30/B6</f>
        <v>47.918509219258695</v>
      </c>
      <c r="C31" s="1" t="s">
        <v>5</v>
      </c>
      <c r="D31"/>
      <c r="E31"/>
      <c r="F31"/>
      <c r="G31"/>
    </row>
    <row r="32" spans="1:7" ht="10.5" customHeight="1" x14ac:dyDescent="0.2">
      <c r="A32" s="48" t="s">
        <v>61</v>
      </c>
      <c r="B32" s="55">
        <f>E4/B30/B6+E10*H4*H5/E5/1000</f>
        <v>72.494509219258703</v>
      </c>
      <c r="C32" s="1" t="s">
        <v>5</v>
      </c>
      <c r="D32"/>
      <c r="E32"/>
      <c r="F32"/>
      <c r="G32"/>
    </row>
    <row r="33" spans="1:7" ht="10.5" customHeight="1" x14ac:dyDescent="0.2">
      <c r="A33" s="48" t="s">
        <v>62</v>
      </c>
      <c r="B33" s="63">
        <f>E5/B32</f>
        <v>6.897074073399911</v>
      </c>
      <c r="C33"/>
      <c r="D33"/>
      <c r="E33"/>
      <c r="F33"/>
      <c r="G33"/>
    </row>
    <row r="34" spans="1:7" ht="10.5" customHeight="1" x14ac:dyDescent="0.2">
      <c r="A34" s="48"/>
      <c r="B34" s="62"/>
      <c r="C34"/>
      <c r="D34" s="48" t="s">
        <v>63</v>
      </c>
      <c r="E34" s="64">
        <f>8.48E+34*POWER(10,-0.4*(B19+B21))/POWER(B20,4)/POWER(E9,4)/(EXP(144000000/B20/E9)-1)</f>
        <v>66.835470495184452</v>
      </c>
      <c r="F34" s="1" t="s">
        <v>64</v>
      </c>
      <c r="G34"/>
    </row>
    <row r="35" spans="1:7" ht="10.5" customHeight="1" x14ac:dyDescent="0.2">
      <c r="A35" s="48" t="s">
        <v>65</v>
      </c>
      <c r="B35" s="65">
        <f>ABS(10000*H4*E19*COS(RADIANS(B28))/E7/E6/E5)</f>
        <v>1.5796468904267233</v>
      </c>
      <c r="C35" s="1" t="s">
        <v>66</v>
      </c>
      <c r="D35" s="48" t="s">
        <v>67</v>
      </c>
      <c r="E35" s="64">
        <f>100*POWER(10,-0.4*B14)</f>
        <v>6.3095734448019178E-6</v>
      </c>
      <c r="F35" s="1" t="s">
        <v>68</v>
      </c>
      <c r="G35"/>
    </row>
    <row r="36" spans="1:7" ht="10.5" customHeight="1" x14ac:dyDescent="0.2">
      <c r="A36" s="48" t="s">
        <v>69</v>
      </c>
      <c r="B36" s="66">
        <f>E9-H5*B35/E19/2</f>
        <v>5756.2207921015179</v>
      </c>
      <c r="C36" s="1" t="s">
        <v>26</v>
      </c>
      <c r="D36" s="48" t="s">
        <v>70</v>
      </c>
      <c r="E36" s="37">
        <f>(1-B7*B7)*B13*B8*E11*H6/100</f>
        <v>0.30456562499999995</v>
      </c>
      <c r="F36"/>
      <c r="G36"/>
    </row>
    <row r="37" spans="1:7" ht="10.5" customHeight="1" x14ac:dyDescent="0.2">
      <c r="A37" s="48" t="s">
        <v>71</v>
      </c>
      <c r="B37" s="66">
        <f>E9+H5*B35/E19/2</f>
        <v>7373.7792078984821</v>
      </c>
      <c r="C37" s="1" t="s">
        <v>26</v>
      </c>
      <c r="D37" s="48" t="s">
        <v>72</v>
      </c>
      <c r="E37" s="55">
        <f>0.25*PI()*E34*E36*B4*B4*B35*E18*B15/100</f>
        <v>509161.13706081675</v>
      </c>
      <c r="F37" s="1" t="s">
        <v>19</v>
      </c>
      <c r="G37"/>
    </row>
    <row r="38" spans="1:7" ht="10.5" customHeight="1" x14ac:dyDescent="0.2">
      <c r="A38" s="48" t="s">
        <v>73</v>
      </c>
      <c r="B38" s="62">
        <f>0.0001*E5*E9/(E4/B30/B6)</f>
        <v>6.850171371109238</v>
      </c>
      <c r="C38" s="56" t="s">
        <v>33</v>
      </c>
      <c r="D38" s="48" t="s">
        <v>74</v>
      </c>
      <c r="E38" s="55">
        <f>106300000*PI()*E35*E36*B35*E20*H4/1000*E12*B15*E4/E5/B6/B6</f>
        <v>0</v>
      </c>
      <c r="F38" s="1" t="s">
        <v>19</v>
      </c>
      <c r="G38"/>
    </row>
    <row r="39" spans="1:7" ht="10.5" customHeight="1" x14ac:dyDescent="0.2">
      <c r="A39" s="48" t="s">
        <v>75</v>
      </c>
      <c r="B39" s="22">
        <f>1000*SQRT(POWER($B$30*$E$5/$E$4,2)*(IF(E12=0,POWER($B$11*PI()/648000,2)*$B$5*$B$5,POWER(   MIN(B12,$E$12/1000),2))+POWER($E$14/1000,2))+POWER($E$15/1000,2)+POWER($B$38/1000,2)+POWER($E$19*$H$4/1000,2))</f>
        <v>45.34579919620942</v>
      </c>
      <c r="C39" s="56" t="s">
        <v>33</v>
      </c>
      <c r="D39" s="48" t="s">
        <v>76</v>
      </c>
      <c r="E39" s="55">
        <f>SQRT(E37+E21*E38+H8*E21*B15*E19*E20+E21*B16*H7*H7)</f>
        <v>714.18704627066484</v>
      </c>
      <c r="F39" s="1" t="s">
        <v>77</v>
      </c>
      <c r="G39" s="62"/>
    </row>
    <row r="40" spans="1:7" ht="10.5" customHeight="1" x14ac:dyDescent="0.2">
      <c r="A40" s="48" t="s">
        <v>78</v>
      </c>
      <c r="B40" s="62">
        <f>B39/2/H4/E19</f>
        <v>0.94470414992102958</v>
      </c>
      <c r="C40"/>
      <c r="D40" s="67" t="s">
        <v>84</v>
      </c>
      <c r="E40" s="68">
        <f>E37/E39</f>
        <v>712.92407180940836</v>
      </c>
    </row>
    <row r="41" spans="1:7" ht="10.5" customHeight="1" x14ac:dyDescent="0.2">
      <c r="A41" s="67" t="s">
        <v>80</v>
      </c>
      <c r="B41" s="69">
        <f>IF(B40&lt;1,ABS(1000*B30*E5/2/H4/E19*(TAN(RADIANS(B27))+SIN(RADIANS(B28))/COS(RADIANS(B27)))),ABS(1000*B30*E5/B39*(TAN(RADIANS(B27))+SIN(RADIANS(B28))/COS(RADIANS(B27)))))</f>
        <v>2077.9960508220101</v>
      </c>
      <c r="C41" s="58"/>
    </row>
    <row r="42" spans="1:7" ht="10.5" customHeight="1" x14ac:dyDescent="0.2">
      <c r="A42" s="67" t="s">
        <v>81</v>
      </c>
      <c r="B42" s="70">
        <f>E9/B41</f>
        <v>3.1592937808534471</v>
      </c>
      <c r="C42" s="58" t="s">
        <v>26</v>
      </c>
    </row>
  </sheetData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"/>
  <sheetViews>
    <sheetView zoomScaleNormal="100" workbookViewId="0">
      <selection activeCell="A10" sqref="A10"/>
    </sheetView>
  </sheetViews>
  <sheetFormatPr baseColWidth="10" defaultColWidth="9.140625" defaultRowHeight="12.75" x14ac:dyDescent="0.2"/>
  <cols>
    <col min="1" max="1" width="127.140625"/>
  </cols>
  <sheetData>
    <row r="1" spans="1:1" ht="14.25" x14ac:dyDescent="0.2">
      <c r="A1" s="73" t="s">
        <v>86</v>
      </c>
    </row>
    <row r="2" spans="1:1" ht="15" x14ac:dyDescent="0.25">
      <c r="A2" s="74"/>
    </row>
    <row r="3" spans="1:1" ht="15" x14ac:dyDescent="0.25">
      <c r="A3" s="74" t="s">
        <v>87</v>
      </c>
    </row>
    <row r="4" spans="1:1" ht="15" x14ac:dyDescent="0.25">
      <c r="A4" s="74" t="s">
        <v>88</v>
      </c>
    </row>
    <row r="5" spans="1:1" ht="15" x14ac:dyDescent="0.25">
      <c r="A5" s="74"/>
    </row>
    <row r="6" spans="1:1" ht="15" x14ac:dyDescent="0.25">
      <c r="A6" s="74" t="s">
        <v>89</v>
      </c>
    </row>
    <row r="7" spans="1:1" ht="15" x14ac:dyDescent="0.25">
      <c r="A7" s="74" t="s">
        <v>90</v>
      </c>
    </row>
    <row r="8" spans="1:1" ht="15" x14ac:dyDescent="0.25">
      <c r="A8" s="74" t="s">
        <v>91</v>
      </c>
    </row>
    <row r="9" spans="1:1" ht="15" x14ac:dyDescent="0.25">
      <c r="A9" s="74"/>
    </row>
    <row r="10" spans="1:1" ht="15" x14ac:dyDescent="0.25">
      <c r="A10" s="74" t="s">
        <v>92</v>
      </c>
    </row>
    <row r="11" spans="1:1" ht="15" x14ac:dyDescent="0.25">
      <c r="A11" s="74" t="s">
        <v>93</v>
      </c>
    </row>
    <row r="12" spans="1:1" ht="15" x14ac:dyDescent="0.25">
      <c r="A12" s="74"/>
    </row>
    <row r="13" spans="1:1" ht="15" x14ac:dyDescent="0.25">
      <c r="A13" s="75">
        <v>39455</v>
      </c>
    </row>
    <row r="14" spans="1:1" ht="15" x14ac:dyDescent="0.25">
      <c r="A14" s="74"/>
    </row>
    <row r="15" spans="1:1" ht="15" x14ac:dyDescent="0.25">
      <c r="A15" s="74"/>
    </row>
    <row r="16" spans="1:1" x14ac:dyDescent="0.2">
      <c r="A16" s="76"/>
    </row>
    <row r="17" spans="1:1" x14ac:dyDescent="0.2">
      <c r="A17" s="76"/>
    </row>
    <row r="18" spans="1:1" x14ac:dyDescent="0.2">
      <c r="A18" s="76"/>
    </row>
    <row r="19" spans="1:1" x14ac:dyDescent="0.2">
      <c r="A19" s="76"/>
    </row>
    <row r="20" spans="1:1" x14ac:dyDescent="0.2">
      <c r="A20" s="76"/>
    </row>
    <row r="21" spans="1:1" x14ac:dyDescent="0.2">
      <c r="A21" s="76"/>
    </row>
    <row r="22" spans="1:1" x14ac:dyDescent="0.2">
      <c r="A22" s="76"/>
    </row>
    <row r="23" spans="1:1" x14ac:dyDescent="0.2">
      <c r="A23" s="76"/>
    </row>
    <row r="24" spans="1:1" x14ac:dyDescent="0.2">
      <c r="A24" s="76"/>
    </row>
    <row r="25" spans="1:1" x14ac:dyDescent="0.2">
      <c r="A25" s="76"/>
    </row>
    <row r="26" spans="1:1" x14ac:dyDescent="0.2">
      <c r="A26" s="76"/>
    </row>
    <row r="27" spans="1:1" x14ac:dyDescent="0.2">
      <c r="A27" s="76"/>
    </row>
    <row r="28" spans="1:1" x14ac:dyDescent="0.2">
      <c r="A28" s="76"/>
    </row>
  </sheetData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43"/>
  <sheetViews>
    <sheetView tabSelected="1" zoomScaleNormal="100" workbookViewId="0">
      <selection activeCell="E14" sqref="E14"/>
    </sheetView>
  </sheetViews>
  <sheetFormatPr baseColWidth="10" defaultColWidth="9.140625" defaultRowHeight="12.75" x14ac:dyDescent="0.2"/>
  <cols>
    <col min="1" max="1" width="33.85546875" style="1"/>
    <col min="2" max="2" width="9.28515625" style="1"/>
    <col min="3" max="3" width="9" style="1"/>
    <col min="4" max="4" width="31.140625" style="1"/>
    <col min="5" max="5" width="10.5703125" style="1"/>
    <col min="6" max="6" width="7" style="1"/>
    <col min="7" max="7" width="24.140625" style="1"/>
    <col min="8" max="8" width="6.5703125" style="1"/>
    <col min="9" max="9" width="7.5703125" style="1"/>
    <col min="10" max="1025" width="12.140625" style="1"/>
  </cols>
  <sheetData>
    <row r="1" spans="1:9" ht="10.5" customHeight="1" x14ac:dyDescent="0.2">
      <c r="A1" s="2" t="s">
        <v>0</v>
      </c>
      <c r="B1"/>
      <c r="C1"/>
      <c r="E1"/>
      <c r="F1"/>
      <c r="G1"/>
      <c r="H1"/>
      <c r="I1"/>
    </row>
    <row r="2" spans="1:9" ht="10.5" customHeight="1" x14ac:dyDescent="0.2">
      <c r="A2" s="2" t="s">
        <v>94</v>
      </c>
      <c r="B2"/>
      <c r="C2"/>
      <c r="E2"/>
      <c r="F2"/>
      <c r="G2"/>
      <c r="H2"/>
      <c r="I2"/>
    </row>
    <row r="3" spans="1:9" ht="10.5" customHeight="1" x14ac:dyDescent="0.2">
      <c r="A3"/>
      <c r="B3"/>
      <c r="C3"/>
      <c r="D3"/>
      <c r="E3"/>
      <c r="F3"/>
      <c r="G3"/>
      <c r="H3"/>
      <c r="I3"/>
    </row>
    <row r="4" spans="1:9" ht="10.5" customHeight="1" x14ac:dyDescent="0.2">
      <c r="A4" s="46" t="s">
        <v>1</v>
      </c>
      <c r="B4"/>
      <c r="C4"/>
      <c r="D4" s="47" t="s">
        <v>2</v>
      </c>
      <c r="E4"/>
      <c r="F4"/>
      <c r="G4" s="46" t="s">
        <v>3</v>
      </c>
      <c r="H4"/>
      <c r="I4"/>
    </row>
    <row r="5" spans="1:9" ht="10.5" customHeight="1" x14ac:dyDescent="0.2">
      <c r="A5" s="48" t="s">
        <v>4</v>
      </c>
      <c r="B5" s="49">
        <v>200</v>
      </c>
      <c r="C5" s="1" t="s">
        <v>5</v>
      </c>
      <c r="D5" s="48" t="s">
        <v>6</v>
      </c>
      <c r="E5" s="50">
        <v>200</v>
      </c>
      <c r="F5" s="1" t="s">
        <v>5</v>
      </c>
      <c r="G5" s="48" t="s">
        <v>7</v>
      </c>
      <c r="H5" s="51">
        <v>4.54</v>
      </c>
      <c r="I5" s="1" t="s">
        <v>8</v>
      </c>
    </row>
    <row r="6" spans="1:9" ht="10.5" customHeight="1" x14ac:dyDescent="0.2">
      <c r="A6" s="48" t="s">
        <v>9</v>
      </c>
      <c r="B6" s="49">
        <v>1200</v>
      </c>
      <c r="C6" s="1" t="s">
        <v>5</v>
      </c>
      <c r="D6" s="48" t="s">
        <v>82</v>
      </c>
      <c r="E6" s="50">
        <v>50</v>
      </c>
      <c r="F6" s="1" t="s">
        <v>5</v>
      </c>
      <c r="G6" s="48" t="s">
        <v>11</v>
      </c>
      <c r="H6" s="51">
        <f>1932</f>
        <v>1932</v>
      </c>
      <c r="I6"/>
    </row>
    <row r="7" spans="1:9" ht="10.5" customHeight="1" x14ac:dyDescent="0.2">
      <c r="A7" s="48" t="s">
        <v>12</v>
      </c>
      <c r="B7" s="52">
        <f>B6/B5</f>
        <v>6</v>
      </c>
      <c r="C7"/>
      <c r="D7" s="48" t="s">
        <v>13</v>
      </c>
      <c r="E7" s="50">
        <v>1800</v>
      </c>
      <c r="F7"/>
      <c r="G7" s="48" t="s">
        <v>14</v>
      </c>
      <c r="H7" s="51">
        <v>66</v>
      </c>
      <c r="I7" s="1" t="s">
        <v>15</v>
      </c>
    </row>
    <row r="8" spans="1:9" ht="10.5" customHeight="1" x14ac:dyDescent="0.2">
      <c r="A8" s="48" t="s">
        <v>16</v>
      </c>
      <c r="B8" s="18">
        <v>0</v>
      </c>
      <c r="C8"/>
      <c r="D8" s="48" t="s">
        <v>17</v>
      </c>
      <c r="E8" s="50">
        <v>1</v>
      </c>
      <c r="F8"/>
      <c r="G8" s="48" t="s">
        <v>18</v>
      </c>
      <c r="H8" s="51">
        <v>4</v>
      </c>
      <c r="I8" s="1" t="s">
        <v>19</v>
      </c>
    </row>
    <row r="9" spans="1:9" ht="10.5" customHeight="1" x14ac:dyDescent="0.2">
      <c r="A9" s="48" t="s">
        <v>20</v>
      </c>
      <c r="B9" s="18">
        <v>0.8</v>
      </c>
      <c r="C9"/>
      <c r="D9" s="48" t="s">
        <v>21</v>
      </c>
      <c r="E9" s="50">
        <v>-45</v>
      </c>
      <c r="F9" s="1" t="s">
        <v>22</v>
      </c>
      <c r="G9" s="48" t="s">
        <v>23</v>
      </c>
      <c r="H9" s="51">
        <v>0.1</v>
      </c>
      <c r="I9" s="1" t="s">
        <v>24</v>
      </c>
    </row>
    <row r="10" spans="1:9" ht="10.5" customHeight="1" x14ac:dyDescent="0.2">
      <c r="A10" s="48"/>
      <c r="B10"/>
      <c r="C10"/>
      <c r="D10" s="48" t="s">
        <v>25</v>
      </c>
      <c r="E10" s="50">
        <v>6563</v>
      </c>
      <c r="F10" s="1" t="s">
        <v>26</v>
      </c>
      <c r="G10" s="48"/>
    </row>
    <row r="11" spans="1:9" ht="10.5" customHeight="1" x14ac:dyDescent="0.2">
      <c r="A11" s="53" t="s">
        <v>27</v>
      </c>
      <c r="B11"/>
      <c r="C11"/>
      <c r="D11" s="13" t="s">
        <v>28</v>
      </c>
      <c r="E11" s="50">
        <v>50</v>
      </c>
      <c r="F11" s="1" t="s">
        <v>5</v>
      </c>
      <c r="G11" s="48"/>
    </row>
    <row r="12" spans="1:9" ht="10.5" customHeight="1" x14ac:dyDescent="0.2">
      <c r="A12" s="48" t="s">
        <v>29</v>
      </c>
      <c r="B12" s="54">
        <v>4</v>
      </c>
      <c r="C12" s="1" t="s">
        <v>30</v>
      </c>
      <c r="D12" s="48" t="s">
        <v>31</v>
      </c>
      <c r="E12" s="21">
        <v>0.6</v>
      </c>
      <c r="F12"/>
      <c r="G12"/>
    </row>
    <row r="13" spans="1:9" ht="10.5" customHeight="1" x14ac:dyDescent="0.2">
      <c r="A13" s="48" t="s">
        <v>32</v>
      </c>
      <c r="B13" s="55">
        <f>B12/3600/180*PI()*B6*1000</f>
        <v>23.271056693257727</v>
      </c>
      <c r="C13" s="56" t="s">
        <v>33</v>
      </c>
      <c r="D13" s="13" t="s">
        <v>83</v>
      </c>
      <c r="E13" s="14">
        <v>23</v>
      </c>
      <c r="F13" s="56" t="s">
        <v>33</v>
      </c>
      <c r="G13"/>
    </row>
    <row r="14" spans="1:9" ht="10.5" customHeight="1" x14ac:dyDescent="0.2">
      <c r="A14" s="48" t="s">
        <v>35</v>
      </c>
      <c r="B14" s="24">
        <v>0.75</v>
      </c>
      <c r="C14"/>
      <c r="D14" s="48"/>
      <c r="E14"/>
      <c r="F14"/>
      <c r="G14" s="48"/>
    </row>
    <row r="15" spans="1:9" ht="10.5" customHeight="1" x14ac:dyDescent="0.2">
      <c r="A15" s="48" t="s">
        <v>36</v>
      </c>
      <c r="B15" s="54">
        <v>18</v>
      </c>
      <c r="C15"/>
      <c r="D15" s="48" t="s">
        <v>37</v>
      </c>
      <c r="E15" s="55">
        <f>2.44*$E$10/10000*B27</f>
        <v>9.608232000000001</v>
      </c>
      <c r="F15" s="56" t="s">
        <v>33</v>
      </c>
      <c r="G15"/>
    </row>
    <row r="16" spans="1:9" ht="10.5" customHeight="1" x14ac:dyDescent="0.2">
      <c r="A16" s="48" t="s">
        <v>38</v>
      </c>
      <c r="B16" s="54">
        <v>1800</v>
      </c>
      <c r="C16"/>
      <c r="D16" s="48" t="s">
        <v>39</v>
      </c>
      <c r="E16" s="55">
        <f>2.44*$E$10/10000*B34</f>
        <v>3.1993913004711918</v>
      </c>
      <c r="F16" s="56" t="s">
        <v>33</v>
      </c>
      <c r="G16"/>
    </row>
    <row r="17" spans="1:7" ht="10.5" customHeight="1" x14ac:dyDescent="0.2">
      <c r="A17" s="48" t="s">
        <v>40</v>
      </c>
      <c r="B17" s="54">
        <v>1</v>
      </c>
      <c r="C17"/>
      <c r="D17" s="48"/>
      <c r="E17" s="52"/>
      <c r="F17"/>
      <c r="G17"/>
    </row>
    <row r="18" spans="1:7" ht="10.5" customHeight="1" x14ac:dyDescent="0.2">
      <c r="A18"/>
      <c r="B18"/>
      <c r="C18"/>
      <c r="D18" s="53" t="s">
        <v>41</v>
      </c>
      <c r="E18" s="52"/>
      <c r="F18"/>
      <c r="G18"/>
    </row>
    <row r="19" spans="1:7" ht="10.5" customHeight="1" x14ac:dyDescent="0.2">
      <c r="A19" s="46" t="s">
        <v>42</v>
      </c>
      <c r="B19"/>
      <c r="C19" s="58"/>
      <c r="D19" s="48" t="s">
        <v>43</v>
      </c>
      <c r="E19" s="59">
        <v>1</v>
      </c>
      <c r="F19"/>
      <c r="G19"/>
    </row>
    <row r="20" spans="1:7" ht="10.5" customHeight="1" x14ac:dyDescent="0.2">
      <c r="A20" s="48" t="s">
        <v>44</v>
      </c>
      <c r="B20" s="60">
        <v>6</v>
      </c>
      <c r="C20" s="71"/>
      <c r="D20" s="48" t="s">
        <v>46</v>
      </c>
      <c r="E20" s="59">
        <v>1</v>
      </c>
      <c r="F20"/>
      <c r="G20"/>
    </row>
    <row r="21" spans="1:7" ht="10.5" customHeight="1" x14ac:dyDescent="0.2">
      <c r="A21" s="48" t="s">
        <v>47</v>
      </c>
      <c r="B21" s="60">
        <v>25000</v>
      </c>
      <c r="C21" s="7" t="s">
        <v>48</v>
      </c>
      <c r="D21" s="48" t="s">
        <v>49</v>
      </c>
      <c r="E21" s="59">
        <v>1</v>
      </c>
      <c r="F21"/>
      <c r="G21"/>
    </row>
    <row r="22" spans="1:7" ht="10.5" customHeight="1" x14ac:dyDescent="0.2">
      <c r="A22" s="48" t="s">
        <v>50</v>
      </c>
      <c r="B22" s="60">
        <v>-0.4</v>
      </c>
      <c r="C22" s="1" t="s">
        <v>51</v>
      </c>
      <c r="D22" s="48" t="s">
        <v>52</v>
      </c>
      <c r="E22" s="59">
        <v>1</v>
      </c>
      <c r="F22"/>
      <c r="G22"/>
    </row>
    <row r="23" spans="1:7" ht="10.5" customHeight="1" x14ac:dyDescent="0.2">
      <c r="A23"/>
      <c r="B23"/>
      <c r="C23"/>
      <c r="D23" s="48"/>
      <c r="E23" s="52"/>
      <c r="F23"/>
      <c r="G23"/>
    </row>
    <row r="24" spans="1:7" ht="10.5" customHeight="1" x14ac:dyDescent="0.2">
      <c r="A24"/>
      <c r="B24"/>
      <c r="C24"/>
      <c r="D24"/>
      <c r="E24"/>
      <c r="F24"/>
      <c r="G24"/>
    </row>
    <row r="25" spans="1:7" ht="10.5" customHeight="1" x14ac:dyDescent="0.2">
      <c r="A25" s="53" t="s">
        <v>53</v>
      </c>
      <c r="B25"/>
      <c r="C25"/>
      <c r="D25" s="61"/>
      <c r="E25"/>
      <c r="F25"/>
      <c r="G25"/>
    </row>
    <row r="26" spans="1:7" ht="10.5" customHeight="1" x14ac:dyDescent="0.2">
      <c r="A26" s="48" t="s">
        <v>54</v>
      </c>
      <c r="B26" s="1">
        <f>B5*E5/B6</f>
        <v>33.333333333333336</v>
      </c>
      <c r="C26" s="1" t="s">
        <v>5</v>
      </c>
      <c r="D26"/>
      <c r="E26"/>
      <c r="F26"/>
      <c r="G26"/>
    </row>
    <row r="27" spans="1:7" ht="10.5" customHeight="1" x14ac:dyDescent="0.2">
      <c r="A27" s="48" t="s">
        <v>55</v>
      </c>
      <c r="B27" s="1">
        <f>E5/B26</f>
        <v>6</v>
      </c>
      <c r="C27" s="1" t="s">
        <v>22</v>
      </c>
      <c r="D27" s="55"/>
      <c r="E27"/>
      <c r="F27"/>
      <c r="G27"/>
    </row>
    <row r="28" spans="1:7" ht="10.5" customHeight="1" x14ac:dyDescent="0.2">
      <c r="A28" s="48" t="s">
        <v>56</v>
      </c>
      <c r="B28" s="62">
        <f>DEGREES(ASIN(0.0000001*E8*E7*E10/2/COS(RADIANS(E9/2))))+E9/2</f>
        <v>17.242369272963458</v>
      </c>
      <c r="C28" s="1" t="s">
        <v>22</v>
      </c>
      <c r="D28"/>
      <c r="E28"/>
      <c r="F28"/>
      <c r="G28"/>
    </row>
    <row r="29" spans="1:7" ht="10.5" customHeight="1" x14ac:dyDescent="0.2">
      <c r="A29" s="48" t="s">
        <v>57</v>
      </c>
      <c r="B29" s="55">
        <f>B28-E9</f>
        <v>62.242369272963458</v>
      </c>
      <c r="C29" s="1" t="s">
        <v>22</v>
      </c>
      <c r="D29"/>
      <c r="E29"/>
      <c r="F29"/>
      <c r="G29" s="1">
        <f>5*3600</f>
        <v>18000</v>
      </c>
    </row>
    <row r="30" spans="1:7" ht="10.5" customHeight="1" x14ac:dyDescent="0.2">
      <c r="A30" s="48" t="s">
        <v>58</v>
      </c>
      <c r="B30" s="68">
        <f>B26/COS(RADIANS(B28))</f>
        <v>34.901842015112514</v>
      </c>
      <c r="C30" s="1" t="s">
        <v>5</v>
      </c>
      <c r="D30"/>
      <c r="E30"/>
      <c r="F30"/>
      <c r="G30"/>
    </row>
    <row r="31" spans="1:7" ht="10.5" customHeight="1" x14ac:dyDescent="0.2">
      <c r="A31" s="48" t="s">
        <v>59</v>
      </c>
      <c r="B31" s="62">
        <f>COS(RADIANS(B28))/COS(RADIANS(B29))</f>
        <v>2.0506614329974013</v>
      </c>
      <c r="C31"/>
      <c r="D31"/>
      <c r="E31"/>
      <c r="F31"/>
      <c r="G31"/>
    </row>
    <row r="32" spans="1:7" ht="10.5" customHeight="1" x14ac:dyDescent="0.2">
      <c r="A32" s="48" t="s">
        <v>60</v>
      </c>
      <c r="B32" s="55">
        <f>E5/B31/B7</f>
        <v>16.254917948405954</v>
      </c>
      <c r="C32" s="1" t="s">
        <v>5</v>
      </c>
      <c r="D32"/>
      <c r="E32"/>
      <c r="F32"/>
      <c r="G32"/>
    </row>
    <row r="33" spans="1:7" ht="10.5" customHeight="1" x14ac:dyDescent="0.2">
      <c r="A33" s="48" t="s">
        <v>61</v>
      </c>
      <c r="B33" s="55">
        <f>E5/B31/B7+E11*H5*H6/E6/1000</f>
        <v>25.026197948405954</v>
      </c>
      <c r="C33" s="1" t="s">
        <v>5</v>
      </c>
      <c r="D33"/>
      <c r="E33"/>
      <c r="F33"/>
      <c r="G33"/>
    </row>
    <row r="34" spans="1:7" ht="10.5" customHeight="1" x14ac:dyDescent="0.2">
      <c r="A34" s="48" t="s">
        <v>62</v>
      </c>
      <c r="B34" s="63">
        <f>E6/B33</f>
        <v>1.9979063580924306</v>
      </c>
      <c r="C34"/>
      <c r="D34"/>
      <c r="E34"/>
      <c r="F34"/>
      <c r="G34"/>
    </row>
    <row r="35" spans="1:7" ht="10.5" customHeight="1" x14ac:dyDescent="0.2">
      <c r="A35" s="48"/>
      <c r="B35" s="62"/>
      <c r="C35"/>
      <c r="D35" s="48" t="s">
        <v>63</v>
      </c>
      <c r="E35" s="64">
        <f>8.48E+34*POWER(10,-0.4*(B20+B22))/POWER(B21,4)/POWER(E10,4)/(EXP(144000000/B21/E10)-1)</f>
        <v>0.47915650334979498</v>
      </c>
      <c r="F35" s="1" t="s">
        <v>64</v>
      </c>
      <c r="G35"/>
    </row>
    <row r="36" spans="1:7" ht="10.5" customHeight="1" x14ac:dyDescent="0.2">
      <c r="A36" s="48" t="s">
        <v>65</v>
      </c>
      <c r="B36" s="65">
        <f>ABS(10000*H5*E20*COS(RADIANS(B29))/E8/E7/E6)</f>
        <v>0.2349361116935661</v>
      </c>
      <c r="C36" s="1" t="s">
        <v>66</v>
      </c>
      <c r="D36" s="48" t="s">
        <v>67</v>
      </c>
      <c r="E36" s="64">
        <f>100*POWER(10,-0.4*B15)</f>
        <v>6.3095734448019178E-6</v>
      </c>
      <c r="F36" s="1" t="s">
        <v>68</v>
      </c>
      <c r="G36"/>
    </row>
    <row r="37" spans="1:7" ht="10.5" customHeight="1" x14ac:dyDescent="0.2">
      <c r="A37" s="48" t="s">
        <v>69</v>
      </c>
      <c r="B37" s="66">
        <f>E10-H6*B36/E20/2</f>
        <v>6336.0517161040152</v>
      </c>
      <c r="C37" s="1" t="s">
        <v>26</v>
      </c>
      <c r="D37" s="48" t="s">
        <v>70</v>
      </c>
      <c r="E37" s="37">
        <f>(1-B8*B8)*B14*B9*E12*H7/100</f>
        <v>0.23760000000000001</v>
      </c>
      <c r="F37"/>
      <c r="G37"/>
    </row>
    <row r="38" spans="1:7" ht="10.5" customHeight="1" x14ac:dyDescent="0.2">
      <c r="A38" s="48" t="s">
        <v>71</v>
      </c>
      <c r="B38" s="66">
        <f>E10+H6*B36/E20/2</f>
        <v>6789.9482838959848</v>
      </c>
      <c r="C38" s="1" t="s">
        <v>26</v>
      </c>
      <c r="D38" s="48" t="s">
        <v>72</v>
      </c>
      <c r="E38" s="77">
        <f>0.25*PI()*E35*E37*B5*B5*B36*E19*B16/100</f>
        <v>15125.020702980786</v>
      </c>
      <c r="F38" s="1" t="s">
        <v>19</v>
      </c>
      <c r="G38"/>
    </row>
    <row r="39" spans="1:7" ht="10.5" customHeight="1" x14ac:dyDescent="0.2">
      <c r="A39" s="48" t="s">
        <v>73</v>
      </c>
      <c r="B39" s="62">
        <f>0.0001*E6*E10/(E5/B31/B7)</f>
        <v>2.0187736477142919</v>
      </c>
      <c r="C39" s="56" t="s">
        <v>33</v>
      </c>
      <c r="D39" s="48" t="s">
        <v>74</v>
      </c>
      <c r="E39" s="55">
        <f>106300000*PI()*E36*E37*B36*E21*H5/1000*E13*B16*E5/E6/B7/B7</f>
        <v>2456.3657586568693</v>
      </c>
      <c r="F39" s="1" t="s">
        <v>19</v>
      </c>
      <c r="G39"/>
    </row>
    <row r="40" spans="1:7" ht="10.5" customHeight="1" x14ac:dyDescent="0.2">
      <c r="A40" s="48" t="s">
        <v>75</v>
      </c>
      <c r="B40" s="39">
        <f>1000*SQRT(POWER($B$31*$E$6/$E$5,2)*(IF(E13=0,POWER($B$12*PI()/648000,2)*$B$6*$B$6,POWER(MIN(B13,$E$13)/1000,2))+POWER($E$15/1000,2))+POWER($E$16/1000,2)+POWER($B$39/1000,2)+POWER($E$20*$H$5/1000,2))</f>
        <v>14.07911805928085</v>
      </c>
      <c r="C40" s="56" t="s">
        <v>33</v>
      </c>
      <c r="D40" s="48" t="s">
        <v>76</v>
      </c>
      <c r="E40" s="55">
        <f>SQRT(E38+E22*E39+H9*E22*B16*E20*E21+E22*B17*H8*H8)</f>
        <v>133.33186588973265</v>
      </c>
      <c r="F40" s="1" t="s">
        <v>77</v>
      </c>
      <c r="G40" s="62"/>
    </row>
    <row r="41" spans="1:7" ht="10.5" customHeight="1" x14ac:dyDescent="0.2">
      <c r="A41" s="48" t="s">
        <v>78</v>
      </c>
      <c r="B41" s="62">
        <f>B40/2/H5/E20</f>
        <v>1.5505636629163932</v>
      </c>
      <c r="C41"/>
      <c r="D41" s="67" t="s">
        <v>84</v>
      </c>
      <c r="E41" s="68">
        <f>E38/E40</f>
        <v>113.43890376130634</v>
      </c>
    </row>
    <row r="42" spans="1:7" ht="10.5" customHeight="1" x14ac:dyDescent="0.2">
      <c r="A42" s="67" t="s">
        <v>80</v>
      </c>
      <c r="B42" s="69">
        <f>IF(B41&lt;1,ABS(1000*B31*E6/2/H5/E20*(TAN(RADIANS(B28))+SIN(RADIANS(B29))/COS(RADIANS(B28)))),ABS(1000*B31*E6/B40*(TAN(RADIANS(B28))+SIN(RADIANS(B29))/COS(RADIANS(B28)))))</f>
        <v>9008.0964955493837</v>
      </c>
      <c r="C42" s="58"/>
    </row>
    <row r="43" spans="1:7" ht="10.5" customHeight="1" x14ac:dyDescent="0.2">
      <c r="A43" s="67" t="s">
        <v>81</v>
      </c>
      <c r="B43" s="70">
        <f>E10/B42</f>
        <v>0.72856679579782158</v>
      </c>
      <c r="C43" s="58" t="s">
        <v>26</v>
      </c>
    </row>
  </sheetData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4</vt:i4>
      </vt:variant>
    </vt:vector>
  </HeadingPairs>
  <TitlesOfParts>
    <vt:vector size="9" baseType="lpstr">
      <vt:lpstr>Ernst</vt:lpstr>
      <vt:lpstr>Cassegrain WN 5</vt:lpstr>
      <vt:lpstr>Cassegrain gam-Cas</vt:lpstr>
      <vt:lpstr>Erläuterung</vt:lpstr>
      <vt:lpstr>SIMSPEC Slit</vt:lpstr>
      <vt:lpstr>'Cassegrain gam-Cas'!Druckbereich</vt:lpstr>
      <vt:lpstr>'Cassegrain WN 5'!Druckbereich</vt:lpstr>
      <vt:lpstr>Ernst!Druckbereich</vt:lpstr>
      <vt:lpstr>'SIMSPEC Slit'!Druckbereich</vt:lpstr>
    </vt:vector>
  </TitlesOfParts>
  <Company>CNES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CNES</dc:creator>
  <dc:description/>
  <cp:lastModifiedBy>Christoph Quandt</cp:lastModifiedBy>
  <cp:revision>2</cp:revision>
  <cp:lastPrinted>2004-05-18T09:28:50Z</cp:lastPrinted>
  <dcterms:created xsi:type="dcterms:W3CDTF">2003-03-05T12:36:55Z</dcterms:created>
  <dcterms:modified xsi:type="dcterms:W3CDTF">2017-03-09T18:31:45Z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CNES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