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GitHub\AMBU-NICA\"/>
    </mc:Choice>
  </mc:AlternateContent>
  <bookViews>
    <workbookView xWindow="0" yWindow="0" windowWidth="25200" windowHeight="11385" activeTab="4"/>
  </bookViews>
  <sheets>
    <sheet name="Parametros" sheetId="2" r:id="rId1"/>
    <sheet name="Mecanica" sheetId="4" r:id="rId2"/>
    <sheet name="Testing" sheetId="6" r:id="rId3"/>
    <sheet name="Lista materiales" sheetId="5" r:id="rId4"/>
    <sheet name="Equipos producidos" sheetId="7" r:id="rId5"/>
    <sheet name="Ciclo COVID" sheetId="3" r:id="rId6"/>
  </sheets>
  <calcPr calcId="152511"/>
</workbook>
</file>

<file path=xl/calcChain.xml><?xml version="1.0" encoding="utf-8"?>
<calcChain xmlns="http://schemas.openxmlformats.org/spreadsheetml/2006/main">
  <c r="H18" i="4" l="1"/>
  <c r="E18" i="4"/>
  <c r="F41" i="5" l="1"/>
  <c r="H16" i="4" l="1"/>
  <c r="D31" i="4" l="1"/>
  <c r="C31" i="4"/>
  <c r="F27" i="4"/>
  <c r="F25" i="4"/>
  <c r="E25" i="4"/>
  <c r="E24" i="4"/>
  <c r="H25" i="4"/>
  <c r="G26" i="4" s="1"/>
  <c r="H24" i="4"/>
  <c r="I24" i="4"/>
  <c r="G23" i="4"/>
  <c r="I27" i="4"/>
  <c r="H26" i="4"/>
  <c r="G25" i="4"/>
  <c r="F24" i="4"/>
  <c r="E23" i="4"/>
  <c r="I22" i="4"/>
  <c r="D27" i="4" s="1"/>
  <c r="F22" i="4"/>
  <c r="G22" i="4" s="1"/>
  <c r="D25" i="4" s="1"/>
  <c r="F23" i="4"/>
  <c r="H22" i="4"/>
  <c r="E22" i="4"/>
  <c r="D23" i="4" s="1"/>
  <c r="G24" i="4"/>
  <c r="D22" i="4"/>
  <c r="I25" i="4" l="1"/>
  <c r="G27" i="4" s="1"/>
  <c r="H23" i="4"/>
  <c r="E26" i="4" s="1"/>
  <c r="D24" i="4"/>
  <c r="I26" i="4"/>
  <c r="H27" i="4" s="1"/>
  <c r="I23" i="4"/>
  <c r="E27" i="4" s="1"/>
  <c r="C34" i="4" s="1"/>
  <c r="E17" i="4"/>
  <c r="E16" i="4"/>
  <c r="D34" i="4" l="1"/>
  <c r="D35" i="4" s="1"/>
  <c r="E34" i="4"/>
  <c r="E35" i="4" s="1"/>
  <c r="C35" i="4"/>
  <c r="B34" i="4"/>
  <c r="B35" i="4" s="1"/>
  <c r="H9" i="4"/>
  <c r="H10" i="4"/>
  <c r="H11" i="4"/>
  <c r="H8" i="4"/>
  <c r="D10" i="4"/>
  <c r="E10" i="4" s="1"/>
  <c r="F10" i="4" s="1"/>
  <c r="G10" i="4" s="1"/>
  <c r="D11" i="4"/>
  <c r="E11" i="4" s="1"/>
  <c r="F11" i="4" s="1"/>
  <c r="G11" i="4" s="1"/>
  <c r="D26" i="5" l="1"/>
  <c r="F25" i="5"/>
  <c r="D9" i="4" l="1"/>
  <c r="E9" i="4" s="1"/>
  <c r="F9" i="4" s="1"/>
  <c r="G9" i="4" s="1"/>
  <c r="F2" i="4" l="1"/>
  <c r="D8" i="4"/>
  <c r="E8" i="4" s="1"/>
  <c r="F8" i="4" s="1"/>
  <c r="G8" i="4" s="1"/>
  <c r="G24" i="2" l="1"/>
  <c r="D26" i="4"/>
  <c r="F26" i="4" l="1"/>
</calcChain>
</file>

<file path=xl/sharedStrings.xml><?xml version="1.0" encoding="utf-8"?>
<sst xmlns="http://schemas.openxmlformats.org/spreadsheetml/2006/main" count="479" uniqueCount="350">
  <si>
    <t>Arduino</t>
  </si>
  <si>
    <t xml:space="preserve">int steps = 6;      </t>
  </si>
  <si>
    <t xml:space="preserve"> // pin step 9</t>
  </si>
  <si>
    <t xml:space="preserve">int direccion = 5;  </t>
  </si>
  <si>
    <t xml:space="preserve"> // pin direccion 7</t>
  </si>
  <si>
    <t xml:space="preserve">int potCPM;   </t>
  </si>
  <si>
    <t>// lectura del potenciometro de velocidad (ciclos por minuto)</t>
  </si>
  <si>
    <t xml:space="preserve">bool activa = false;      </t>
  </si>
  <si>
    <t xml:space="preserve">//   Logica (encendida o apagada) </t>
  </si>
  <si>
    <t xml:space="preserve">int boton = 7;      </t>
  </si>
  <si>
    <t xml:space="preserve"> // pin pulsador (encendido)</t>
  </si>
  <si>
    <t>Output</t>
  </si>
  <si>
    <t>Input</t>
  </si>
  <si>
    <t xml:space="preserve">bool inhala = true;       </t>
  </si>
  <si>
    <t xml:space="preserve">//   Logica (inhala o exhala) </t>
  </si>
  <si>
    <t>1/0</t>
  </si>
  <si>
    <t>8 a 40</t>
  </si>
  <si>
    <t xml:space="preserve">int pausa = 1000;     </t>
  </si>
  <si>
    <t xml:space="preserve"> // Duracion de la pausa entre ciclos en milisegundos  MODIFICABLE</t>
  </si>
  <si>
    <t xml:space="preserve">int pasosMC = 2000     </t>
  </si>
  <si>
    <t>//Pasos por medio ciclo (depende de mecanismo usado, 200steps per turn</t>
  </si>
  <si>
    <t>Valores</t>
  </si>
  <si>
    <t>Sketch</t>
  </si>
  <si>
    <t>Tipo</t>
  </si>
  <si>
    <t xml:space="preserve">int Tentrepasos = 1 ;     </t>
  </si>
  <si>
    <t>// Tiempo entre pasos para asegurar un numero de ciclos por minuto (Pausa en milisegundos, calculada)</t>
  </si>
  <si>
    <t>60 / Ciclos por minuto= duracion ciclo en segundos</t>
  </si>
  <si>
    <t>(60/potCPM - pausa)*1000/ (2*pasosMC)</t>
  </si>
  <si>
    <t>Ciclo covid</t>
  </si>
  <si>
    <t>Inicio (Día)</t>
  </si>
  <si>
    <t>Promedio</t>
  </si>
  <si>
    <t>Max  (Día)</t>
  </si>
  <si>
    <t>Final  (Día)</t>
  </si>
  <si>
    <t>Infección</t>
  </si>
  <si>
    <t>Incubación</t>
  </si>
  <si>
    <t>Vias respiratorias superiores</t>
  </si>
  <si>
    <t>https://www.nejm.org/doi/full/10.1056/NEJMoa2001316</t>
  </si>
  <si>
    <t>Capacidad contagio</t>
  </si>
  <si>
    <t>Síntomas</t>
  </si>
  <si>
    <t>Agravamiento (Desde inicio sintomas)</t>
  </si>
  <si>
    <t>despues 14</t>
  </si>
  <si>
    <t>https://pubs.rsna.org/doi/full/10.1148/radiol.2020200370</t>
  </si>
  <si>
    <t>Curación</t>
  </si>
  <si>
    <t>https://www.sciencedirect.com/science/article/pii/S0896841120300469</t>
  </si>
  <si>
    <t>Version 2</t>
  </si>
  <si>
    <t>16 a 24</t>
  </si>
  <si>
    <t xml:space="preserve">int alarmaPin = 2;       </t>
  </si>
  <si>
    <t>// Pin para activar alarma</t>
  </si>
  <si>
    <t xml:space="preserve">int cierrePin = 3;       </t>
  </si>
  <si>
    <t>// Pin (endstop) para confirmar cierre de caja</t>
  </si>
  <si>
    <t xml:space="preserve">int origenPin = 4;       </t>
  </si>
  <si>
    <t>// Pin para confirmar si Motor regresó a origen. No se han saltado pasos (motor en posicion adecuada) despues de un ciclo</t>
  </si>
  <si>
    <t xml:space="preserve">int direccionPin = 5;   </t>
  </si>
  <si>
    <t xml:space="preserve"> // pin direccion Motor </t>
  </si>
  <si>
    <t xml:space="preserve">int pasosPin = 6;       </t>
  </si>
  <si>
    <t xml:space="preserve"> // pin step pasos Motor</t>
  </si>
  <si>
    <t xml:space="preserve">int botonPin = 7;       </t>
  </si>
  <si>
    <t xml:space="preserve"> // pin pulsador  (encendido)</t>
  </si>
  <si>
    <t xml:space="preserve">int enablePin = 8;       </t>
  </si>
  <si>
    <t xml:space="preserve">// pin activa y desactiva motor Motor </t>
  </si>
  <si>
    <t xml:space="preserve">int potCPM;              </t>
  </si>
  <si>
    <t>// lectura del potenciometro de velocidad (ciclos por minuto) ,  Leída</t>
  </si>
  <si>
    <t xml:space="preserve">bool activa = false;     </t>
  </si>
  <si>
    <t>//   Logica (encendida o apagada) ,  Leída</t>
  </si>
  <si>
    <t xml:space="preserve">int inhala = true;      </t>
  </si>
  <si>
    <t>//   Logica (inhala o exhala) , calculada</t>
  </si>
  <si>
    <t xml:space="preserve">int pausa = 2000;        </t>
  </si>
  <si>
    <t xml:space="preserve"> // Duracion de la pausa entre mareas en milisegundos,  MODIFICABLE</t>
  </si>
  <si>
    <t xml:space="preserve">int pasosMC = 380;       </t>
  </si>
  <si>
    <t>// Pasos por medio ciclo (depende de mecanismo usado, 200pasos per turn, definida</t>
  </si>
  <si>
    <t xml:space="preserve">int Tentrepasos = 1 ;    </t>
  </si>
  <si>
    <t xml:space="preserve">Eje motor </t>
  </si>
  <si>
    <t>Diametro mm</t>
  </si>
  <si>
    <t>Circunferencia</t>
  </si>
  <si>
    <t>Pi</t>
  </si>
  <si>
    <t>Pasos por vuelta</t>
  </si>
  <si>
    <t>mm</t>
  </si>
  <si>
    <t>Recorrido necesario max</t>
  </si>
  <si>
    <t>Pasos</t>
  </si>
  <si>
    <t>Freq max</t>
  </si>
  <si>
    <t>( .3 del total) Duracion Ciclos inpiracion en segundos</t>
  </si>
  <si>
    <t>RPS</t>
  </si>
  <si>
    <t>Pin</t>
  </si>
  <si>
    <t>A0</t>
  </si>
  <si>
    <t>A1</t>
  </si>
  <si>
    <t xml:space="preserve">int pot </t>
  </si>
  <si>
    <t>Lista materiales</t>
  </si>
  <si>
    <t>Parte</t>
  </si>
  <si>
    <t>Especificación</t>
  </si>
  <si>
    <t>Cantidad</t>
  </si>
  <si>
    <t>Nota</t>
  </si>
  <si>
    <t>Fuente de poder</t>
  </si>
  <si>
    <t>ATX-PSU de PC</t>
  </si>
  <si>
    <t>Motor NEMA23</t>
  </si>
  <si>
    <t>2.4 A, 13.9Kg.cm (1.36Nm)</t>
  </si>
  <si>
    <t>Arduino Nano</t>
  </si>
  <si>
    <t>Conectores (como punto instalación de sensores)</t>
  </si>
  <si>
    <t>Manguera extensión</t>
  </si>
  <si>
    <t>Origen</t>
  </si>
  <si>
    <t>Resucitador Ambulatorio AMBU</t>
  </si>
  <si>
    <t>Impreso 3D</t>
  </si>
  <si>
    <t>Reciclado</t>
  </si>
  <si>
    <t>Nuevo</t>
  </si>
  <si>
    <t>Construcción</t>
  </si>
  <si>
    <t>Caja con mecanismo</t>
  </si>
  <si>
    <t>Acrílico 5mm</t>
  </si>
  <si>
    <t>Corte Laser</t>
  </si>
  <si>
    <t>Precio</t>
  </si>
  <si>
    <t>15mm</t>
  </si>
  <si>
    <t>20mm</t>
  </si>
  <si>
    <t>50mm</t>
  </si>
  <si>
    <t>50 mm</t>
  </si>
  <si>
    <t>Tornillos M3 con tuerca</t>
  </si>
  <si>
    <t>Tornillos M4 con tuerca</t>
  </si>
  <si>
    <t>Tornillos M5 con tuerca</t>
  </si>
  <si>
    <t>Motor</t>
  </si>
  <si>
    <t>Eje</t>
  </si>
  <si>
    <t>Mecanismo</t>
  </si>
  <si>
    <t>Brazo</t>
  </si>
  <si>
    <t>Manija</t>
  </si>
  <si>
    <t>4 pulgadas entre centros</t>
  </si>
  <si>
    <t>Hules base</t>
  </si>
  <si>
    <t>min 3mm espesor</t>
  </si>
  <si>
    <t>pegados</t>
  </si>
  <si>
    <t>Electronica</t>
  </si>
  <si>
    <t>Switch encendido</t>
  </si>
  <si>
    <t>Sensor óptico</t>
  </si>
  <si>
    <t>Zumbador</t>
  </si>
  <si>
    <t>Switch mecánico</t>
  </si>
  <si>
    <t>Costo total</t>
  </si>
  <si>
    <t>cierre</t>
  </si>
  <si>
    <t>motor</t>
  </si>
  <si>
    <t>controles</t>
  </si>
  <si>
    <t>Aire</t>
  </si>
  <si>
    <t>Manguera cableado</t>
  </si>
  <si>
    <t>1m</t>
  </si>
  <si>
    <t>Sensores</t>
  </si>
  <si>
    <t>Humedad y temperatura</t>
  </si>
  <si>
    <t>Humedad, temperatura y presión</t>
  </si>
  <si>
    <t>10 mm</t>
  </si>
  <si>
    <t>Fuente</t>
  </si>
  <si>
    <t>Varios</t>
  </si>
  <si>
    <t xml:space="preserve">Cuerda trenzada pesca </t>
  </si>
  <si>
    <t>2 a 3mm</t>
  </si>
  <si>
    <t>20cm</t>
  </si>
  <si>
    <t>Cianoacrilato</t>
  </si>
  <si>
    <t>10 mm (autoroscante)</t>
  </si>
  <si>
    <t>Seguros</t>
  </si>
  <si>
    <t>Cinta adhesiva ancha</t>
  </si>
  <si>
    <t>Bisagra</t>
  </si>
  <si>
    <t>Resistencias</t>
  </si>
  <si>
    <t>Led</t>
  </si>
  <si>
    <t>Rojo</t>
  </si>
  <si>
    <t>Verde</t>
  </si>
  <si>
    <t>Operando</t>
  </si>
  <si>
    <t>Falla</t>
  </si>
  <si>
    <t>30cm</t>
  </si>
  <si>
    <t>Cinta electrica o tubo cableado</t>
  </si>
  <si>
    <t>Nano</t>
  </si>
  <si>
    <t>10kΩ</t>
  </si>
  <si>
    <t>5kΩ</t>
  </si>
  <si>
    <t>470Ω</t>
  </si>
  <si>
    <t xml:space="preserve">Rheostato </t>
  </si>
  <si>
    <t>BMP280</t>
  </si>
  <si>
    <t>DHT22</t>
  </si>
  <si>
    <t>Pulso</t>
  </si>
  <si>
    <t>Oxigenación</t>
  </si>
  <si>
    <t>Temperatura</t>
  </si>
  <si>
    <t>5 Amp TB6600</t>
  </si>
  <si>
    <t xml:space="preserve">Biomonitor </t>
  </si>
  <si>
    <t>En fase siguiente, con pantalla</t>
  </si>
  <si>
    <t>Pantalla</t>
  </si>
  <si>
    <t>Arduino nano mas interfase I2C o Arduino grande (UNO o Mega)</t>
  </si>
  <si>
    <t>Driver Motor</t>
  </si>
  <si>
    <t>que pueda medir presión de 0 a 50cmH2O, o hasta negativa</t>
  </si>
  <si>
    <t>RPM</t>
  </si>
  <si>
    <t>Vueltas</t>
  </si>
  <si>
    <t>Frecuencias driver</t>
  </si>
  <si>
    <t>TB6600</t>
  </si>
  <si>
    <t>200khz</t>
  </si>
  <si>
    <t>TB6560</t>
  </si>
  <si>
    <t>15kHz</t>
  </si>
  <si>
    <t>5 micros entre pasos</t>
  </si>
  <si>
    <t>Max</t>
  </si>
  <si>
    <t>Presiones</t>
  </si>
  <si>
    <t>Bar</t>
  </si>
  <si>
    <t>cm H20</t>
  </si>
  <si>
    <t>1 cm H2O</t>
  </si>
  <si>
    <t>1 Bar</t>
  </si>
  <si>
    <t>1 Pascal</t>
  </si>
  <si>
    <t>PSI</t>
  </si>
  <si>
    <t>Version 1</t>
  </si>
  <si>
    <t>1 hPascal</t>
  </si>
  <si>
    <t>hPa</t>
  </si>
  <si>
    <t>Pa</t>
  </si>
  <si>
    <t>1 PSI</t>
  </si>
  <si>
    <t>1 ATM</t>
  </si>
  <si>
    <t>ATM standard</t>
  </si>
  <si>
    <t>Desde</t>
  </si>
  <si>
    <t>Hasta</t>
  </si>
  <si>
    <t>Respirador</t>
  </si>
  <si>
    <t>cmH20</t>
  </si>
  <si>
    <t>bar</t>
  </si>
  <si>
    <t>0 es presion atmosferica medida</t>
  </si>
  <si>
    <t>Pasos max por minuto</t>
  </si>
  <si>
    <t>Version 3</t>
  </si>
  <si>
    <t>Función</t>
  </si>
  <si>
    <t>Rango</t>
  </si>
  <si>
    <t>Cambiable vía</t>
  </si>
  <si>
    <t>Fijada</t>
  </si>
  <si>
    <t>Volumen aire</t>
  </si>
  <si>
    <t>Tablero</t>
  </si>
  <si>
    <t>No</t>
  </si>
  <si>
    <t>Respiraciones por minuto</t>
  </si>
  <si>
    <t>16 a 25 RPM</t>
  </si>
  <si>
    <t>Fracción inspiratoria</t>
  </si>
  <si>
    <t>Firmware</t>
  </si>
  <si>
    <t>Si</t>
  </si>
  <si>
    <t>Meseta</t>
  </si>
  <si>
    <t>500 milisegundos</t>
  </si>
  <si>
    <t>Válvula mecánica sobrepresión</t>
  </si>
  <si>
    <t>NO</t>
  </si>
  <si>
    <t>Conexión a oxigeno</t>
  </si>
  <si>
    <t>Disponible</t>
  </si>
  <si>
    <t>//Variables médicas modificables en firmware</t>
  </si>
  <si>
    <t>int   ciclosmin = 16;     // Minimo de ciclos por minuto</t>
  </si>
  <si>
    <t>int   ciclosmax = 25;     // Maximo de ciclos por minuto</t>
  </si>
  <si>
    <t>float FInsp = .42;        // fracción inspiratoria = Tiempo Inspiracion/Tiempo total ciclo (.42 recomendado) SE PUEDE PONER UN POTENCIOMETRO PARA VARIAR</t>
  </si>
  <si>
    <t>int   TMeseta = 500 ;    // Tiempo de Meseta en milisegundos (Presión alta mantenida antes de pasar a Exhalación)</t>
  </si>
  <si>
    <t xml:space="preserve">int   Pausa = 0;          // Duracion de la pausa adicional entre mareas en milisegundos,  </t>
  </si>
  <si>
    <t>int   presionmax = 40;    // Presion maxima en cualquier momento. PARA EL EQUIPO.</t>
  </si>
  <si>
    <t>int   presionmin = -5;    // Presion minima durante espiracion. Señal advertencia</t>
  </si>
  <si>
    <t>int   tempmax = 39;        // Temperatura maxima del aire</t>
  </si>
  <si>
    <t xml:space="preserve">                          // volumen segun ambu y posicion del reostato</t>
  </si>
  <si>
    <t>175 a 600 cc</t>
  </si>
  <si>
    <t>Salto de pasos por sobrepresion</t>
  </si>
  <si>
    <t>Pausa al final marea</t>
  </si>
  <si>
    <t xml:space="preserve">1= falla de motor/origen, </t>
  </si>
  <si>
    <t xml:space="preserve">2= Falla de origen del brazo, </t>
  </si>
  <si>
    <t xml:space="preserve">3= Exceso de presion </t>
  </si>
  <si>
    <t>4= Presion demasiado baja</t>
  </si>
  <si>
    <t>5= Sobre temperatura</t>
  </si>
  <si>
    <t>Alarmas</t>
  </si>
  <si>
    <t>varias fallas mecánica, presion, etc</t>
  </si>
  <si>
    <t>SI</t>
  </si>
  <si>
    <t>Sensor de presion y temperatura</t>
  </si>
  <si>
    <t>Sensor Presión y temp</t>
  </si>
  <si>
    <t xml:space="preserve"> pasos</t>
  </si>
  <si>
    <r>
      <t>60cmH</t>
    </r>
    <r>
      <rPr>
        <vertAlign val="subscript"/>
        <sz val="11"/>
        <color rgb="FF9C0006"/>
        <rFont val="Arial"/>
        <family val="2"/>
        <scheme val="minor"/>
      </rPr>
      <t>2</t>
    </r>
    <r>
      <rPr>
        <sz val="11"/>
        <color rgb="FF9C0006"/>
        <rFont val="Arial"/>
        <family val="2"/>
        <scheme val="minor"/>
      </rPr>
      <t>O</t>
    </r>
  </si>
  <si>
    <r>
      <t>40cmH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</si>
  <si>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r>
      <t>40cmH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</t>
    </r>
  </si>
  <si>
    <t>pasos</t>
  </si>
  <si>
    <t xml:space="preserve">40C </t>
  </si>
  <si>
    <r>
      <t xml:space="preserve"> -5cmH</t>
    </r>
    <r>
      <rPr>
        <vertAlign val="sub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>O</t>
    </r>
  </si>
  <si>
    <t>Frecuencia</t>
  </si>
  <si>
    <t xml:space="preserve">Volumen </t>
  </si>
  <si>
    <t>PEEP</t>
  </si>
  <si>
    <t>Set</t>
  </si>
  <si>
    <t>Analizador</t>
  </si>
  <si>
    <t>ml</t>
  </si>
  <si>
    <t>cmH2O</t>
  </si>
  <si>
    <t>Técnico: Efren Lopez</t>
  </si>
  <si>
    <t>Pruebas en Buehler Pharma     11/06/2020</t>
  </si>
  <si>
    <t>Con mascarilla</t>
  </si>
  <si>
    <t>Con pulmón</t>
  </si>
  <si>
    <t>Los test con pulmón de pruebas no pudieron ser usados, ya que el equipo de calibración esta diseñado para medir y retener el PEEP en una sola dirección (Ventiladores con dos mangueras separadas). Esto hizo que el PEEP se mantuviera a una presión muy elevada (20cmH2O), impidiendo el flujo de renovación.</t>
  </si>
  <si>
    <t>Equipos producidos</t>
  </si>
  <si>
    <t>Numero</t>
  </si>
  <si>
    <t>Modelo</t>
  </si>
  <si>
    <t>Notas</t>
  </si>
  <si>
    <t>Versiones previas con sistemas mecanicos varios</t>
  </si>
  <si>
    <t>De</t>
  </si>
  <si>
    <t>Daniel</t>
  </si>
  <si>
    <t>Ramiro</t>
  </si>
  <si>
    <t>Lamina de 4mm</t>
  </si>
  <si>
    <t>Aram</t>
  </si>
  <si>
    <t>Heidi</t>
  </si>
  <si>
    <t>Covid CHI</t>
  </si>
  <si>
    <t>AMBU</t>
  </si>
  <si>
    <t>AMBU 1</t>
  </si>
  <si>
    <t>AMBU 2</t>
  </si>
  <si>
    <t>Verificaciones control de calidad:</t>
  </si>
  <si>
    <t>Retorno a origen inicial</t>
  </si>
  <si>
    <t>Retorno a origen sobre la marcha</t>
  </si>
  <si>
    <t>Inicio: Pitidos ok</t>
  </si>
  <si>
    <t>Alarma por presion</t>
  </si>
  <si>
    <t>Valor</t>
  </si>
  <si>
    <t>Equipo 5</t>
  </si>
  <si>
    <t>Equipo 6</t>
  </si>
  <si>
    <t>Equipo 7</t>
  </si>
  <si>
    <t>Equipo 8</t>
  </si>
  <si>
    <t>Previos</t>
  </si>
  <si>
    <t>Firmware instalado</t>
  </si>
  <si>
    <t>Modificaciones firmware</t>
  </si>
  <si>
    <t>Serial OK</t>
  </si>
  <si>
    <t>LED Puerta y encendido</t>
  </si>
  <si>
    <t>OK</t>
  </si>
  <si>
    <t>Preflight</t>
  </si>
  <si>
    <t>Sensor BMP280</t>
  </si>
  <si>
    <t>Posicion brazos</t>
  </si>
  <si>
    <t>Numero de ruedas</t>
  </si>
  <si>
    <t>Operación basica</t>
  </si>
  <si>
    <t>Brazos regresan a origen</t>
  </si>
  <si>
    <t>Rheostato RPM</t>
  </si>
  <si>
    <t>Rheostato Volumen</t>
  </si>
  <si>
    <t>8 ruedas</t>
  </si>
  <si>
    <t>RespiraDQ3Dv09</t>
  </si>
  <si>
    <t>Revisar switch</t>
  </si>
  <si>
    <t>Lineas a BMP</t>
  </si>
  <si>
    <t>Lubricar brasos, ubicar bien origen motor</t>
  </si>
  <si>
    <t>Parlante pin D13</t>
  </si>
  <si>
    <t>Accion posible</t>
  </si>
  <si>
    <t>Instalar</t>
  </si>
  <si>
    <t>8ruedas, bracito 3 en desde ruedas (AMBU queda deformado)</t>
  </si>
  <si>
    <t>bracito</t>
  </si>
  <si>
    <t>1=cortito 4= largote</t>
  </si>
  <si>
    <t>Longitud bracito</t>
  </si>
  <si>
    <t>Serie de pruebas CC</t>
  </si>
  <si>
    <t>Motor mueve contra el reloj</t>
  </si>
  <si>
    <t>Historia</t>
  </si>
  <si>
    <t>RPM min</t>
  </si>
  <si>
    <t>RPM max</t>
  </si>
  <si>
    <t>Prueba operativa equipo</t>
  </si>
  <si>
    <t>Alarma por otro</t>
  </si>
  <si>
    <t>Reset alarma</t>
  </si>
  <si>
    <t>Restos</t>
  </si>
  <si>
    <t>2 soportes laterales internos , MOTOR SUPER SILENCIOSA, ruidosa de borde ambu</t>
  </si>
  <si>
    <t>Driver a 3A</t>
  </si>
  <si>
    <t>100kHz</t>
  </si>
  <si>
    <t xml:space="preserve">Chino nuevo </t>
  </si>
  <si>
    <t>TB67S109</t>
  </si>
  <si>
    <t>66 micros entre pasos</t>
  </si>
  <si>
    <t>10 micros entre pasos</t>
  </si>
  <si>
    <t>Real</t>
  </si>
  <si>
    <t>20khz</t>
  </si>
  <si>
    <t>50 micros signal</t>
  </si>
  <si>
    <t>https://reprap.org/forum/read.php?415,826601</t>
  </si>
  <si>
    <t>Microstep</t>
  </si>
  <si>
    <t>Volumen maximo</t>
  </si>
  <si>
    <t>sin pulmon</t>
  </si>
  <si>
    <t>520a600</t>
  </si>
  <si>
    <t>Volumen minimo @20RPM</t>
  </si>
  <si>
    <t>Volumen medio @20RPM</t>
  </si>
  <si>
    <t>250a300</t>
  </si>
  <si>
    <t>80 a 150</t>
  </si>
  <si>
    <t>30 a 31</t>
  </si>
  <si>
    <t>SALTA</t>
  </si>
  <si>
    <t>recortar mecate y fijar</t>
  </si>
  <si>
    <t>Mecate tilinte despues de 2 horas</t>
  </si>
  <si>
    <t>Schottky USB quemado,no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</si>
</sst>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540A]#,##0.00"/>
    <numFmt numFmtId="165" formatCode="0.00000000"/>
  </numFmts>
  <fonts count="23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11"/>
      <color rgb="FF9C0006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4" tint="-0.249977111117893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theme="4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vertAlign val="subscript"/>
      <sz val="11"/>
      <color rgb="FF000000"/>
      <name val="Calibri"/>
      <family val="2"/>
    </font>
    <font>
      <sz val="10"/>
      <color rgb="FF000000"/>
      <name val="Calibri"/>
      <family val="2"/>
    </font>
    <font>
      <vertAlign val="subscript"/>
      <sz val="11"/>
      <color rgb="FF9C0006"/>
      <name val="Arial"/>
      <family val="2"/>
      <scheme val="minor"/>
    </font>
    <font>
      <vertAlign val="subscript"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1"/>
      <color theme="0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7" borderId="0" applyNumberFormat="0" applyBorder="0" applyAlignment="0" applyProtection="0"/>
  </cellStyleXfs>
  <cellXfs count="118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2" borderId="0" xfId="2" applyAlignment="1"/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6" fillId="0" borderId="0" xfId="0" applyFont="1" applyAlignment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0" xfId="0" applyNumberFormat="1" applyFont="1" applyAlignment="1"/>
    <xf numFmtId="164" fontId="7" fillId="0" borderId="2" xfId="0" applyNumberFormat="1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164" fontId="6" fillId="0" borderId="5" xfId="0" applyNumberFormat="1" applyFont="1" applyBorder="1" applyAlignment="1">
      <alignment vertical="center" wrapText="1"/>
    </xf>
    <xf numFmtId="164" fontId="6" fillId="0" borderId="6" xfId="0" applyNumberFormat="1" applyFont="1" applyBorder="1" applyAlignment="1">
      <alignment vertical="center" wrapText="1"/>
    </xf>
    <xf numFmtId="164" fontId="6" fillId="0" borderId="3" xfId="0" applyNumberFormat="1" applyFon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0" fontId="1" fillId="0" borderId="0" xfId="1" applyAlignme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8" fontId="1" fillId="0" borderId="4" xfId="1" applyNumberFormat="1" applyBorder="1" applyAlignment="1">
      <alignment vertical="center" wrapText="1"/>
    </xf>
    <xf numFmtId="164" fontId="4" fillId="0" borderId="0" xfId="0" applyNumberFormat="1" applyFont="1" applyAlignment="1"/>
    <xf numFmtId="0" fontId="3" fillId="0" borderId="0" xfId="0" applyFont="1" applyAlignment="1">
      <alignment horizontal="right"/>
    </xf>
    <xf numFmtId="0" fontId="0" fillId="3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 vertical="center"/>
    </xf>
    <xf numFmtId="2" fontId="8" fillId="0" borderId="0" xfId="0" applyNumberFormat="1" applyFont="1" applyAlignment="1"/>
    <xf numFmtId="2" fontId="9" fillId="0" borderId="0" xfId="0" applyNumberFormat="1" applyFont="1" applyAlignment="1"/>
    <xf numFmtId="0" fontId="3" fillId="0" borderId="7" xfId="0" applyFont="1" applyBorder="1" applyAlignment="1"/>
    <xf numFmtId="0" fontId="0" fillId="0" borderId="8" xfId="0" applyFont="1" applyBorder="1" applyAlignment="1"/>
    <xf numFmtId="0" fontId="3" fillId="0" borderId="8" xfId="0" applyFont="1" applyBorder="1" applyAlignment="1"/>
    <xf numFmtId="0" fontId="4" fillId="0" borderId="9" xfId="0" applyFont="1" applyBorder="1" applyAlignment="1"/>
    <xf numFmtId="0" fontId="0" fillId="0" borderId="10" xfId="0" applyFont="1" applyBorder="1" applyAlignment="1"/>
    <xf numFmtId="0" fontId="3" fillId="0" borderId="0" xfId="0" applyFont="1" applyBorder="1" applyAlignment="1"/>
    <xf numFmtId="0" fontId="3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4" fillId="0" borderId="14" xfId="0" applyFont="1" applyBorder="1" applyAlignment="1"/>
    <xf numFmtId="2" fontId="0" fillId="0" borderId="0" xfId="0" applyNumberFormat="1" applyFont="1" applyBorder="1" applyAlignment="1"/>
    <xf numFmtId="0" fontId="0" fillId="0" borderId="9" xfId="0" applyFont="1" applyBorder="1" applyAlignment="1"/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2" fontId="12" fillId="0" borderId="11" xfId="0" applyNumberFormat="1" applyFont="1" applyBorder="1" applyAlignment="1"/>
    <xf numFmtId="0" fontId="12" fillId="0" borderId="13" xfId="0" applyFont="1" applyBorder="1" applyAlignment="1"/>
    <xf numFmtId="0" fontId="13" fillId="0" borderId="0" xfId="0" applyFont="1" applyBorder="1" applyAlignment="1">
      <alignment wrapText="1"/>
    </xf>
    <xf numFmtId="0" fontId="12" fillId="0" borderId="8" xfId="0" applyFont="1" applyBorder="1" applyAlignment="1"/>
    <xf numFmtId="165" fontId="12" fillId="0" borderId="0" xfId="0" applyNumberFormat="1" applyFont="1" applyBorder="1" applyAlignment="1"/>
    <xf numFmtId="0" fontId="7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5" xfId="0" applyFont="1" applyFill="1" applyBorder="1" applyAlignment="1">
      <alignment vertical="center"/>
    </xf>
    <xf numFmtId="0" fontId="0" fillId="0" borderId="15" xfId="0" applyFont="1" applyBorder="1" applyAlignment="1"/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2" fillId="2" borderId="15" xfId="2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0" fillId="0" borderId="10" xfId="0" applyFont="1" applyBorder="1" applyAlignment="1">
      <alignment horizontal="right"/>
    </xf>
    <xf numFmtId="0" fontId="18" fillId="0" borderId="0" xfId="0" applyFont="1" applyAlignment="1"/>
    <xf numFmtId="14" fontId="18" fillId="0" borderId="0" xfId="0" applyNumberFormat="1" applyFont="1" applyAlignment="1"/>
    <xf numFmtId="0" fontId="4" fillId="0" borderId="0" xfId="0" applyFont="1" applyAlignment="1">
      <alignment horizontal="right"/>
    </xf>
    <xf numFmtId="0" fontId="19" fillId="0" borderId="0" xfId="0" applyFont="1" applyAlignment="1"/>
    <xf numFmtId="0" fontId="20" fillId="5" borderId="0" xfId="4" applyAlignment="1"/>
    <xf numFmtId="0" fontId="20" fillId="6" borderId="0" xfId="3" applyFill="1" applyAlignment="1"/>
    <xf numFmtId="0" fontId="5" fillId="0" borderId="0" xfId="0" applyFont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0" fillId="0" borderId="17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2" borderId="17" xfId="2" applyBorder="1" applyAlignment="1">
      <alignment wrapText="1"/>
    </xf>
    <xf numFmtId="0" fontId="2" fillId="2" borderId="18" xfId="2" applyBorder="1" applyAlignment="1">
      <alignment wrapText="1"/>
    </xf>
    <xf numFmtId="0" fontId="3" fillId="0" borderId="17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22" fillId="0" borderId="0" xfId="0" applyFont="1" applyAlignment="1"/>
    <xf numFmtId="0" fontId="0" fillId="0" borderId="0" xfId="0" applyFont="1"/>
    <xf numFmtId="0" fontId="4" fillId="0" borderId="10" xfId="0" applyFont="1" applyBorder="1" applyAlignment="1">
      <alignment horizontal="center" vertical="center" wrapText="1"/>
    </xf>
    <xf numFmtId="0" fontId="21" fillId="7" borderId="17" xfId="5" applyBorder="1" applyAlignment="1">
      <alignment wrapText="1"/>
    </xf>
    <xf numFmtId="0" fontId="21" fillId="7" borderId="0" xfId="5"/>
  </cellXfs>
  <cellStyles count="6">
    <cellStyle name="60% - Énfasis5" xfId="3" builtinId="48"/>
    <cellStyle name="Buena" xfId="5" builtinId="26"/>
    <cellStyle name="Énfasis6" xfId="4" builtinId="49"/>
    <cellStyle name="Hipervínculo" xfId="1" builtinId="8"/>
    <cellStyle name="Incorrecto" xfId="2" builtinId="27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https://www.nejm.org/doi/full/10.1056/NEJMoa20013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8</xdr:row>
      <xdr:rowOff>99011</xdr:rowOff>
    </xdr:from>
    <xdr:to>
      <xdr:col>14</xdr:col>
      <xdr:colOff>400050</xdr:colOff>
      <xdr:row>32</xdr:row>
      <xdr:rowOff>142875</xdr:rowOff>
    </xdr:to>
    <xdr:pic>
      <xdr:nvPicPr>
        <xdr:cNvPr id="3" name="Imagen 2" descr="https://raw.githubusercontent.com/eduoda/odamv/master/docs/media/ventilator_curve_theoretical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1394411"/>
          <a:ext cx="4086225" cy="393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757551</xdr:colOff>
      <xdr:row>3</xdr:row>
      <xdr:rowOff>123825</xdr:rowOff>
    </xdr:from>
    <xdr:to>
      <xdr:col>12</xdr:col>
      <xdr:colOff>314324</xdr:colOff>
      <xdr:row>17</xdr:row>
      <xdr:rowOff>76200</xdr:rowOff>
    </xdr:to>
    <xdr:pic>
      <xdr:nvPicPr>
        <xdr:cNvPr id="2" name="Imagen 1" descr="RESUCITADOR MANUAL DESCARTABLE PVC AMB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5251" y="676275"/>
          <a:ext cx="3042923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305857</xdr:colOff>
      <xdr:row>2</xdr:row>
      <xdr:rowOff>147637</xdr:rowOff>
    </xdr:from>
    <xdr:to>
      <xdr:col>16</xdr:col>
      <xdr:colOff>723900</xdr:colOff>
      <xdr:row>18</xdr:row>
      <xdr:rowOff>66675</xdr:rowOff>
    </xdr:to>
    <xdr:pic>
      <xdr:nvPicPr>
        <xdr:cNvPr id="4" name="Imagen 3" descr="Silicon Ambu Bag Adult, Rs 575 /set Hospitime India | ID: 223334358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8157" y="538162"/>
          <a:ext cx="2989793" cy="26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9524</xdr:colOff>
      <xdr:row>5</xdr:row>
      <xdr:rowOff>181176</xdr:rowOff>
    </xdr:from>
    <xdr:to>
      <xdr:col>17</xdr:col>
      <xdr:colOff>533399</xdr:colOff>
      <xdr:row>18</xdr:row>
      <xdr:rowOff>161924</xdr:rowOff>
    </xdr:to>
    <xdr:pic>
      <xdr:nvPicPr>
        <xdr:cNvPr id="4" name="Imagen 3" descr="https://www.nejm.org/na101/home/literatum/publisher/mms/journals/content/nejm/2020/nejm_2020.382.issue-13/nejmoa2001316/20200320/images/img_xlarge/nejmoa2001316_f2.jpe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4" y="1133676"/>
          <a:ext cx="2809875" cy="226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oshiba.semicon-storage.com/info/docget.jsp?did=14642&amp;prodName=TB67S109AFT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5pcs-BMP280-Pressure-Sensor-Arduino-High-Precision-Atmospheric-sensor-USA/133096057311?ssPageName=STRK%3AMEBIDX%3AIT&amp;_trksid=p2057872.m2749.l2649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ebay.com/itm/Mini-USB-Nano-V3-0-ATmega328P-5V-16M-Micro-Controller-Board-for-Arduino/174120707751?hash=item288a6726a7:g:WeQAAOSwfidd7n7q" TargetMode="External"/><Relationship Id="rId1" Type="http://schemas.openxmlformats.org/officeDocument/2006/relationships/hyperlink" Target="https://en.wikipedia.org/wiki/Power_supply_unit_(computer)" TargetMode="External"/><Relationship Id="rId6" Type="http://schemas.openxmlformats.org/officeDocument/2006/relationships/hyperlink" Target="https://www.ebay.com/itm/New-Nema-23-Stepper-motor-Sanyo-Denki-142-ozin-CNC-ROUTER-MILL-LATHE-ROBOT-0666/121701679248?epid=664573458&amp;hash=item1c55fc4090:g:yYcAAOSwHnFVoUbZ" TargetMode="External"/><Relationship Id="rId5" Type="http://schemas.openxmlformats.org/officeDocument/2006/relationships/hyperlink" Target="https://www.ebay.com/itm/CNC-Single-Axis-TB6600-0-2-5A-Two-Phase-Hybrid-Stepper-Motor-Driver-Controlle/254581090595?hash=item3b46372923:g:ddsAAOSwkfVepo4i" TargetMode="External"/><Relationship Id="rId4" Type="http://schemas.openxmlformats.org/officeDocument/2006/relationships/hyperlink" Target="https://www.ebay.com/itm/DHT22-AM2302-Digital-Temperature-and-Humidity-Sensor-Replace-SHT10-SHT11-SHT15/201234462574?_trkparms=aid%3D555018%26algo%3DPL.SIM%26ao%3D1%26asc%3D225086%26meid%3Ddde32813261d4ae3a3caa49b9a858aae%26pid%3D100005%26rk%3D1%26rkt%3D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rsna.org/doi/full/10.1148/radiol.2020200370" TargetMode="External"/><Relationship Id="rId2" Type="http://schemas.openxmlformats.org/officeDocument/2006/relationships/hyperlink" Target="https://www.nejm.org/doi/full/10.1056/NEJMoa2001316" TargetMode="External"/><Relationship Id="rId1" Type="http://schemas.openxmlformats.org/officeDocument/2006/relationships/hyperlink" Target="https://www.sciencedirect.com/science/article/pii/S0896841120300469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topLeftCell="A34" workbookViewId="0">
      <selection activeCell="D56" sqref="D56:E58"/>
    </sheetView>
  </sheetViews>
  <sheetFormatPr baseColWidth="10" defaultRowHeight="12.75" x14ac:dyDescent="0.2"/>
  <cols>
    <col min="2" max="2" width="17.42578125" customWidth="1"/>
    <col min="3" max="3" width="53.42578125" style="3" customWidth="1"/>
    <col min="6" max="6" width="11.42578125" style="22"/>
    <col min="8" max="8" width="27.85546875" style="21" customWidth="1"/>
    <col min="9" max="9" width="22.7109375" style="22" customWidth="1"/>
    <col min="10" max="11" width="11.42578125" style="21"/>
  </cols>
  <sheetData>
    <row r="2" spans="1:6" ht="15.75" x14ac:dyDescent="0.25">
      <c r="A2" s="17" t="s">
        <v>191</v>
      </c>
    </row>
    <row r="3" spans="1:6" x14ac:dyDescent="0.2">
      <c r="B3" s="4" t="s">
        <v>22</v>
      </c>
      <c r="C3" s="5" t="s">
        <v>0</v>
      </c>
      <c r="D3" s="4" t="s">
        <v>23</v>
      </c>
      <c r="E3" s="4" t="s">
        <v>21</v>
      </c>
    </row>
    <row r="4" spans="1:6" x14ac:dyDescent="0.2">
      <c r="B4" t="s">
        <v>1</v>
      </c>
      <c r="C4" s="3" t="s">
        <v>2</v>
      </c>
      <c r="D4" t="s">
        <v>11</v>
      </c>
    </row>
    <row r="5" spans="1:6" x14ac:dyDescent="0.2">
      <c r="B5" t="s">
        <v>3</v>
      </c>
      <c r="C5" s="3" t="s">
        <v>4</v>
      </c>
      <c r="D5" t="s">
        <v>11</v>
      </c>
    </row>
    <row r="6" spans="1:6" x14ac:dyDescent="0.2">
      <c r="B6" t="s">
        <v>5</v>
      </c>
      <c r="C6" s="3" t="s">
        <v>6</v>
      </c>
      <c r="D6" t="s">
        <v>12</v>
      </c>
      <c r="E6" t="s">
        <v>16</v>
      </c>
      <c r="F6" s="23" t="s">
        <v>26</v>
      </c>
    </row>
    <row r="7" spans="1:6" x14ac:dyDescent="0.2">
      <c r="B7" t="s">
        <v>9</v>
      </c>
      <c r="C7" s="3" t="s">
        <v>10</v>
      </c>
      <c r="D7" t="s">
        <v>12</v>
      </c>
      <c r="E7" t="s">
        <v>15</v>
      </c>
    </row>
    <row r="9" spans="1:6" x14ac:dyDescent="0.2">
      <c r="B9" t="s">
        <v>7</v>
      </c>
      <c r="C9" s="3" t="s">
        <v>8</v>
      </c>
      <c r="E9" s="1" t="s">
        <v>15</v>
      </c>
    </row>
    <row r="10" spans="1:6" x14ac:dyDescent="0.2">
      <c r="B10" t="s">
        <v>13</v>
      </c>
      <c r="C10" s="3" t="s">
        <v>14</v>
      </c>
      <c r="E10" s="1" t="s">
        <v>15</v>
      </c>
    </row>
    <row r="11" spans="1:6" ht="25.5" x14ac:dyDescent="0.2">
      <c r="B11" t="s">
        <v>17</v>
      </c>
      <c r="C11" s="3" t="s">
        <v>18</v>
      </c>
    </row>
    <row r="12" spans="1:6" ht="25.5" x14ac:dyDescent="0.2">
      <c r="B12" t="s">
        <v>19</v>
      </c>
      <c r="C12" s="3" t="s">
        <v>20</v>
      </c>
    </row>
    <row r="13" spans="1:6" ht="25.5" x14ac:dyDescent="0.2">
      <c r="B13" s="6" t="s">
        <v>24</v>
      </c>
      <c r="C13" s="3" t="s">
        <v>25</v>
      </c>
      <c r="E13" s="7" t="s">
        <v>27</v>
      </c>
    </row>
    <row r="16" spans="1:6" ht="15.75" x14ac:dyDescent="0.25">
      <c r="A16" s="17" t="s">
        <v>44</v>
      </c>
    </row>
    <row r="17" spans="2:11" x14ac:dyDescent="0.2">
      <c r="B17" s="4" t="s">
        <v>22</v>
      </c>
      <c r="C17" s="5" t="s">
        <v>0</v>
      </c>
      <c r="D17" s="4" t="s">
        <v>23</v>
      </c>
      <c r="E17" s="4" t="s">
        <v>21</v>
      </c>
      <c r="F17" s="24" t="s">
        <v>82</v>
      </c>
    </row>
    <row r="18" spans="2:11" s="12" customFormat="1" x14ac:dyDescent="0.2">
      <c r="B18" s="13" t="s">
        <v>46</v>
      </c>
      <c r="C18" s="15" t="s">
        <v>47</v>
      </c>
      <c r="D18" s="14" t="s">
        <v>11</v>
      </c>
      <c r="E18" s="16"/>
      <c r="F18" s="22">
        <v>2</v>
      </c>
      <c r="H18" s="21"/>
      <c r="I18" s="22"/>
      <c r="J18" s="21"/>
      <c r="K18" s="21"/>
    </row>
    <row r="19" spans="2:11" x14ac:dyDescent="0.2">
      <c r="B19" s="13" t="s">
        <v>48</v>
      </c>
      <c r="C19" s="3" t="s">
        <v>49</v>
      </c>
      <c r="D19" s="14" t="s">
        <v>12</v>
      </c>
      <c r="E19" s="14" t="s">
        <v>15</v>
      </c>
      <c r="F19" s="22">
        <v>3</v>
      </c>
    </row>
    <row r="20" spans="2:11" ht="38.25" x14ac:dyDescent="0.2">
      <c r="B20" s="13" t="s">
        <v>50</v>
      </c>
      <c r="C20" s="3" t="s">
        <v>51</v>
      </c>
      <c r="D20" s="14" t="s">
        <v>12</v>
      </c>
      <c r="E20" s="14" t="s">
        <v>15</v>
      </c>
      <c r="F20" s="22">
        <v>4</v>
      </c>
    </row>
    <row r="21" spans="2:11" x14ac:dyDescent="0.2">
      <c r="B21" s="13" t="s">
        <v>52</v>
      </c>
      <c r="C21" s="3" t="s">
        <v>53</v>
      </c>
      <c r="D21" s="14" t="s">
        <v>11</v>
      </c>
      <c r="E21" s="14"/>
      <c r="F21" s="22">
        <v>5</v>
      </c>
    </row>
    <row r="22" spans="2:11" x14ac:dyDescent="0.2">
      <c r="B22" s="13" t="s">
        <v>54</v>
      </c>
      <c r="C22" s="3" t="s">
        <v>55</v>
      </c>
      <c r="D22" s="14" t="s">
        <v>11</v>
      </c>
      <c r="E22" s="14"/>
      <c r="F22" s="22">
        <v>6</v>
      </c>
    </row>
    <row r="23" spans="2:11" x14ac:dyDescent="0.2">
      <c r="B23" s="13" t="s">
        <v>56</v>
      </c>
      <c r="C23" s="3" t="s">
        <v>57</v>
      </c>
      <c r="D23" s="14" t="s">
        <v>12</v>
      </c>
      <c r="E23" s="14" t="s">
        <v>15</v>
      </c>
      <c r="F23" s="22">
        <v>7</v>
      </c>
    </row>
    <row r="24" spans="2:11" x14ac:dyDescent="0.2">
      <c r="B24" s="13" t="s">
        <v>58</v>
      </c>
      <c r="C24" s="3" t="s">
        <v>59</v>
      </c>
      <c r="D24" s="14" t="s">
        <v>11</v>
      </c>
      <c r="E24" s="14" t="s">
        <v>15</v>
      </c>
      <c r="F24" s="22">
        <v>8</v>
      </c>
      <c r="G24">
        <f>60/25</f>
        <v>2.4</v>
      </c>
    </row>
    <row r="25" spans="2:11" ht="25.5" x14ac:dyDescent="0.2">
      <c r="B25" s="13" t="s">
        <v>60</v>
      </c>
      <c r="C25" s="3" t="s">
        <v>61</v>
      </c>
      <c r="D25" s="14" t="s">
        <v>12</v>
      </c>
      <c r="E25" s="14" t="s">
        <v>45</v>
      </c>
      <c r="F25" s="25" t="s">
        <v>83</v>
      </c>
    </row>
    <row r="26" spans="2:11" x14ac:dyDescent="0.2">
      <c r="B26" s="14" t="s">
        <v>85</v>
      </c>
      <c r="D26" s="2"/>
      <c r="F26" s="22" t="s">
        <v>84</v>
      </c>
    </row>
    <row r="27" spans="2:11" s="20" customFormat="1" x14ac:dyDescent="0.2">
      <c r="B27" s="14"/>
      <c r="C27" s="3"/>
      <c r="F27" s="22"/>
      <c r="H27" s="21"/>
      <c r="I27" s="22"/>
      <c r="J27" s="21"/>
      <c r="K27" s="21"/>
    </row>
    <row r="28" spans="2:11" x14ac:dyDescent="0.2">
      <c r="B28" s="13" t="s">
        <v>62</v>
      </c>
      <c r="C28" s="3" t="s">
        <v>63</v>
      </c>
      <c r="D28" s="2"/>
      <c r="E28" s="2"/>
    </row>
    <row r="29" spans="2:11" x14ac:dyDescent="0.2">
      <c r="B29" s="13" t="s">
        <v>64</v>
      </c>
      <c r="C29" s="3" t="s">
        <v>65</v>
      </c>
      <c r="D29" s="2"/>
      <c r="E29" s="8"/>
    </row>
    <row r="30" spans="2:11" ht="25.5" x14ac:dyDescent="0.2">
      <c r="B30" s="13" t="s">
        <v>66</v>
      </c>
      <c r="C30" s="3" t="s">
        <v>67</v>
      </c>
    </row>
    <row r="31" spans="2:11" ht="25.5" x14ac:dyDescent="0.2">
      <c r="B31" s="13" t="s">
        <v>68</v>
      </c>
      <c r="C31" s="3" t="s">
        <v>69</v>
      </c>
    </row>
    <row r="32" spans="2:11" ht="25.5" x14ac:dyDescent="0.2">
      <c r="B32" s="13" t="s">
        <v>70</v>
      </c>
      <c r="C32" s="3" t="s">
        <v>25</v>
      </c>
    </row>
    <row r="34" spans="1:11" ht="15.75" x14ac:dyDescent="0.25">
      <c r="A34" s="17" t="s">
        <v>205</v>
      </c>
    </row>
    <row r="35" spans="1:11" ht="30" x14ac:dyDescent="0.2">
      <c r="B35" t="s">
        <v>224</v>
      </c>
      <c r="H35" s="79" t="s">
        <v>206</v>
      </c>
      <c r="I35" s="84" t="s">
        <v>207</v>
      </c>
      <c r="J35" s="83" t="s">
        <v>208</v>
      </c>
      <c r="K35" s="79" t="s">
        <v>209</v>
      </c>
    </row>
    <row r="36" spans="1:11" ht="15" x14ac:dyDescent="0.2">
      <c r="B36" t="s">
        <v>225</v>
      </c>
      <c r="H36" s="80" t="s">
        <v>210</v>
      </c>
      <c r="I36" s="85" t="s">
        <v>234</v>
      </c>
      <c r="J36" s="80" t="s">
        <v>211</v>
      </c>
      <c r="K36" s="80" t="s">
        <v>212</v>
      </c>
    </row>
    <row r="37" spans="1:11" ht="15" x14ac:dyDescent="0.2">
      <c r="B37" t="s">
        <v>226</v>
      </c>
      <c r="H37" s="80" t="s">
        <v>213</v>
      </c>
      <c r="I37" s="85" t="s">
        <v>214</v>
      </c>
      <c r="J37" s="80" t="s">
        <v>211</v>
      </c>
      <c r="K37" s="80" t="s">
        <v>212</v>
      </c>
    </row>
    <row r="38" spans="1:11" ht="15" x14ac:dyDescent="0.2">
      <c r="B38" t="s">
        <v>227</v>
      </c>
      <c r="H38" s="80" t="s">
        <v>215</v>
      </c>
      <c r="I38" s="85">
        <v>0.42</v>
      </c>
      <c r="J38" s="80" t="s">
        <v>216</v>
      </c>
      <c r="K38" s="80" t="s">
        <v>217</v>
      </c>
    </row>
    <row r="39" spans="1:11" ht="15" x14ac:dyDescent="0.2">
      <c r="B39" t="s">
        <v>228</v>
      </c>
      <c r="H39" s="80" t="s">
        <v>218</v>
      </c>
      <c r="I39" s="85" t="s">
        <v>219</v>
      </c>
      <c r="J39" s="80" t="s">
        <v>216</v>
      </c>
      <c r="K39" s="80" t="s">
        <v>217</v>
      </c>
    </row>
    <row r="40" spans="1:11" ht="15" x14ac:dyDescent="0.2">
      <c r="B40" t="s">
        <v>229</v>
      </c>
      <c r="H40" s="81" t="s">
        <v>236</v>
      </c>
      <c r="I40" s="86">
        <v>0</v>
      </c>
      <c r="J40" s="81" t="s">
        <v>216</v>
      </c>
      <c r="K40" s="81" t="s">
        <v>217</v>
      </c>
    </row>
    <row r="41" spans="1:11" ht="15" x14ac:dyDescent="0.2">
      <c r="B41" t="s">
        <v>230</v>
      </c>
      <c r="H41" s="81" t="s">
        <v>245</v>
      </c>
      <c r="I41" s="86"/>
      <c r="J41" s="81" t="s">
        <v>216</v>
      </c>
      <c r="K41" s="81" t="s">
        <v>217</v>
      </c>
    </row>
    <row r="42" spans="1:11" ht="18.75" x14ac:dyDescent="0.2">
      <c r="B42" t="s">
        <v>231</v>
      </c>
      <c r="H42" s="80" t="s">
        <v>220</v>
      </c>
      <c r="I42" s="87" t="s">
        <v>248</v>
      </c>
      <c r="J42" s="80" t="s">
        <v>221</v>
      </c>
      <c r="K42" s="80" t="s">
        <v>217</v>
      </c>
    </row>
    <row r="43" spans="1:11" ht="18" x14ac:dyDescent="0.2">
      <c r="B43" t="s">
        <v>232</v>
      </c>
      <c r="H43" s="81" t="s">
        <v>235</v>
      </c>
      <c r="I43" s="88" t="s">
        <v>249</v>
      </c>
      <c r="J43" s="81" t="s">
        <v>221</v>
      </c>
      <c r="K43" s="80" t="s">
        <v>244</v>
      </c>
    </row>
    <row r="44" spans="1:11" ht="15" x14ac:dyDescent="0.2">
      <c r="B44" t="s">
        <v>233</v>
      </c>
      <c r="H44" s="80" t="s">
        <v>222</v>
      </c>
      <c r="I44" s="85" t="s">
        <v>223</v>
      </c>
      <c r="J44" s="80"/>
      <c r="K44" s="80"/>
    </row>
    <row r="45" spans="1:11" ht="30" x14ac:dyDescent="0.2">
      <c r="H45" s="80" t="s">
        <v>242</v>
      </c>
      <c r="I45" s="90" t="s">
        <v>243</v>
      </c>
      <c r="J45" s="80" t="s">
        <v>211</v>
      </c>
      <c r="K45" s="80"/>
    </row>
    <row r="46" spans="1:11" ht="15" x14ac:dyDescent="0.2">
      <c r="H46" s="89" t="s">
        <v>237</v>
      </c>
      <c r="I46" s="89" t="s">
        <v>247</v>
      </c>
      <c r="J46" s="80" t="s">
        <v>216</v>
      </c>
      <c r="K46" s="80" t="s">
        <v>217</v>
      </c>
    </row>
    <row r="47" spans="1:11" ht="15" x14ac:dyDescent="0.2">
      <c r="H47" s="89" t="s">
        <v>238</v>
      </c>
      <c r="I47" s="89" t="s">
        <v>251</v>
      </c>
      <c r="J47" s="80" t="s">
        <v>216</v>
      </c>
      <c r="K47" s="80" t="s">
        <v>217</v>
      </c>
    </row>
    <row r="48" spans="1:11" ht="15.75" x14ac:dyDescent="0.3">
      <c r="H48" s="89" t="s">
        <v>239</v>
      </c>
      <c r="I48" s="89" t="s">
        <v>250</v>
      </c>
      <c r="J48" s="81" t="s">
        <v>216</v>
      </c>
      <c r="K48" s="81" t="s">
        <v>217</v>
      </c>
    </row>
    <row r="49" spans="7:11" ht="15.75" x14ac:dyDescent="0.3">
      <c r="H49" s="89" t="s">
        <v>240</v>
      </c>
      <c r="I49" s="89" t="s">
        <v>253</v>
      </c>
      <c r="J49" s="80" t="s">
        <v>216</v>
      </c>
      <c r="K49" s="81" t="s">
        <v>217</v>
      </c>
    </row>
    <row r="50" spans="7:11" ht="15" x14ac:dyDescent="0.2">
      <c r="H50" s="89" t="s">
        <v>241</v>
      </c>
      <c r="I50" s="89" t="s">
        <v>252</v>
      </c>
      <c r="J50" s="80" t="s">
        <v>216</v>
      </c>
      <c r="K50" s="80" t="s">
        <v>217</v>
      </c>
    </row>
    <row r="51" spans="7:11" ht="15" x14ac:dyDescent="0.2">
      <c r="H51" s="82"/>
      <c r="I51" s="86"/>
      <c r="J51" s="81"/>
      <c r="K51" s="82"/>
    </row>
    <row r="56" spans="7:11" x14ac:dyDescent="0.2">
      <c r="G56">
        <v>0</v>
      </c>
      <c r="H56" s="21">
        <v>200</v>
      </c>
      <c r="I56" s="22">
        <v>15</v>
      </c>
    </row>
    <row r="57" spans="7:11" x14ac:dyDescent="0.2">
      <c r="G57" s="21">
        <v>1</v>
      </c>
      <c r="H57" s="21">
        <v>240</v>
      </c>
      <c r="I57" s="22">
        <v>16</v>
      </c>
    </row>
    <row r="58" spans="7:11" x14ac:dyDescent="0.2">
      <c r="G58" s="21">
        <v>2</v>
      </c>
      <c r="H58" s="21">
        <v>280</v>
      </c>
      <c r="I58" s="22">
        <v>17</v>
      </c>
    </row>
    <row r="59" spans="7:11" x14ac:dyDescent="0.2">
      <c r="G59" s="21">
        <v>3</v>
      </c>
      <c r="H59" s="21">
        <v>320</v>
      </c>
      <c r="I59" s="22">
        <v>18</v>
      </c>
    </row>
    <row r="60" spans="7:11" x14ac:dyDescent="0.2">
      <c r="G60" s="21">
        <v>4</v>
      </c>
      <c r="H60" s="21">
        <v>360</v>
      </c>
      <c r="I60" s="22">
        <v>19</v>
      </c>
    </row>
    <row r="61" spans="7:11" x14ac:dyDescent="0.2">
      <c r="G61" s="21">
        <v>5</v>
      </c>
      <c r="H61" s="21">
        <v>400</v>
      </c>
      <c r="I61" s="22">
        <v>20</v>
      </c>
    </row>
    <row r="62" spans="7:11" x14ac:dyDescent="0.2">
      <c r="G62" s="21">
        <v>6</v>
      </c>
      <c r="H62" s="21">
        <v>440</v>
      </c>
      <c r="I62" s="22">
        <v>21</v>
      </c>
    </row>
    <row r="63" spans="7:11" x14ac:dyDescent="0.2">
      <c r="G63" s="21">
        <v>7</v>
      </c>
      <c r="H63" s="21">
        <v>480</v>
      </c>
      <c r="I63" s="22">
        <v>22</v>
      </c>
    </row>
    <row r="64" spans="7:11" x14ac:dyDescent="0.2">
      <c r="G64" s="21">
        <v>8</v>
      </c>
      <c r="H64" s="21">
        <v>520</v>
      </c>
      <c r="I64" s="22">
        <v>23</v>
      </c>
    </row>
    <row r="65" spans="7:9" x14ac:dyDescent="0.2">
      <c r="G65" s="21">
        <v>9</v>
      </c>
      <c r="H65" s="21">
        <v>560</v>
      </c>
      <c r="I65" s="22">
        <v>24</v>
      </c>
    </row>
    <row r="66" spans="7:9" x14ac:dyDescent="0.2">
      <c r="G66" s="21">
        <v>10</v>
      </c>
      <c r="H66" s="21">
        <v>600</v>
      </c>
      <c r="I66" s="22">
        <v>25</v>
      </c>
    </row>
    <row r="67" spans="7:9" x14ac:dyDescent="0.2">
      <c r="G6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D22" sqref="D22"/>
    </sheetView>
  </sheetViews>
  <sheetFormatPr baseColWidth="10" defaultRowHeight="12.75" x14ac:dyDescent="0.2"/>
  <cols>
    <col min="4" max="4" width="11.7109375" customWidth="1"/>
    <col min="5" max="5" width="12.42578125" bestFit="1" customWidth="1"/>
    <col min="6" max="6" width="12" customWidth="1"/>
    <col min="9" max="9" width="12.42578125" bestFit="1" customWidth="1"/>
  </cols>
  <sheetData>
    <row r="1" spans="1:8" s="18" customFormat="1" x14ac:dyDescent="0.2"/>
    <row r="2" spans="1:8" s="18" customFormat="1" x14ac:dyDescent="0.2">
      <c r="D2" s="18" t="s">
        <v>79</v>
      </c>
      <c r="E2" s="18">
        <v>25</v>
      </c>
      <c r="F2" s="18">
        <f>(60/+E2) *0.3</f>
        <v>0.72</v>
      </c>
      <c r="G2" s="18" t="s">
        <v>80</v>
      </c>
    </row>
    <row r="3" spans="1:8" s="18" customFormat="1" x14ac:dyDescent="0.2">
      <c r="D3" s="18" t="s">
        <v>77</v>
      </c>
      <c r="F3" s="18">
        <v>60</v>
      </c>
      <c r="G3" s="18" t="s">
        <v>76</v>
      </c>
    </row>
    <row r="4" spans="1:8" s="18" customFormat="1" x14ac:dyDescent="0.2">
      <c r="D4" s="18" t="s">
        <v>75</v>
      </c>
      <c r="F4" s="18">
        <v>200</v>
      </c>
    </row>
    <row r="5" spans="1:8" x14ac:dyDescent="0.2">
      <c r="D5" t="s">
        <v>74</v>
      </c>
      <c r="F5" s="18">
        <v>3.1415899999999999</v>
      </c>
    </row>
    <row r="6" spans="1:8" s="18" customFormat="1" x14ac:dyDescent="0.2"/>
    <row r="7" spans="1:8" x14ac:dyDescent="0.2">
      <c r="C7" s="4" t="s">
        <v>72</v>
      </c>
      <c r="D7" s="4" t="s">
        <v>73</v>
      </c>
      <c r="E7" s="51" t="s">
        <v>78</v>
      </c>
      <c r="F7" s="51" t="s">
        <v>81</v>
      </c>
      <c r="G7" s="4" t="s">
        <v>175</v>
      </c>
      <c r="H7" s="4" t="s">
        <v>176</v>
      </c>
    </row>
    <row r="8" spans="1:8" x14ac:dyDescent="0.2">
      <c r="B8" t="s">
        <v>71</v>
      </c>
      <c r="C8">
        <v>18</v>
      </c>
      <c r="D8">
        <f>+C8*$F$5</f>
        <v>56.54862</v>
      </c>
      <c r="E8">
        <f>+$F$4*$F$3/D8</f>
        <v>212.20677003258436</v>
      </c>
      <c r="F8">
        <f>+(E8/$F$2)/$F$4</f>
        <v>1.4736581252262804</v>
      </c>
      <c r="G8">
        <f>+F8*60</f>
        <v>88.419487513576826</v>
      </c>
      <c r="H8">
        <f>+$F$3/D8</f>
        <v>1.0610338501629217</v>
      </c>
    </row>
    <row r="9" spans="1:8" x14ac:dyDescent="0.2">
      <c r="C9">
        <v>20</v>
      </c>
      <c r="D9" s="19">
        <f>+C9*$F$5</f>
        <v>62.831800000000001</v>
      </c>
      <c r="E9" s="19">
        <f>+$F$4*$F$3/D9</f>
        <v>190.9860930293259</v>
      </c>
      <c r="F9" s="19">
        <f>+(E9/$F$2)/$F$4</f>
        <v>1.3262923127036521</v>
      </c>
      <c r="G9" s="21">
        <f>+F9*60</f>
        <v>79.57753876221912</v>
      </c>
      <c r="H9" s="21">
        <f t="shared" ref="H9:H11" si="0">+$F$3/D9</f>
        <v>0.9549304651466296</v>
      </c>
    </row>
    <row r="10" spans="1:8" x14ac:dyDescent="0.2">
      <c r="C10">
        <v>10</v>
      </c>
      <c r="D10" s="21">
        <f t="shared" ref="D10:D11" si="1">+C10*$F$5</f>
        <v>31.415900000000001</v>
      </c>
      <c r="E10" s="21">
        <f t="shared" ref="E10:E11" si="2">+$F$4*$F$3/D10</f>
        <v>381.9721860586518</v>
      </c>
      <c r="F10" s="21">
        <f t="shared" ref="F10:F11" si="3">+(E10/$F$2)/$F$4</f>
        <v>2.6525846254073042</v>
      </c>
      <c r="G10" s="21">
        <f t="shared" ref="G10:G11" si="4">+F10*60</f>
        <v>159.15507752443824</v>
      </c>
      <c r="H10" s="21">
        <f t="shared" si="0"/>
        <v>1.9098609302932592</v>
      </c>
    </row>
    <row r="11" spans="1:8" x14ac:dyDescent="0.2">
      <c r="C11">
        <v>5</v>
      </c>
      <c r="D11" s="21">
        <f t="shared" si="1"/>
        <v>15.70795</v>
      </c>
      <c r="E11" s="21">
        <f t="shared" si="2"/>
        <v>763.9443721173036</v>
      </c>
      <c r="F11" s="21">
        <f t="shared" si="3"/>
        <v>5.3051692508146084</v>
      </c>
      <c r="G11" s="21">
        <f t="shared" si="4"/>
        <v>318.31015504887648</v>
      </c>
      <c r="H11" s="21">
        <f t="shared" si="0"/>
        <v>3.8197218605865184</v>
      </c>
    </row>
    <row r="14" spans="1:8" x14ac:dyDescent="0.2">
      <c r="A14" s="4" t="s">
        <v>177</v>
      </c>
    </row>
    <row r="15" spans="1:8" x14ac:dyDescent="0.2">
      <c r="D15" s="4" t="s">
        <v>183</v>
      </c>
      <c r="H15" s="6" t="s">
        <v>204</v>
      </c>
    </row>
    <row r="16" spans="1:8" x14ac:dyDescent="0.2">
      <c r="C16" t="s">
        <v>178</v>
      </c>
      <c r="D16" t="s">
        <v>179</v>
      </c>
      <c r="E16">
        <f>1/200000</f>
        <v>5.0000000000000004E-6</v>
      </c>
      <c r="F16" t="s">
        <v>182</v>
      </c>
      <c r="H16" s="6">
        <f>60/0.000005</f>
        <v>11999999.999999998</v>
      </c>
    </row>
    <row r="17" spans="1:9" x14ac:dyDescent="0.2">
      <c r="C17" t="s">
        <v>180</v>
      </c>
      <c r="D17" t="s">
        <v>181</v>
      </c>
      <c r="E17">
        <f>1/15000</f>
        <v>6.666666666666667E-5</v>
      </c>
      <c r="F17" s="6" t="s">
        <v>331</v>
      </c>
    </row>
    <row r="18" spans="1:9" x14ac:dyDescent="0.2">
      <c r="B18" s="46" t="s">
        <v>329</v>
      </c>
      <c r="C18" t="s">
        <v>330</v>
      </c>
      <c r="D18" s="6" t="s">
        <v>328</v>
      </c>
      <c r="E18" s="6">
        <f xml:space="preserve"> 1/100000</f>
        <v>1.0000000000000001E-5</v>
      </c>
      <c r="F18" s="6" t="s">
        <v>332</v>
      </c>
      <c r="H18" s="6">
        <f>60/E18</f>
        <v>5999999.9999999991</v>
      </c>
    </row>
    <row r="19" spans="1:9" x14ac:dyDescent="0.2">
      <c r="B19" t="s">
        <v>336</v>
      </c>
      <c r="C19" s="4" t="s">
        <v>333</v>
      </c>
      <c r="D19" s="6" t="s">
        <v>334</v>
      </c>
      <c r="F19" s="6" t="s">
        <v>335</v>
      </c>
    </row>
    <row r="21" spans="1:9" x14ac:dyDescent="0.2">
      <c r="A21" s="4" t="s">
        <v>184</v>
      </c>
      <c r="D21" s="56" t="s">
        <v>186</v>
      </c>
      <c r="E21" s="56" t="s">
        <v>185</v>
      </c>
      <c r="F21" s="56" t="s">
        <v>194</v>
      </c>
      <c r="G21" s="56" t="s">
        <v>193</v>
      </c>
      <c r="H21" s="56" t="s">
        <v>190</v>
      </c>
      <c r="I21" s="56" t="s">
        <v>197</v>
      </c>
    </row>
    <row r="22" spans="1:9" x14ac:dyDescent="0.2">
      <c r="B22">
        <v>5</v>
      </c>
      <c r="C22" s="55" t="s">
        <v>187</v>
      </c>
      <c r="D22" s="52">
        <f>+B22</f>
        <v>5</v>
      </c>
      <c r="E22" s="58">
        <f>0.000980665*B22</f>
        <v>4.903325E-3</v>
      </c>
      <c r="F22" s="58">
        <f>98.0638*B22</f>
        <v>490.31900000000002</v>
      </c>
      <c r="G22" s="58">
        <f>+F22/100*B22</f>
        <v>24.515950000000004</v>
      </c>
      <c r="H22" s="54">
        <f>0.014223*B22</f>
        <v>7.1114999999999998E-2</v>
      </c>
      <c r="I22" s="54">
        <f>0.00096781061881811*B22</f>
        <v>4.8390530940905499E-3</v>
      </c>
    </row>
    <row r="23" spans="1:9" x14ac:dyDescent="0.2">
      <c r="B23">
        <v>1</v>
      </c>
      <c r="C23" s="55" t="s">
        <v>188</v>
      </c>
      <c r="D23" s="57">
        <f>1/E22</f>
        <v>203.94324259558564</v>
      </c>
      <c r="E23" s="52">
        <f>+B23</f>
        <v>1</v>
      </c>
      <c r="F23" s="58">
        <f>100000*B23</f>
        <v>100000</v>
      </c>
      <c r="G23" s="58">
        <f>+F23/100</f>
        <v>1000</v>
      </c>
      <c r="H23" s="54">
        <f>(H22*D23)*B23</f>
        <v>14.503423697185072</v>
      </c>
      <c r="I23" s="54">
        <f>+I22*D23</f>
        <v>0.98689217910102833</v>
      </c>
    </row>
    <row r="24" spans="1:9" x14ac:dyDescent="0.2">
      <c r="B24">
        <v>1</v>
      </c>
      <c r="C24" s="55" t="s">
        <v>189</v>
      </c>
      <c r="D24" s="57">
        <f>1/F22</f>
        <v>2.0394885778442198E-3</v>
      </c>
      <c r="E24" s="57">
        <f>1/F23</f>
        <v>1.0000000000000001E-5</v>
      </c>
      <c r="F24" s="52">
        <f>+B24</f>
        <v>1</v>
      </c>
      <c r="G24" s="58">
        <f>0.01*B24</f>
        <v>0.01</v>
      </c>
      <c r="H24" s="54">
        <f>0.00014503773801*B24</f>
        <v>1.4503773801E-4</v>
      </c>
      <c r="I24" s="54">
        <f>0.000009869231693*B24</f>
        <v>9.8692316930000008E-6</v>
      </c>
    </row>
    <row r="25" spans="1:9" x14ac:dyDescent="0.2">
      <c r="B25">
        <v>1</v>
      </c>
      <c r="C25" s="55" t="s">
        <v>192</v>
      </c>
      <c r="D25" s="57">
        <f>1/G22</f>
        <v>4.0789771556884388E-2</v>
      </c>
      <c r="E25" s="57">
        <f>1/G23</f>
        <v>1E-3</v>
      </c>
      <c r="F25" s="53">
        <f>1/G24</f>
        <v>100</v>
      </c>
      <c r="G25" s="52">
        <f>+B25</f>
        <v>1</v>
      </c>
      <c r="H25" s="54">
        <f>+H24*100*B25</f>
        <v>1.4503773801E-2</v>
      </c>
      <c r="I25" s="54">
        <f>+I24*F25*B25</f>
        <v>9.8692316930000003E-4</v>
      </c>
    </row>
    <row r="26" spans="1:9" x14ac:dyDescent="0.2">
      <c r="B26">
        <v>1</v>
      </c>
      <c r="C26" s="55" t="s">
        <v>195</v>
      </c>
      <c r="D26" s="57">
        <f>1/H22</f>
        <v>14.061730999085988</v>
      </c>
      <c r="E26" s="57">
        <f>1/H23</f>
        <v>6.8949237151093301E-2</v>
      </c>
      <c r="F26" s="57">
        <f>1/H24</f>
        <v>6894.7572798677575</v>
      </c>
      <c r="G26" s="57">
        <f>1/H25</f>
        <v>68.947572798677569</v>
      </c>
      <c r="H26" s="52">
        <f>+B26</f>
        <v>1</v>
      </c>
      <c r="I26" s="54">
        <f>+I22/H22</f>
        <v>6.8045462899396045E-2</v>
      </c>
    </row>
    <row r="27" spans="1:9" x14ac:dyDescent="0.2">
      <c r="B27">
        <v>1</v>
      </c>
      <c r="C27" s="55" t="s">
        <v>196</v>
      </c>
      <c r="D27" s="57">
        <f>1/I22</f>
        <v>206.65199999999993</v>
      </c>
      <c r="E27" s="57">
        <f>1/I23</f>
        <v>1.0132819178999997</v>
      </c>
      <c r="F27" s="57">
        <f>1/I24</f>
        <v>101325.01000146495</v>
      </c>
      <c r="G27" s="57">
        <f>1/I25</f>
        <v>1013.2501000146497</v>
      </c>
      <c r="H27" s="57">
        <f>1/I26</f>
        <v>14.696056979999996</v>
      </c>
      <c r="I27" s="52">
        <f>+B27</f>
        <v>1</v>
      </c>
    </row>
    <row r="28" spans="1:9" s="21" customFormat="1" x14ac:dyDescent="0.2">
      <c r="C28" s="4"/>
      <c r="D28" s="6"/>
      <c r="E28" s="6"/>
    </row>
    <row r="29" spans="1:9" s="21" customFormat="1" x14ac:dyDescent="0.2">
      <c r="A29" s="59" t="s">
        <v>163</v>
      </c>
      <c r="B29" s="60"/>
      <c r="C29" s="61" t="s">
        <v>198</v>
      </c>
      <c r="D29" s="61" t="s">
        <v>199</v>
      </c>
      <c r="E29" s="62"/>
    </row>
    <row r="30" spans="1:9" x14ac:dyDescent="0.2">
      <c r="A30" s="63"/>
      <c r="B30" s="64"/>
      <c r="C30" s="64">
        <v>300</v>
      </c>
      <c r="D30" s="64">
        <v>1100</v>
      </c>
      <c r="E30" s="65" t="s">
        <v>193</v>
      </c>
    </row>
    <row r="31" spans="1:9" x14ac:dyDescent="0.2">
      <c r="A31" s="66"/>
      <c r="B31" s="67"/>
      <c r="C31" s="67">
        <f>+C30*E25</f>
        <v>0.3</v>
      </c>
      <c r="D31" s="67">
        <f>+D30*E25</f>
        <v>1.1000000000000001</v>
      </c>
      <c r="E31" s="68" t="s">
        <v>202</v>
      </c>
    </row>
    <row r="33" spans="1:8" x14ac:dyDescent="0.2">
      <c r="A33" s="59" t="s">
        <v>200</v>
      </c>
      <c r="B33" s="60">
        <v>-5</v>
      </c>
      <c r="C33" s="77">
        <v>0</v>
      </c>
      <c r="D33" s="60">
        <v>1</v>
      </c>
      <c r="E33" s="60">
        <v>30</v>
      </c>
      <c r="F33" s="71" t="s">
        <v>201</v>
      </c>
      <c r="G33" s="60"/>
      <c r="H33" s="70"/>
    </row>
    <row r="34" spans="1:8" ht="51" x14ac:dyDescent="0.2">
      <c r="A34" s="63"/>
      <c r="B34" s="69">
        <f>+C34+B33*E22</f>
        <v>0.9887652928999997</v>
      </c>
      <c r="C34" s="78">
        <f>+E27</f>
        <v>1.0132819178999997</v>
      </c>
      <c r="D34" s="69">
        <f>+C34+E22</f>
        <v>1.0181852428999996</v>
      </c>
      <c r="E34" s="69">
        <f>+C34+E33*E22</f>
        <v>1.1603816678999996</v>
      </c>
      <c r="F34" s="72" t="s">
        <v>202</v>
      </c>
      <c r="G34" s="76" t="s">
        <v>203</v>
      </c>
      <c r="H34" s="74"/>
    </row>
    <row r="35" spans="1:8" x14ac:dyDescent="0.2">
      <c r="A35" s="66"/>
      <c r="B35" s="67">
        <f>+B34*$G$23</f>
        <v>988.76529289999974</v>
      </c>
      <c r="C35" s="75">
        <f>+C34*$G$23</f>
        <v>1013.2819178999997</v>
      </c>
      <c r="D35" s="67">
        <f>+D34*$G$23</f>
        <v>1018.1852428999996</v>
      </c>
      <c r="E35" s="67">
        <f>+E34*$G$23</f>
        <v>1160.3816678999997</v>
      </c>
      <c r="F35" s="73" t="s">
        <v>193</v>
      </c>
      <c r="G35" s="67"/>
      <c r="H35" s="75"/>
    </row>
    <row r="42" spans="1:8" x14ac:dyDescent="0.2">
      <c r="E42">
        <v>1.0197442889221098</v>
      </c>
    </row>
  </sheetData>
  <hyperlinks>
    <hyperlink ref="B18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A3" sqref="A3"/>
    </sheetView>
  </sheetViews>
  <sheetFormatPr baseColWidth="10" defaultRowHeight="12.75" x14ac:dyDescent="0.2"/>
  <cols>
    <col min="1" max="1" width="13.42578125" customWidth="1"/>
  </cols>
  <sheetData>
    <row r="3" spans="1:7" ht="15" x14ac:dyDescent="0.25">
      <c r="A3" s="98" t="s">
        <v>262</v>
      </c>
      <c r="D3" s="99"/>
    </row>
    <row r="4" spans="1:7" x14ac:dyDescent="0.2">
      <c r="A4" s="6" t="s">
        <v>261</v>
      </c>
    </row>
    <row r="5" spans="1:7" s="21" customFormat="1" x14ac:dyDescent="0.2">
      <c r="A5" s="6"/>
    </row>
    <row r="6" spans="1:7" x14ac:dyDescent="0.2">
      <c r="A6" s="4" t="s">
        <v>263</v>
      </c>
      <c r="C6" s="94" t="s">
        <v>257</v>
      </c>
      <c r="D6" s="70" t="s">
        <v>258</v>
      </c>
      <c r="E6" s="94" t="s">
        <v>257</v>
      </c>
      <c r="F6" s="70" t="s">
        <v>258</v>
      </c>
    </row>
    <row r="7" spans="1:7" x14ac:dyDescent="0.2">
      <c r="B7" t="s">
        <v>254</v>
      </c>
      <c r="C7" s="94">
        <v>20</v>
      </c>
      <c r="D7" s="70">
        <v>20.81</v>
      </c>
      <c r="E7" s="94">
        <v>20</v>
      </c>
      <c r="F7" s="70">
        <v>20.87</v>
      </c>
      <c r="G7" s="100" t="s">
        <v>175</v>
      </c>
    </row>
    <row r="8" spans="1:7" x14ac:dyDescent="0.2">
      <c r="B8" t="s">
        <v>255</v>
      </c>
      <c r="C8" s="63">
        <v>500</v>
      </c>
      <c r="D8" s="95">
        <v>376</v>
      </c>
      <c r="E8" s="97" t="s">
        <v>183</v>
      </c>
      <c r="F8" s="95">
        <v>612</v>
      </c>
      <c r="G8" s="100" t="s">
        <v>259</v>
      </c>
    </row>
    <row r="9" spans="1:7" x14ac:dyDescent="0.2">
      <c r="B9" t="s">
        <v>256</v>
      </c>
      <c r="C9" s="66">
        <v>0</v>
      </c>
      <c r="D9" s="96">
        <v>0</v>
      </c>
      <c r="E9" s="66">
        <v>0</v>
      </c>
      <c r="F9" s="96">
        <v>0</v>
      </c>
      <c r="G9" s="100" t="s">
        <v>260</v>
      </c>
    </row>
    <row r="11" spans="1:7" ht="87.75" customHeight="1" x14ac:dyDescent="0.2">
      <c r="A11" s="16" t="s">
        <v>264</v>
      </c>
      <c r="C11" s="112" t="s">
        <v>265</v>
      </c>
      <c r="D11" s="112"/>
      <c r="E11" s="112"/>
      <c r="F11" s="112"/>
    </row>
    <row r="12" spans="1:7" s="21" customFormat="1" x14ac:dyDescent="0.2">
      <c r="C12" s="6"/>
    </row>
    <row r="13" spans="1:7" x14ac:dyDescent="0.2">
      <c r="B13" s="21"/>
      <c r="C13" s="94" t="s">
        <v>257</v>
      </c>
      <c r="D13" s="70" t="s">
        <v>258</v>
      </c>
      <c r="E13" s="94" t="s">
        <v>257</v>
      </c>
      <c r="F13" s="70" t="s">
        <v>258</v>
      </c>
    </row>
    <row r="14" spans="1:7" x14ac:dyDescent="0.2">
      <c r="B14" s="21" t="s">
        <v>254</v>
      </c>
      <c r="C14" s="94">
        <v>20</v>
      </c>
      <c r="D14" s="70">
        <v>20.81</v>
      </c>
      <c r="E14" s="94">
        <v>20</v>
      </c>
      <c r="F14" s="70">
        <v>20.63</v>
      </c>
      <c r="G14" s="100" t="s">
        <v>175</v>
      </c>
    </row>
    <row r="15" spans="1:7" x14ac:dyDescent="0.2">
      <c r="B15" s="21" t="s">
        <v>255</v>
      </c>
      <c r="C15" s="63">
        <v>500</v>
      </c>
      <c r="D15" s="95">
        <v>208</v>
      </c>
      <c r="E15" s="97" t="s">
        <v>183</v>
      </c>
      <c r="F15" s="95">
        <v>193</v>
      </c>
      <c r="G15" s="100" t="s">
        <v>259</v>
      </c>
    </row>
    <row r="16" spans="1:7" x14ac:dyDescent="0.2">
      <c r="B16" s="21" t="s">
        <v>256</v>
      </c>
      <c r="C16" s="66">
        <v>0</v>
      </c>
      <c r="D16" s="96">
        <v>20</v>
      </c>
      <c r="E16" s="66">
        <v>0</v>
      </c>
      <c r="F16" s="96">
        <v>20</v>
      </c>
      <c r="G16" s="100" t="s">
        <v>260</v>
      </c>
    </row>
  </sheetData>
  <mergeCells count="1">
    <mergeCell ref="C11:F1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28" workbookViewId="0">
      <selection activeCell="F20" sqref="F20"/>
    </sheetView>
  </sheetViews>
  <sheetFormatPr baseColWidth="10" defaultRowHeight="12.75" x14ac:dyDescent="0.2"/>
  <cols>
    <col min="2" max="2" width="23" customWidth="1"/>
    <col min="3" max="3" width="24.5703125" customWidth="1"/>
    <col min="4" max="4" width="11.42578125" style="22"/>
    <col min="5" max="5" width="12.7109375" style="20" customWidth="1"/>
    <col min="6" max="6" width="12.7109375" style="33" customWidth="1"/>
  </cols>
  <sheetData>
    <row r="1" spans="1:7" x14ac:dyDescent="0.2">
      <c r="A1" t="s">
        <v>86</v>
      </c>
    </row>
    <row r="2" spans="1:7" ht="13.5" thickBot="1" x14ac:dyDescent="0.25"/>
    <row r="3" spans="1:7" ht="15.75" thickBot="1" x14ac:dyDescent="0.25">
      <c r="B3" s="26" t="s">
        <v>87</v>
      </c>
      <c r="C3" s="27" t="s">
        <v>88</v>
      </c>
      <c r="D3" s="31" t="s">
        <v>89</v>
      </c>
      <c r="E3" s="27" t="s">
        <v>98</v>
      </c>
      <c r="F3" s="34" t="s">
        <v>107</v>
      </c>
      <c r="G3" s="27" t="s">
        <v>90</v>
      </c>
    </row>
    <row r="4" spans="1:7" s="20" customFormat="1" ht="15.75" thickBot="1" x14ac:dyDescent="0.25">
      <c r="B4" s="36" t="s">
        <v>133</v>
      </c>
      <c r="C4" s="37"/>
      <c r="D4" s="38"/>
      <c r="E4" s="37"/>
      <c r="F4" s="39"/>
      <c r="G4" s="37"/>
    </row>
    <row r="5" spans="1:7" ht="30.75" thickBot="1" x14ac:dyDescent="0.25">
      <c r="B5" s="29" t="s">
        <v>99</v>
      </c>
      <c r="C5" s="30"/>
      <c r="D5" s="32">
        <v>1</v>
      </c>
      <c r="E5" s="30" t="s">
        <v>102</v>
      </c>
      <c r="F5" s="35">
        <v>35</v>
      </c>
      <c r="G5" s="30">
        <v>1</v>
      </c>
    </row>
    <row r="6" spans="1:7" ht="30.75" thickBot="1" x14ac:dyDescent="0.25">
      <c r="B6" s="29" t="s">
        <v>96</v>
      </c>
      <c r="C6" s="30" t="s">
        <v>100</v>
      </c>
      <c r="D6" s="32">
        <v>2</v>
      </c>
      <c r="E6" s="30" t="s">
        <v>102</v>
      </c>
      <c r="F6" s="35">
        <v>1</v>
      </c>
      <c r="G6" s="30">
        <v>2</v>
      </c>
    </row>
    <row r="7" spans="1:7" ht="15.75" thickBot="1" x14ac:dyDescent="0.25">
      <c r="B7" s="29" t="s">
        <v>97</v>
      </c>
      <c r="C7" s="30" t="s">
        <v>134</v>
      </c>
      <c r="D7" s="32" t="s">
        <v>135</v>
      </c>
      <c r="E7" s="30" t="s">
        <v>103</v>
      </c>
      <c r="F7" s="35">
        <v>1</v>
      </c>
      <c r="G7" s="30">
        <v>3</v>
      </c>
    </row>
    <row r="8" spans="1:7" s="20" customFormat="1" ht="15.75" thickBot="1" x14ac:dyDescent="0.25">
      <c r="B8" s="29"/>
      <c r="C8" s="30"/>
      <c r="D8" s="32"/>
      <c r="E8" s="30"/>
      <c r="F8" s="35"/>
      <c r="G8" s="30"/>
    </row>
    <row r="9" spans="1:7" s="20" customFormat="1" ht="15.75" thickBot="1" x14ac:dyDescent="0.25">
      <c r="B9" s="36" t="s">
        <v>124</v>
      </c>
      <c r="C9" s="30"/>
      <c r="D9" s="32"/>
      <c r="E9" s="30"/>
      <c r="F9" s="35"/>
      <c r="G9" s="30"/>
    </row>
    <row r="10" spans="1:7" s="20" customFormat="1" ht="15.75" thickBot="1" x14ac:dyDescent="0.25">
      <c r="B10" s="29" t="s">
        <v>91</v>
      </c>
      <c r="C10" s="45" t="s">
        <v>92</v>
      </c>
      <c r="D10" s="32">
        <v>1</v>
      </c>
      <c r="E10" s="30" t="s">
        <v>101</v>
      </c>
      <c r="F10" s="35">
        <v>0</v>
      </c>
      <c r="G10" s="30">
        <v>4</v>
      </c>
    </row>
    <row r="11" spans="1:7" s="20" customFormat="1" ht="17.25" customHeight="1" thickBot="1" x14ac:dyDescent="0.25">
      <c r="B11" s="29" t="s">
        <v>93</v>
      </c>
      <c r="C11" s="45" t="s">
        <v>94</v>
      </c>
      <c r="D11" s="32">
        <v>1</v>
      </c>
      <c r="E11" s="30" t="s">
        <v>101</v>
      </c>
      <c r="F11" s="35">
        <v>0</v>
      </c>
      <c r="G11" s="30">
        <v>5</v>
      </c>
    </row>
    <row r="12" spans="1:7" s="20" customFormat="1" ht="15.75" thickBot="1" x14ac:dyDescent="0.25">
      <c r="B12" s="29" t="s">
        <v>95</v>
      </c>
      <c r="C12" s="45" t="s">
        <v>158</v>
      </c>
      <c r="D12" s="32">
        <v>1</v>
      </c>
      <c r="E12" s="30" t="s">
        <v>102</v>
      </c>
      <c r="F12" s="35">
        <v>3.12</v>
      </c>
      <c r="G12" s="30">
        <v>6</v>
      </c>
    </row>
    <row r="13" spans="1:7" s="20" customFormat="1" ht="15.75" thickBot="1" x14ac:dyDescent="0.25">
      <c r="B13" s="29" t="s">
        <v>173</v>
      </c>
      <c r="C13" s="49" t="s">
        <v>168</v>
      </c>
      <c r="D13" s="32">
        <v>1</v>
      </c>
      <c r="E13" s="30" t="s">
        <v>102</v>
      </c>
      <c r="F13" s="35">
        <v>8</v>
      </c>
      <c r="G13" s="30">
        <v>7</v>
      </c>
    </row>
    <row r="14" spans="1:7" s="20" customFormat="1" ht="15.75" thickBot="1" x14ac:dyDescent="0.25">
      <c r="B14" s="29" t="s">
        <v>125</v>
      </c>
      <c r="C14" s="30"/>
      <c r="D14" s="32">
        <v>2</v>
      </c>
      <c r="E14" s="30" t="s">
        <v>101</v>
      </c>
      <c r="F14" s="35">
        <v>2</v>
      </c>
      <c r="G14" s="30"/>
    </row>
    <row r="15" spans="1:7" s="20" customFormat="1" ht="15.75" thickBot="1" x14ac:dyDescent="0.25">
      <c r="B15" s="29" t="s">
        <v>162</v>
      </c>
      <c r="C15" s="30" t="s">
        <v>159</v>
      </c>
      <c r="D15" s="32">
        <v>2</v>
      </c>
      <c r="E15" s="30" t="s">
        <v>101</v>
      </c>
      <c r="F15" s="35">
        <v>0</v>
      </c>
      <c r="G15" s="30" t="s">
        <v>132</v>
      </c>
    </row>
    <row r="16" spans="1:7" s="20" customFormat="1" ht="15.75" thickBot="1" x14ac:dyDescent="0.25">
      <c r="B16" s="29" t="s">
        <v>126</v>
      </c>
      <c r="C16" s="30"/>
      <c r="D16" s="32">
        <v>1</v>
      </c>
      <c r="E16" s="30" t="s">
        <v>101</v>
      </c>
      <c r="F16" s="35">
        <v>0</v>
      </c>
      <c r="G16" s="30" t="s">
        <v>131</v>
      </c>
    </row>
    <row r="17" spans="2:7" s="20" customFormat="1" ht="15.75" thickBot="1" x14ac:dyDescent="0.25">
      <c r="B17" s="29" t="s">
        <v>127</v>
      </c>
      <c r="C17" s="30"/>
      <c r="D17" s="32">
        <v>1</v>
      </c>
      <c r="E17" s="30" t="s">
        <v>101</v>
      </c>
      <c r="F17" s="35">
        <v>0</v>
      </c>
      <c r="G17" s="30"/>
    </row>
    <row r="18" spans="2:7" s="20" customFormat="1" ht="15.75" thickBot="1" x14ac:dyDescent="0.25">
      <c r="B18" s="29" t="s">
        <v>128</v>
      </c>
      <c r="C18" s="30"/>
      <c r="D18" s="32">
        <v>1</v>
      </c>
      <c r="E18" s="30" t="s">
        <v>101</v>
      </c>
      <c r="F18" s="35">
        <v>0</v>
      </c>
      <c r="G18" s="30" t="s">
        <v>130</v>
      </c>
    </row>
    <row r="19" spans="2:7" s="21" customFormat="1" ht="15.75" thickBot="1" x14ac:dyDescent="0.25">
      <c r="B19" s="91" t="s">
        <v>246</v>
      </c>
      <c r="C19" s="92" t="s">
        <v>163</v>
      </c>
      <c r="D19" s="93">
        <v>1</v>
      </c>
      <c r="E19" s="92"/>
      <c r="F19" s="35">
        <v>4</v>
      </c>
      <c r="G19" s="92"/>
    </row>
    <row r="20" spans="2:7" s="20" customFormat="1" ht="15.75" thickBot="1" x14ac:dyDescent="0.25">
      <c r="B20" s="29" t="s">
        <v>150</v>
      </c>
      <c r="C20" s="30" t="s">
        <v>160</v>
      </c>
      <c r="D20" s="32">
        <v>2</v>
      </c>
      <c r="E20" s="30"/>
      <c r="F20" s="35"/>
      <c r="G20" s="30"/>
    </row>
    <row r="21" spans="2:7" s="20" customFormat="1" ht="15.75" thickBot="1" x14ac:dyDescent="0.25">
      <c r="B21" s="29"/>
      <c r="C21" s="30" t="s">
        <v>161</v>
      </c>
      <c r="D21" s="32">
        <v>1</v>
      </c>
      <c r="E21" s="30"/>
      <c r="F21" s="35"/>
      <c r="G21" s="30"/>
    </row>
    <row r="22" spans="2:7" s="20" customFormat="1" ht="15.75" thickBot="1" x14ac:dyDescent="0.25">
      <c r="B22" s="29" t="s">
        <v>151</v>
      </c>
      <c r="C22" s="30" t="s">
        <v>152</v>
      </c>
      <c r="D22" s="32">
        <v>1</v>
      </c>
      <c r="E22" s="30" t="s">
        <v>101</v>
      </c>
      <c r="F22" s="35"/>
      <c r="G22" s="30" t="s">
        <v>155</v>
      </c>
    </row>
    <row r="23" spans="2:7" s="20" customFormat="1" ht="15.75" thickBot="1" x14ac:dyDescent="0.25">
      <c r="B23" s="29"/>
      <c r="C23" s="30" t="s">
        <v>153</v>
      </c>
      <c r="D23" s="32">
        <v>1</v>
      </c>
      <c r="E23" s="30" t="s">
        <v>101</v>
      </c>
      <c r="F23" s="35"/>
      <c r="G23" s="30" t="s">
        <v>154</v>
      </c>
    </row>
    <row r="24" spans="2:7" s="20" customFormat="1" ht="15.75" thickBot="1" x14ac:dyDescent="0.25">
      <c r="B24" s="29"/>
      <c r="C24" s="30"/>
      <c r="D24" s="32"/>
      <c r="E24" s="30"/>
      <c r="F24" s="35"/>
      <c r="G24" s="30"/>
    </row>
    <row r="25" spans="2:7" s="20" customFormat="1" ht="15.75" thickBot="1" x14ac:dyDescent="0.25">
      <c r="B25" s="36" t="s">
        <v>104</v>
      </c>
      <c r="C25" s="30" t="s">
        <v>105</v>
      </c>
      <c r="D25" s="32">
        <v>1</v>
      </c>
      <c r="E25" s="30" t="s">
        <v>106</v>
      </c>
      <c r="F25" s="35">
        <f>22+30</f>
        <v>52</v>
      </c>
      <c r="G25" s="30">
        <v>8</v>
      </c>
    </row>
    <row r="26" spans="2:7" s="20" customFormat="1" ht="15.75" thickBot="1" x14ac:dyDescent="0.25">
      <c r="B26" s="29" t="s">
        <v>112</v>
      </c>
      <c r="C26" s="30" t="s">
        <v>108</v>
      </c>
      <c r="D26" s="32">
        <f>26+17+2+2+4+1</f>
        <v>52</v>
      </c>
      <c r="E26" s="30"/>
      <c r="F26" s="42">
        <v>5</v>
      </c>
      <c r="G26" s="30"/>
    </row>
    <row r="27" spans="2:7" s="20" customFormat="1" ht="15.75" thickBot="1" x14ac:dyDescent="0.25">
      <c r="B27" s="29"/>
      <c r="C27" s="30" t="s">
        <v>109</v>
      </c>
      <c r="D27" s="32">
        <v>4</v>
      </c>
      <c r="E27" s="30"/>
      <c r="F27" s="43"/>
      <c r="G27" s="30" t="s">
        <v>118</v>
      </c>
    </row>
    <row r="28" spans="2:7" s="20" customFormat="1" ht="15.75" thickBot="1" x14ac:dyDescent="0.25">
      <c r="B28" s="29"/>
      <c r="C28" s="30" t="s">
        <v>111</v>
      </c>
      <c r="D28" s="32">
        <v>2</v>
      </c>
      <c r="E28" s="30"/>
      <c r="F28" s="43"/>
      <c r="G28" s="30" t="s">
        <v>117</v>
      </c>
    </row>
    <row r="29" spans="2:7" s="20" customFormat="1" ht="15.75" thickBot="1" x14ac:dyDescent="0.25">
      <c r="B29" s="29"/>
      <c r="C29" s="30" t="s">
        <v>146</v>
      </c>
      <c r="D29" s="32">
        <v>3</v>
      </c>
      <c r="E29" s="30"/>
      <c r="F29" s="43"/>
      <c r="G29" s="30" t="s">
        <v>147</v>
      </c>
    </row>
    <row r="30" spans="2:7" s="20" customFormat="1" ht="15.75" thickBot="1" x14ac:dyDescent="0.25">
      <c r="B30" s="29" t="s">
        <v>113</v>
      </c>
      <c r="C30" s="30" t="s">
        <v>110</v>
      </c>
      <c r="D30" s="32">
        <v>1</v>
      </c>
      <c r="E30" s="30"/>
      <c r="F30" s="43"/>
      <c r="G30" s="30" t="s">
        <v>116</v>
      </c>
    </row>
    <row r="31" spans="2:7" s="20" customFormat="1" ht="15.75" thickBot="1" x14ac:dyDescent="0.25">
      <c r="B31" s="29"/>
      <c r="C31" s="30" t="s">
        <v>139</v>
      </c>
      <c r="D31" s="32">
        <v>4</v>
      </c>
      <c r="E31" s="30"/>
      <c r="F31" s="44"/>
      <c r="G31" s="30" t="s">
        <v>140</v>
      </c>
    </row>
    <row r="32" spans="2:7" s="20" customFormat="1" ht="15.75" thickBot="1" x14ac:dyDescent="0.25">
      <c r="B32" s="29" t="s">
        <v>114</v>
      </c>
      <c r="C32" s="30" t="s">
        <v>109</v>
      </c>
      <c r="D32" s="32">
        <v>4</v>
      </c>
      <c r="E32" s="30"/>
      <c r="F32" s="44"/>
      <c r="G32" s="30" t="s">
        <v>115</v>
      </c>
    </row>
    <row r="33" spans="2:7" s="20" customFormat="1" ht="15.75" thickBot="1" x14ac:dyDescent="0.25">
      <c r="B33" s="29" t="s">
        <v>119</v>
      </c>
      <c r="C33" s="30" t="s">
        <v>120</v>
      </c>
      <c r="D33" s="32">
        <v>1</v>
      </c>
      <c r="E33" s="30"/>
      <c r="F33" s="35">
        <v>1</v>
      </c>
      <c r="G33" s="30"/>
    </row>
    <row r="34" spans="2:7" s="20" customFormat="1" ht="15.75" thickBot="1" x14ac:dyDescent="0.25">
      <c r="B34" s="29" t="s">
        <v>121</v>
      </c>
      <c r="C34" s="30" t="s">
        <v>122</v>
      </c>
      <c r="D34" s="32">
        <v>4</v>
      </c>
      <c r="E34" s="30" t="s">
        <v>101</v>
      </c>
      <c r="F34" s="35">
        <v>0</v>
      </c>
      <c r="G34" s="30" t="s">
        <v>123</v>
      </c>
    </row>
    <row r="35" spans="2:7" s="20" customFormat="1" ht="15.75" thickBot="1" x14ac:dyDescent="0.25">
      <c r="B35" s="29"/>
      <c r="C35" s="30"/>
      <c r="D35" s="32"/>
      <c r="E35" s="30"/>
      <c r="F35" s="35"/>
      <c r="G35" s="30"/>
    </row>
    <row r="36" spans="2:7" s="20" customFormat="1" ht="15.75" thickBot="1" x14ac:dyDescent="0.25">
      <c r="B36" s="36" t="s">
        <v>141</v>
      </c>
      <c r="C36" s="30"/>
      <c r="D36" s="32"/>
      <c r="E36" s="30"/>
      <c r="F36" s="35"/>
      <c r="G36" s="30"/>
    </row>
    <row r="37" spans="2:7" s="20" customFormat="1" ht="15.75" thickBot="1" x14ac:dyDescent="0.25">
      <c r="B37" s="29" t="s">
        <v>142</v>
      </c>
      <c r="C37" s="30" t="s">
        <v>143</v>
      </c>
      <c r="D37" s="32" t="s">
        <v>156</v>
      </c>
      <c r="E37" s="30"/>
      <c r="F37" s="35">
        <v>0</v>
      </c>
      <c r="G37" s="30" t="s">
        <v>117</v>
      </c>
    </row>
    <row r="38" spans="2:7" s="20" customFormat="1" ht="15.75" thickBot="1" x14ac:dyDescent="0.25">
      <c r="B38" s="29" t="s">
        <v>148</v>
      </c>
      <c r="C38" s="30"/>
      <c r="D38" s="32" t="s">
        <v>144</v>
      </c>
      <c r="E38" s="30"/>
      <c r="F38" s="35">
        <v>0</v>
      </c>
      <c r="G38" s="30" t="s">
        <v>149</v>
      </c>
    </row>
    <row r="39" spans="2:7" s="20" customFormat="1" ht="15.75" thickBot="1" x14ac:dyDescent="0.25">
      <c r="B39" s="29" t="s">
        <v>145</v>
      </c>
      <c r="C39" s="30"/>
      <c r="D39" s="32"/>
      <c r="E39" s="30"/>
      <c r="F39" s="35">
        <v>2</v>
      </c>
      <c r="G39" s="30"/>
    </row>
    <row r="40" spans="2:7" s="20" customFormat="1" ht="30.75" thickBot="1" x14ac:dyDescent="0.25">
      <c r="B40" s="29" t="s">
        <v>157</v>
      </c>
      <c r="C40" s="30"/>
      <c r="D40" s="32"/>
      <c r="E40" s="30"/>
      <c r="F40" s="35">
        <v>2</v>
      </c>
      <c r="G40" s="30"/>
    </row>
    <row r="41" spans="2:7" s="20" customFormat="1" ht="15.75" thickBot="1" x14ac:dyDescent="0.25">
      <c r="B41" s="29"/>
      <c r="C41" s="30"/>
      <c r="D41" s="32"/>
      <c r="E41" s="37" t="s">
        <v>129</v>
      </c>
      <c r="F41" s="39">
        <f>SUM(F5:F40)</f>
        <v>116.12</v>
      </c>
      <c r="G41" s="30"/>
    </row>
    <row r="45" spans="2:7" x14ac:dyDescent="0.2">
      <c r="B45" s="4" t="s">
        <v>170</v>
      </c>
    </row>
    <row r="46" spans="2:7" s="20" customFormat="1" x14ac:dyDescent="0.2">
      <c r="B46" s="4" t="s">
        <v>171</v>
      </c>
      <c r="D46" s="22"/>
      <c r="F46" s="33"/>
    </row>
    <row r="47" spans="2:7" s="6" customFormat="1" x14ac:dyDescent="0.2">
      <c r="B47" s="6" t="s">
        <v>172</v>
      </c>
      <c r="D47" s="23"/>
      <c r="F47" s="50"/>
    </row>
    <row r="48" spans="2:7" ht="15" x14ac:dyDescent="0.2">
      <c r="B48" s="41" t="s">
        <v>136</v>
      </c>
    </row>
    <row r="49" spans="2:7" ht="30" x14ac:dyDescent="0.25">
      <c r="B49" s="40" t="s">
        <v>138</v>
      </c>
      <c r="C49" s="46" t="s">
        <v>163</v>
      </c>
      <c r="F49" s="33">
        <v>2</v>
      </c>
      <c r="G49" s="28" t="s">
        <v>174</v>
      </c>
    </row>
    <row r="50" spans="2:7" ht="15" x14ac:dyDescent="0.2">
      <c r="B50" s="40" t="s">
        <v>137</v>
      </c>
      <c r="C50" s="46" t="s">
        <v>164</v>
      </c>
      <c r="F50" s="33">
        <v>4</v>
      </c>
    </row>
    <row r="52" spans="2:7" ht="15" x14ac:dyDescent="0.2">
      <c r="B52" s="47" t="s">
        <v>169</v>
      </c>
      <c r="C52" s="48" t="s">
        <v>165</v>
      </c>
    </row>
    <row r="53" spans="2:7" ht="15" x14ac:dyDescent="0.2">
      <c r="C53" s="48" t="s">
        <v>166</v>
      </c>
    </row>
    <row r="54" spans="2:7" ht="15" x14ac:dyDescent="0.2">
      <c r="C54" s="48" t="s">
        <v>167</v>
      </c>
    </row>
  </sheetData>
  <hyperlinks>
    <hyperlink ref="C10" r:id="rId1"/>
    <hyperlink ref="C12" r:id="rId2"/>
    <hyperlink ref="C49" r:id="rId3"/>
    <hyperlink ref="C50" r:id="rId4"/>
    <hyperlink ref="C13" r:id="rId5"/>
    <hyperlink ref="C11" r:id="rId6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6"/>
  <sheetViews>
    <sheetView tabSelected="1" topLeftCell="A4" workbookViewId="0">
      <selection activeCell="Q27" sqref="Q27"/>
    </sheetView>
  </sheetViews>
  <sheetFormatPr baseColWidth="10" defaultRowHeight="12.75" x14ac:dyDescent="0.2"/>
  <cols>
    <col min="1" max="1" width="4.5703125" customWidth="1"/>
    <col min="2" max="2" width="6.140625" customWidth="1"/>
    <col min="3" max="3" width="6.7109375" customWidth="1"/>
    <col min="4" max="4" width="4.28515625" style="21" customWidth="1"/>
    <col min="5" max="5" width="7.85546875" style="21" customWidth="1"/>
    <col min="6" max="6" width="54" customWidth="1"/>
    <col min="7" max="7" width="34.5703125" customWidth="1"/>
    <col min="8" max="8" width="3.7109375" customWidth="1"/>
    <col min="10" max="10" width="8" customWidth="1"/>
    <col min="12" max="12" width="10" customWidth="1"/>
    <col min="13" max="15" width="10" style="3" customWidth="1"/>
    <col min="16" max="16" width="8.5703125" style="3" customWidth="1"/>
  </cols>
  <sheetData>
    <row r="2" spans="1:14" ht="18" x14ac:dyDescent="0.25">
      <c r="A2" s="101" t="s">
        <v>266</v>
      </c>
    </row>
    <row r="3" spans="1:14" x14ac:dyDescent="0.2">
      <c r="I3" s="6" t="s">
        <v>279</v>
      </c>
      <c r="N3" s="15" t="s">
        <v>280</v>
      </c>
    </row>
    <row r="4" spans="1:14" s="3" customFormat="1" ht="25.5" x14ac:dyDescent="0.2">
      <c r="B4" s="5" t="s">
        <v>267</v>
      </c>
      <c r="C4" s="5" t="s">
        <v>268</v>
      </c>
      <c r="D4" s="5" t="s">
        <v>278</v>
      </c>
      <c r="E4" s="5" t="s">
        <v>271</v>
      </c>
      <c r="F4" s="5" t="s">
        <v>269</v>
      </c>
      <c r="G4" s="5" t="s">
        <v>319</v>
      </c>
    </row>
    <row r="5" spans="1:14" x14ac:dyDescent="0.2">
      <c r="B5">
        <v>0</v>
      </c>
      <c r="C5">
        <v>0</v>
      </c>
      <c r="D5" s="21">
        <v>0</v>
      </c>
      <c r="E5" s="6" t="s">
        <v>325</v>
      </c>
      <c r="F5" s="6" t="s">
        <v>270</v>
      </c>
    </row>
    <row r="6" spans="1:14" x14ac:dyDescent="0.2">
      <c r="B6">
        <v>1</v>
      </c>
      <c r="D6" s="6">
        <v>1</v>
      </c>
      <c r="E6" s="6" t="s">
        <v>272</v>
      </c>
    </row>
    <row r="7" spans="1:14" x14ac:dyDescent="0.2">
      <c r="B7" s="21">
        <v>2</v>
      </c>
      <c r="D7" s="6">
        <v>1</v>
      </c>
      <c r="E7" s="6" t="s">
        <v>273</v>
      </c>
    </row>
    <row r="8" spans="1:14" x14ac:dyDescent="0.2">
      <c r="B8" s="21">
        <v>3</v>
      </c>
      <c r="D8" s="6">
        <v>1</v>
      </c>
      <c r="E8" s="6" t="s">
        <v>275</v>
      </c>
    </row>
    <row r="9" spans="1:14" x14ac:dyDescent="0.2">
      <c r="B9" s="21">
        <v>4</v>
      </c>
      <c r="C9">
        <v>1.3</v>
      </c>
      <c r="D9" s="6">
        <v>1</v>
      </c>
      <c r="E9" s="6" t="s">
        <v>276</v>
      </c>
      <c r="F9" s="6" t="s">
        <v>277</v>
      </c>
    </row>
    <row r="10" spans="1:14" x14ac:dyDescent="0.2">
      <c r="B10" s="21">
        <v>5</v>
      </c>
      <c r="C10">
        <v>1.4</v>
      </c>
      <c r="D10" s="6">
        <v>2</v>
      </c>
      <c r="F10" s="6" t="s">
        <v>274</v>
      </c>
    </row>
    <row r="11" spans="1:14" ht="14.25" x14ac:dyDescent="0.2">
      <c r="B11" s="21">
        <v>6</v>
      </c>
      <c r="C11">
        <v>1.5</v>
      </c>
      <c r="D11" s="6">
        <v>2</v>
      </c>
      <c r="F11" s="6" t="s">
        <v>313</v>
      </c>
      <c r="G11" s="7" t="s">
        <v>347</v>
      </c>
    </row>
    <row r="12" spans="1:14" x14ac:dyDescent="0.2">
      <c r="B12" s="21">
        <v>7</v>
      </c>
      <c r="C12" s="21">
        <v>1.5</v>
      </c>
      <c r="D12" s="6">
        <v>2</v>
      </c>
      <c r="F12" s="6" t="s">
        <v>326</v>
      </c>
      <c r="G12" s="6" t="s">
        <v>349</v>
      </c>
    </row>
    <row r="13" spans="1:14" x14ac:dyDescent="0.2">
      <c r="B13" s="21">
        <v>8</v>
      </c>
      <c r="C13" s="21">
        <v>1.5</v>
      </c>
      <c r="D13" s="6">
        <v>2</v>
      </c>
      <c r="F13" t="s">
        <v>305</v>
      </c>
    </row>
    <row r="14" spans="1:14" x14ac:dyDescent="0.2">
      <c r="B14" s="21">
        <v>9</v>
      </c>
    </row>
    <row r="15" spans="1:14" x14ac:dyDescent="0.2">
      <c r="B15" s="21">
        <v>10</v>
      </c>
    </row>
    <row r="16" spans="1:14" x14ac:dyDescent="0.2">
      <c r="B16" s="21">
        <v>11</v>
      </c>
    </row>
    <row r="17" spans="2:17" x14ac:dyDescent="0.2">
      <c r="B17" s="21">
        <v>12</v>
      </c>
    </row>
    <row r="18" spans="2:17" x14ac:dyDescent="0.2">
      <c r="B18" s="21">
        <v>13</v>
      </c>
    </row>
    <row r="19" spans="2:17" x14ac:dyDescent="0.2">
      <c r="B19" s="21">
        <v>14</v>
      </c>
    </row>
    <row r="20" spans="2:17" x14ac:dyDescent="0.2">
      <c r="B20" s="21">
        <v>15</v>
      </c>
    </row>
    <row r="21" spans="2:17" ht="15.75" x14ac:dyDescent="0.25">
      <c r="B21" s="21"/>
      <c r="G21" s="4" t="s">
        <v>311</v>
      </c>
      <c r="H21" s="17" t="s">
        <v>281</v>
      </c>
      <c r="M21" s="104" t="s">
        <v>286</v>
      </c>
    </row>
    <row r="22" spans="2:17" ht="15.75" customHeight="1" x14ac:dyDescent="0.2">
      <c r="I22" s="4" t="s">
        <v>317</v>
      </c>
      <c r="K22" s="4"/>
      <c r="L22" s="5" t="s">
        <v>287</v>
      </c>
      <c r="M22" s="5" t="s">
        <v>288</v>
      </c>
      <c r="N22" s="5" t="s">
        <v>289</v>
      </c>
      <c r="O22" s="108" t="s">
        <v>290</v>
      </c>
      <c r="Q22" s="5" t="s">
        <v>289</v>
      </c>
    </row>
    <row r="23" spans="2:17" s="6" customFormat="1" ht="15.75" x14ac:dyDescent="0.25">
      <c r="B23" s="113" t="s">
        <v>327</v>
      </c>
      <c r="H23" s="4" t="s">
        <v>291</v>
      </c>
      <c r="L23" s="105"/>
      <c r="M23" s="105"/>
      <c r="N23" s="108" t="s">
        <v>346</v>
      </c>
      <c r="O23" s="105"/>
      <c r="Q23" s="108" t="s">
        <v>346</v>
      </c>
    </row>
    <row r="24" spans="2:17" s="6" customFormat="1" x14ac:dyDescent="0.2">
      <c r="H24" s="4"/>
      <c r="I24" s="6" t="s">
        <v>117</v>
      </c>
      <c r="L24" s="106">
        <v>1.4</v>
      </c>
      <c r="M24" s="106">
        <v>1.5</v>
      </c>
      <c r="N24" s="111">
        <v>1.5</v>
      </c>
      <c r="O24" s="106">
        <v>1.5</v>
      </c>
      <c r="Q24" s="111">
        <v>1.5</v>
      </c>
    </row>
    <row r="25" spans="2:17" s="6" customFormat="1" ht="25.5" x14ac:dyDescent="0.2">
      <c r="G25" s="6" t="s">
        <v>312</v>
      </c>
      <c r="I25" s="8" t="s">
        <v>292</v>
      </c>
      <c r="J25" s="8"/>
      <c r="K25" s="8"/>
      <c r="L25" s="106" t="s">
        <v>306</v>
      </c>
      <c r="M25" s="106" t="s">
        <v>306</v>
      </c>
      <c r="N25" s="106" t="s">
        <v>306</v>
      </c>
      <c r="O25" s="106" t="s">
        <v>306</v>
      </c>
      <c r="Q25" s="106" t="s">
        <v>306</v>
      </c>
    </row>
    <row r="26" spans="2:17" s="6" customFormat="1" x14ac:dyDescent="0.2">
      <c r="I26" s="8" t="s">
        <v>293</v>
      </c>
      <c r="J26" s="8"/>
      <c r="K26" s="8"/>
      <c r="L26" s="106" t="s">
        <v>221</v>
      </c>
      <c r="M26" s="106" t="s">
        <v>221</v>
      </c>
      <c r="N26" s="106" t="s">
        <v>221</v>
      </c>
      <c r="O26" s="106" t="s">
        <v>221</v>
      </c>
      <c r="Q26" s="106" t="s">
        <v>221</v>
      </c>
    </row>
    <row r="27" spans="2:17" s="6" customFormat="1" ht="14.25" x14ac:dyDescent="0.2">
      <c r="I27" s="114" t="s">
        <v>337</v>
      </c>
      <c r="J27" s="8"/>
      <c r="K27" s="8"/>
      <c r="L27" s="106"/>
      <c r="M27" s="106">
        <v>2</v>
      </c>
      <c r="N27" s="109">
        <v>4</v>
      </c>
      <c r="O27" s="106"/>
      <c r="Q27" s="117">
        <v>0</v>
      </c>
    </row>
    <row r="28" spans="2:17" s="6" customFormat="1" x14ac:dyDescent="0.2">
      <c r="I28" s="8" t="s">
        <v>300</v>
      </c>
      <c r="J28" s="8"/>
      <c r="K28" s="8"/>
      <c r="L28" s="106">
        <v>4</v>
      </c>
      <c r="M28" s="106">
        <v>8</v>
      </c>
      <c r="N28" s="106">
        <v>8</v>
      </c>
      <c r="O28" s="106"/>
      <c r="Q28" s="106">
        <v>8</v>
      </c>
    </row>
    <row r="29" spans="2:17" s="6" customFormat="1" x14ac:dyDescent="0.2">
      <c r="F29" s="100" t="s">
        <v>314</v>
      </c>
      <c r="G29" s="6" t="s">
        <v>315</v>
      </c>
      <c r="I29" s="8" t="s">
        <v>316</v>
      </c>
      <c r="J29" s="8"/>
      <c r="K29" s="8"/>
      <c r="L29" s="106">
        <v>2</v>
      </c>
      <c r="M29" s="106">
        <v>3</v>
      </c>
      <c r="N29" s="106">
        <v>3</v>
      </c>
      <c r="O29" s="106"/>
      <c r="Q29" s="106">
        <v>3</v>
      </c>
    </row>
    <row r="30" spans="2:17" s="6" customFormat="1" x14ac:dyDescent="0.2">
      <c r="H30" s="4" t="s">
        <v>297</v>
      </c>
      <c r="I30" s="8"/>
      <c r="J30" s="8"/>
      <c r="K30" s="8"/>
      <c r="L30" s="106"/>
      <c r="M30" s="106"/>
      <c r="N30" s="106"/>
      <c r="O30" s="106"/>
      <c r="Q30" s="106"/>
    </row>
    <row r="31" spans="2:17" s="6" customFormat="1" ht="14.25" x14ac:dyDescent="0.2">
      <c r="H31" s="6">
        <v>1.1000000000000001</v>
      </c>
      <c r="I31" s="102" t="s">
        <v>294</v>
      </c>
      <c r="J31" s="102"/>
      <c r="K31" s="102"/>
      <c r="L31" s="109" t="s">
        <v>296</v>
      </c>
      <c r="M31" s="109" t="s">
        <v>296</v>
      </c>
      <c r="N31" s="109" t="s">
        <v>296</v>
      </c>
      <c r="O31" s="109" t="s">
        <v>296</v>
      </c>
      <c r="Q31" s="109"/>
    </row>
    <row r="32" spans="2:17" ht="14.25" x14ac:dyDescent="0.2">
      <c r="G32" s="6" t="s">
        <v>307</v>
      </c>
      <c r="H32" s="6">
        <v>1.2</v>
      </c>
      <c r="I32" s="102" t="s">
        <v>295</v>
      </c>
      <c r="J32" s="102"/>
      <c r="K32" s="102"/>
      <c r="L32" s="109" t="s">
        <v>296</v>
      </c>
      <c r="M32" s="109" t="s">
        <v>296</v>
      </c>
      <c r="N32" s="109" t="s">
        <v>296</v>
      </c>
      <c r="O32" s="109" t="s">
        <v>296</v>
      </c>
      <c r="Q32" s="109"/>
    </row>
    <row r="33" spans="7:18" s="21" customFormat="1" ht="14.25" x14ac:dyDescent="0.2">
      <c r="G33" s="6" t="s">
        <v>308</v>
      </c>
      <c r="H33" s="6">
        <v>1.3</v>
      </c>
      <c r="I33" s="102" t="s">
        <v>298</v>
      </c>
      <c r="J33" s="102"/>
      <c r="K33" s="102"/>
      <c r="L33" s="109" t="s">
        <v>296</v>
      </c>
      <c r="M33" s="109" t="s">
        <v>296</v>
      </c>
      <c r="N33" s="109" t="s">
        <v>296</v>
      </c>
      <c r="O33" s="109" t="s">
        <v>296</v>
      </c>
      <c r="Q33" s="109"/>
    </row>
    <row r="34" spans="7:18" ht="14.25" x14ac:dyDescent="0.2">
      <c r="G34" s="6" t="s">
        <v>309</v>
      </c>
      <c r="H34" s="6">
        <v>1.4</v>
      </c>
      <c r="I34" s="102" t="s">
        <v>282</v>
      </c>
      <c r="J34" s="102"/>
      <c r="K34" s="102"/>
      <c r="L34" s="109" t="s">
        <v>296</v>
      </c>
      <c r="M34" s="109" t="s">
        <v>296</v>
      </c>
      <c r="N34" s="109" t="s">
        <v>296</v>
      </c>
      <c r="O34" s="109" t="s">
        <v>296</v>
      </c>
      <c r="Q34" s="109"/>
    </row>
    <row r="35" spans="7:18" ht="14.25" x14ac:dyDescent="0.2">
      <c r="G35" s="6" t="s">
        <v>310</v>
      </c>
      <c r="H35" s="6">
        <v>1.5</v>
      </c>
      <c r="I35" s="102" t="s">
        <v>284</v>
      </c>
      <c r="J35" s="102"/>
      <c r="K35" s="102"/>
      <c r="L35" s="109" t="s">
        <v>296</v>
      </c>
      <c r="M35" s="109" t="s">
        <v>296</v>
      </c>
      <c r="N35" s="109" t="s">
        <v>296</v>
      </c>
      <c r="O35" s="109" t="s">
        <v>296</v>
      </c>
      <c r="Q35" s="109"/>
    </row>
    <row r="36" spans="7:18" x14ac:dyDescent="0.2">
      <c r="I36" s="8"/>
      <c r="J36" s="8"/>
      <c r="K36" s="8"/>
      <c r="L36" s="107"/>
      <c r="M36" s="107"/>
      <c r="N36" s="107"/>
      <c r="O36" s="107"/>
      <c r="Q36" s="107"/>
    </row>
    <row r="37" spans="7:18" x14ac:dyDescent="0.2">
      <c r="H37" s="4" t="s">
        <v>301</v>
      </c>
      <c r="I37" s="8"/>
      <c r="J37" s="8"/>
      <c r="K37" s="8"/>
      <c r="L37" s="107"/>
      <c r="M37" s="107"/>
      <c r="N37" s="107"/>
      <c r="O37" s="107"/>
      <c r="Q37" s="107"/>
      <c r="R37" s="14"/>
    </row>
    <row r="38" spans="7:18" ht="14.25" x14ac:dyDescent="0.2">
      <c r="H38">
        <v>1.6</v>
      </c>
      <c r="I38" s="102" t="s">
        <v>318</v>
      </c>
      <c r="J38" s="102"/>
      <c r="K38" s="102"/>
      <c r="L38" s="109" t="s">
        <v>296</v>
      </c>
      <c r="M38" s="109" t="s">
        <v>296</v>
      </c>
      <c r="N38" s="109" t="s">
        <v>296</v>
      </c>
      <c r="O38" s="109" t="s">
        <v>296</v>
      </c>
      <c r="Q38" s="109" t="s">
        <v>296</v>
      </c>
    </row>
    <row r="39" spans="7:18" ht="14.25" x14ac:dyDescent="0.2">
      <c r="H39">
        <v>1.7</v>
      </c>
      <c r="I39" s="102" t="s">
        <v>302</v>
      </c>
      <c r="J39" s="102"/>
      <c r="K39" s="102"/>
      <c r="L39" s="109" t="s">
        <v>296</v>
      </c>
      <c r="M39" s="109" t="s">
        <v>296</v>
      </c>
      <c r="N39" s="109" t="s">
        <v>296</v>
      </c>
      <c r="O39" s="109" t="s">
        <v>296</v>
      </c>
      <c r="Q39" s="109" t="s">
        <v>296</v>
      </c>
    </row>
    <row r="40" spans="7:18" ht="14.25" x14ac:dyDescent="0.2">
      <c r="H40">
        <v>1.8</v>
      </c>
      <c r="I40" s="102" t="s">
        <v>303</v>
      </c>
      <c r="J40" s="102"/>
      <c r="K40" s="102"/>
      <c r="L40" s="109" t="s">
        <v>296</v>
      </c>
      <c r="M40" s="109" t="s">
        <v>296</v>
      </c>
      <c r="N40" s="109" t="s">
        <v>296</v>
      </c>
      <c r="O40" s="109" t="s">
        <v>221</v>
      </c>
      <c r="Q40" s="109" t="s">
        <v>296</v>
      </c>
    </row>
    <row r="41" spans="7:18" ht="14.25" x14ac:dyDescent="0.2">
      <c r="H41" s="21">
        <v>1.9</v>
      </c>
      <c r="I41" s="102" t="s">
        <v>304</v>
      </c>
      <c r="J41" s="102"/>
      <c r="K41" s="102"/>
      <c r="L41" s="109" t="s">
        <v>296</v>
      </c>
      <c r="M41" s="109" t="s">
        <v>296</v>
      </c>
      <c r="N41" s="109" t="s">
        <v>296</v>
      </c>
      <c r="O41" s="109" t="s">
        <v>221</v>
      </c>
      <c r="Q41" s="109" t="s">
        <v>296</v>
      </c>
    </row>
    <row r="42" spans="7:18" s="21" customFormat="1" x14ac:dyDescent="0.2">
      <c r="I42" s="8"/>
      <c r="J42" s="8"/>
      <c r="K42" s="8"/>
      <c r="L42" s="106"/>
      <c r="M42" s="106"/>
      <c r="N42" s="107"/>
      <c r="O42" s="107"/>
      <c r="P42" s="3"/>
      <c r="Q42" s="107"/>
    </row>
    <row r="43" spans="7:18" x14ac:dyDescent="0.2">
      <c r="H43" s="4" t="s">
        <v>322</v>
      </c>
      <c r="L43" s="107"/>
      <c r="M43" s="107"/>
      <c r="N43" s="107"/>
      <c r="O43" s="107"/>
      <c r="Q43" s="107"/>
    </row>
    <row r="44" spans="7:18" ht="16.5" customHeight="1" x14ac:dyDescent="0.2">
      <c r="H44" s="21">
        <v>2.1</v>
      </c>
      <c r="I44" s="103" t="s">
        <v>341</v>
      </c>
      <c r="J44" s="103"/>
      <c r="K44" s="103"/>
      <c r="L44" s="109"/>
      <c r="M44" s="116" t="s">
        <v>344</v>
      </c>
      <c r="N44" s="109"/>
      <c r="O44" s="109"/>
      <c r="P44" s="115" t="s">
        <v>339</v>
      </c>
    </row>
    <row r="45" spans="7:18" ht="14.25" x14ac:dyDescent="0.2">
      <c r="H45" s="21">
        <v>2.2000000000000002</v>
      </c>
      <c r="I45" s="103" t="s">
        <v>342</v>
      </c>
      <c r="J45" s="103"/>
      <c r="K45" s="103"/>
      <c r="L45" s="109"/>
      <c r="M45" s="116" t="s">
        <v>343</v>
      </c>
      <c r="N45" s="109"/>
      <c r="O45" s="109"/>
      <c r="P45" s="115"/>
    </row>
    <row r="46" spans="7:18" ht="16.5" customHeight="1" x14ac:dyDescent="0.2">
      <c r="H46" s="21">
        <v>2.2000000000000002</v>
      </c>
      <c r="I46" s="103" t="s">
        <v>338</v>
      </c>
      <c r="J46" s="103"/>
      <c r="K46" s="103"/>
      <c r="L46" s="109"/>
      <c r="M46" s="116" t="s">
        <v>340</v>
      </c>
      <c r="N46" s="109"/>
      <c r="O46" s="109"/>
      <c r="P46" s="115"/>
    </row>
    <row r="47" spans="7:18" ht="14.25" x14ac:dyDescent="0.2">
      <c r="H47" s="21">
        <v>2.2999999999999998</v>
      </c>
      <c r="I47" s="103" t="s">
        <v>320</v>
      </c>
      <c r="J47" s="103"/>
      <c r="K47" s="103"/>
      <c r="L47" s="109"/>
      <c r="M47" s="116">
        <v>16</v>
      </c>
      <c r="N47" s="109"/>
      <c r="O47" s="109"/>
      <c r="P47" s="115"/>
    </row>
    <row r="48" spans="7:18" ht="14.25" x14ac:dyDescent="0.2">
      <c r="I48" s="103" t="s">
        <v>321</v>
      </c>
      <c r="J48" s="103"/>
      <c r="K48" s="103"/>
      <c r="L48" s="109"/>
      <c r="M48" s="116" t="s">
        <v>345</v>
      </c>
      <c r="N48" s="109"/>
      <c r="O48" s="109"/>
      <c r="P48" s="115"/>
    </row>
    <row r="49" spans="9:15" ht="14.25" x14ac:dyDescent="0.2">
      <c r="I49" s="103"/>
      <c r="J49" s="103"/>
      <c r="K49" s="103"/>
      <c r="L49" s="109"/>
      <c r="M49" s="109"/>
      <c r="N49" s="109"/>
      <c r="O49" s="109"/>
    </row>
    <row r="50" spans="9:15" ht="14.25" x14ac:dyDescent="0.2">
      <c r="I50" s="103" t="s">
        <v>285</v>
      </c>
      <c r="J50" s="103"/>
      <c r="K50" s="103"/>
      <c r="L50" s="109"/>
      <c r="M50" s="109" t="s">
        <v>221</v>
      </c>
      <c r="N50" s="109"/>
      <c r="O50" s="109"/>
    </row>
    <row r="51" spans="9:15" ht="14.25" x14ac:dyDescent="0.2">
      <c r="I51" s="103" t="s">
        <v>323</v>
      </c>
      <c r="J51" s="103"/>
      <c r="K51" s="103"/>
      <c r="L51" s="109"/>
      <c r="M51" s="109"/>
      <c r="N51" s="109"/>
      <c r="O51" s="109"/>
    </row>
    <row r="52" spans="9:15" ht="14.25" x14ac:dyDescent="0.2">
      <c r="I52" s="103" t="s">
        <v>324</v>
      </c>
      <c r="J52" s="103"/>
      <c r="K52" s="103"/>
      <c r="L52" s="109"/>
      <c r="M52" s="109"/>
      <c r="N52" s="109"/>
      <c r="O52" s="109"/>
    </row>
    <row r="53" spans="9:15" ht="14.25" x14ac:dyDescent="0.2">
      <c r="I53" s="103"/>
      <c r="J53" s="103"/>
      <c r="K53" s="103"/>
      <c r="L53" s="109"/>
      <c r="M53" s="109"/>
      <c r="N53" s="109"/>
      <c r="O53" s="109"/>
    </row>
    <row r="54" spans="9:15" ht="14.25" x14ac:dyDescent="0.2">
      <c r="I54" s="103" t="s">
        <v>283</v>
      </c>
      <c r="J54" s="103"/>
      <c r="K54" s="103"/>
      <c r="L54" s="109"/>
      <c r="M54" s="109" t="s">
        <v>155</v>
      </c>
      <c r="N54" s="109"/>
      <c r="O54" s="109"/>
    </row>
    <row r="55" spans="9:15" ht="14.25" x14ac:dyDescent="0.2">
      <c r="I55" s="103" t="s">
        <v>299</v>
      </c>
      <c r="J55" s="103"/>
      <c r="K55" s="103"/>
      <c r="L55" s="110"/>
      <c r="M55" s="110"/>
      <c r="N55" s="110"/>
      <c r="O55" s="110"/>
    </row>
    <row r="56" spans="9:15" ht="14.25" x14ac:dyDescent="0.2">
      <c r="I56" s="103" t="s">
        <v>348</v>
      </c>
      <c r="J56" s="103"/>
      <c r="K56" s="103"/>
    </row>
  </sheetData>
  <mergeCells count="1">
    <mergeCell ref="P44:P48"/>
  </mergeCells>
  <conditionalFormatting sqref="L22:O24 L25:L27 N25:O27 L28:O44 L46:O55">
    <cfRule type="cellIs" dxfId="5" priority="4" operator="equal">
      <formula>"OK"</formula>
    </cfRule>
  </conditionalFormatting>
  <conditionalFormatting sqref="M25:M27">
    <cfRule type="cellIs" dxfId="4" priority="3" operator="equal">
      <formula>"OK"</formula>
    </cfRule>
  </conditionalFormatting>
  <conditionalFormatting sqref="L45:O45">
    <cfRule type="cellIs" dxfId="3" priority="2" operator="equal">
      <formula>"OK"</formula>
    </cfRule>
  </conditionalFormatting>
  <conditionalFormatting sqref="Q22:Q43">
    <cfRule type="cellIs" dxfId="1" priority="1" operator="equal">
      <formula>"OK"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F12" sqref="F12"/>
    </sheetView>
  </sheetViews>
  <sheetFormatPr baseColWidth="10" defaultRowHeight="12.75" x14ac:dyDescent="0.2"/>
  <cols>
    <col min="1" max="1" width="19.7109375" style="8" customWidth="1"/>
    <col min="2" max="16384" width="11.42578125" style="8"/>
  </cols>
  <sheetData>
    <row r="3" spans="1:9" x14ac:dyDescent="0.2">
      <c r="A3" s="8" t="s">
        <v>28</v>
      </c>
    </row>
    <row r="5" spans="1:9" x14ac:dyDescent="0.2">
      <c r="B5" s="9" t="s">
        <v>29</v>
      </c>
      <c r="C5" s="9" t="s">
        <v>30</v>
      </c>
      <c r="D5" s="9" t="s">
        <v>31</v>
      </c>
      <c r="E5" s="9" t="s">
        <v>32</v>
      </c>
    </row>
    <row r="6" spans="1:9" x14ac:dyDescent="0.2">
      <c r="A6" s="8" t="s">
        <v>33</v>
      </c>
      <c r="B6" s="8">
        <v>1</v>
      </c>
      <c r="C6" s="8">
        <v>1</v>
      </c>
      <c r="D6" s="8">
        <v>1</v>
      </c>
      <c r="E6" s="8">
        <v>1</v>
      </c>
    </row>
    <row r="7" spans="1:9" x14ac:dyDescent="0.2">
      <c r="A7" s="8" t="s">
        <v>34</v>
      </c>
      <c r="B7" s="8">
        <v>2</v>
      </c>
      <c r="C7" s="8">
        <v>5.2</v>
      </c>
      <c r="D7" s="8">
        <v>12</v>
      </c>
      <c r="E7" s="8">
        <v>21</v>
      </c>
      <c r="F7" s="8" t="s">
        <v>35</v>
      </c>
      <c r="I7" s="10" t="s">
        <v>36</v>
      </c>
    </row>
    <row r="8" spans="1:9" x14ac:dyDescent="0.2">
      <c r="A8" s="8" t="s">
        <v>37</v>
      </c>
    </row>
    <row r="9" spans="1:9" x14ac:dyDescent="0.2">
      <c r="A9" s="8" t="s">
        <v>38</v>
      </c>
    </row>
    <row r="10" spans="1:9" ht="25.5" x14ac:dyDescent="0.2">
      <c r="A10" s="11" t="s">
        <v>39</v>
      </c>
      <c r="B10" s="8">
        <v>4</v>
      </c>
      <c r="D10" s="8">
        <v>10</v>
      </c>
      <c r="E10" s="8" t="s">
        <v>40</v>
      </c>
      <c r="I10" s="10" t="s">
        <v>41</v>
      </c>
    </row>
    <row r="11" spans="1:9" x14ac:dyDescent="0.2">
      <c r="A11" s="8" t="s">
        <v>42</v>
      </c>
    </row>
    <row r="15" spans="1:9" x14ac:dyDescent="0.2">
      <c r="I15" s="10" t="s">
        <v>43</v>
      </c>
    </row>
  </sheetData>
  <hyperlinks>
    <hyperlink ref="I15" r:id="rId1"/>
    <hyperlink ref="I7" r:id="rId2"/>
    <hyperlink ref="I10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Parametros</vt:lpstr>
      <vt:lpstr>Mecanica</vt:lpstr>
      <vt:lpstr>Testing</vt:lpstr>
      <vt:lpstr>Lista materiales</vt:lpstr>
      <vt:lpstr>Equipos producidos</vt:lpstr>
      <vt:lpstr>Ciclo COVID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2020-06-12T14:52:56Z</cp:lastPrinted>
  <dcterms:created xsi:type="dcterms:W3CDTF">2020-04-06T15:34:49Z</dcterms:created>
  <dcterms:modified xsi:type="dcterms:W3CDTF">2020-07-19T23:49:56Z</dcterms:modified>
</cp:coreProperties>
</file>