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60" windowHeight="8985"/>
  </bookViews>
  <sheets>
    <sheet name="Solution" sheetId="2" r:id="rId1"/>
    <sheet name="Uncertainity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1" i="2"/>
  <c r="P22" i="2" s="1"/>
  <c r="P20" i="2"/>
  <c r="P19" i="2"/>
  <c r="P18" i="2"/>
  <c r="F12" i="2"/>
  <c r="F11" i="2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G41" i="1"/>
  <c r="D41" i="1"/>
  <c r="D72" i="1"/>
  <c r="H12" i="1"/>
  <c r="H72" i="1" s="1"/>
  <c r="AF16" i="1"/>
  <c r="AC17" i="1"/>
  <c r="AD19" i="1"/>
  <c r="AH17" i="1"/>
  <c r="AD17" i="1"/>
  <c r="AH20" i="1"/>
  <c r="AB16" i="1"/>
  <c r="AD20" i="1"/>
  <c r="AC20" i="1"/>
  <c r="AE18" i="1"/>
  <c r="AF20" i="1"/>
  <c r="AC16" i="1"/>
  <c r="AE17" i="1"/>
  <c r="AD16" i="1"/>
  <c r="AB17" i="1"/>
  <c r="AH16" i="1"/>
  <c r="AC18" i="1"/>
  <c r="AB18" i="1"/>
  <c r="AE19" i="1"/>
  <c r="AE16" i="1"/>
  <c r="AB19" i="1"/>
  <c r="AC19" i="1"/>
  <c r="AF17" i="1"/>
  <c r="AH19" i="1"/>
  <c r="AF19" i="1"/>
  <c r="AE20" i="1"/>
  <c r="AD18" i="1"/>
  <c r="AH18" i="1"/>
  <c r="AB20" i="1"/>
  <c r="AF18" i="1"/>
  <c r="F42" i="1" l="1"/>
  <c r="G42" i="1" s="1"/>
  <c r="P23" i="2"/>
  <c r="F41" i="1" l="1"/>
  <c r="W20" i="1" l="1"/>
  <c r="G17" i="1"/>
  <c r="G73" i="1" s="1"/>
  <c r="F17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V16" i="1"/>
  <c r="W16" i="1"/>
  <c r="S17" i="1"/>
  <c r="S73" i="1" s="1"/>
  <c r="T17" i="1"/>
  <c r="T73" i="1" s="1"/>
  <c r="U17" i="1"/>
  <c r="U73" i="1" s="1"/>
  <c r="V17" i="1"/>
  <c r="V73" i="1" s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D17" i="1"/>
  <c r="D16" i="1"/>
  <c r="M16" i="1" s="1"/>
  <c r="H16" i="1"/>
  <c r="I16" i="1"/>
  <c r="L16" i="1"/>
  <c r="Q16" i="1"/>
  <c r="I17" i="1"/>
  <c r="I73" i="1" s="1"/>
  <c r="H17" i="1"/>
  <c r="H73" i="1" s="1"/>
  <c r="J17" i="1"/>
  <c r="J73" i="1" s="1"/>
  <c r="O17" i="1"/>
  <c r="O73" i="1" s="1"/>
  <c r="P17" i="1"/>
  <c r="P73" i="1" s="1"/>
  <c r="R17" i="1"/>
  <c r="R73" i="1" s="1"/>
  <c r="I18" i="1"/>
  <c r="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2" i="1" l="1"/>
  <c r="U16" i="1"/>
  <c r="K17" i="1"/>
  <c r="K73" i="1" s="1"/>
  <c r="D73" i="1"/>
  <c r="W17" i="1"/>
  <c r="W73" i="1" s="1"/>
  <c r="T16" i="1"/>
  <c r="T72" i="1"/>
  <c r="F16" i="1"/>
  <c r="S16" i="1"/>
  <c r="W72" i="1"/>
  <c r="G16" i="1"/>
  <c r="V72" i="1"/>
  <c r="N16" i="1"/>
  <c r="U72" i="1"/>
  <c r="N17" i="1"/>
  <c r="N73" i="1" s="1"/>
  <c r="M17" i="1"/>
  <c r="M73" i="1" s="1"/>
  <c r="P16" i="1"/>
  <c r="Q18" i="1"/>
  <c r="P18" i="1"/>
  <c r="H18" i="1"/>
  <c r="O18" i="1"/>
  <c r="G18" i="1"/>
  <c r="K16" i="1"/>
  <c r="N18" i="1"/>
  <c r="F18" i="1"/>
  <c r="L17" i="1"/>
  <c r="L73" i="1" s="1"/>
  <c r="R16" i="1"/>
  <c r="J16" i="1"/>
  <c r="L18" i="1"/>
  <c r="K18" i="1"/>
  <c r="Q17" i="1"/>
  <c r="Q73" i="1" s="1"/>
  <c r="O16" i="1"/>
  <c r="R18" i="1"/>
  <c r="J18" i="1"/>
  <c r="C7" i="2" l="1"/>
  <c r="I33" i="2" s="1"/>
  <c r="F6" i="2"/>
  <c r="C6" i="2"/>
  <c r="C5" i="2"/>
  <c r="C4" i="2"/>
  <c r="F28" i="2" l="1"/>
  <c r="F33" i="2" s="1"/>
  <c r="F34" i="2" s="1"/>
  <c r="F26" i="2"/>
  <c r="C13" i="2"/>
  <c r="F36" i="2" s="1"/>
  <c r="F37" i="2" s="1"/>
  <c r="I34" i="2" l="1"/>
  <c r="I35" i="2" s="1"/>
  <c r="F38" i="2" s="1"/>
  <c r="F39" i="2" s="1"/>
  <c r="F41" i="2" s="1"/>
  <c r="L28" i="2" s="1"/>
  <c r="P28" i="2" s="1"/>
  <c r="P29" i="2" s="1"/>
  <c r="H7" i="1" l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H11" i="1"/>
  <c r="I11" i="1"/>
  <c r="J11" i="1"/>
  <c r="K11" i="1"/>
  <c r="L11" i="1"/>
  <c r="M11" i="1"/>
  <c r="N11" i="1"/>
  <c r="O11" i="1"/>
  <c r="P11" i="1"/>
  <c r="Q11" i="1"/>
  <c r="R11" i="1"/>
  <c r="I12" i="1"/>
  <c r="J12" i="1"/>
  <c r="K12" i="1"/>
  <c r="L12" i="1"/>
  <c r="M12" i="1"/>
  <c r="N12" i="1"/>
  <c r="O12" i="1"/>
  <c r="P12" i="1"/>
  <c r="Q12" i="1"/>
  <c r="R12" i="1"/>
  <c r="H13" i="1"/>
  <c r="I13" i="1"/>
  <c r="J13" i="1"/>
  <c r="K13" i="1"/>
  <c r="L13" i="1"/>
  <c r="M13" i="1"/>
  <c r="N13" i="1"/>
  <c r="O13" i="1"/>
  <c r="P13" i="1"/>
  <c r="Q13" i="1"/>
  <c r="R13" i="1"/>
  <c r="H14" i="1"/>
  <c r="I14" i="1"/>
  <c r="J14" i="1"/>
  <c r="K14" i="1"/>
  <c r="L14" i="1"/>
  <c r="M14" i="1"/>
  <c r="N14" i="1"/>
  <c r="O14" i="1"/>
  <c r="P14" i="1"/>
  <c r="Q14" i="1"/>
  <c r="R14" i="1"/>
  <c r="N72" i="1" l="1"/>
  <c r="M72" i="1"/>
  <c r="L72" i="1"/>
  <c r="K72" i="1"/>
  <c r="R72" i="1"/>
  <c r="J72" i="1"/>
  <c r="P72" i="1"/>
  <c r="I72" i="1"/>
  <c r="O72" i="1"/>
  <c r="Q72" i="1"/>
  <c r="D15" i="1"/>
  <c r="D10" i="1"/>
  <c r="D6" i="1"/>
  <c r="D5" i="1"/>
  <c r="D4" i="1"/>
  <c r="D63" i="1" l="1"/>
  <c r="W10" i="1"/>
  <c r="W63" i="1" s="1"/>
  <c r="U10" i="1"/>
  <c r="U63" i="1" s="1"/>
  <c r="V10" i="1"/>
  <c r="V63" i="1" s="1"/>
  <c r="T10" i="1"/>
  <c r="T63" i="1" s="1"/>
  <c r="S10" i="1"/>
  <c r="S63" i="1" s="1"/>
  <c r="V15" i="1"/>
  <c r="W15" i="1"/>
  <c r="S15" i="1"/>
  <c r="U15" i="1"/>
  <c r="T15" i="1"/>
  <c r="D75" i="1"/>
  <c r="D74" i="1"/>
  <c r="U4" i="1"/>
  <c r="V4" i="1"/>
  <c r="S4" i="1"/>
  <c r="W4" i="1"/>
  <c r="T4" i="1"/>
  <c r="G4" i="1"/>
  <c r="W5" i="1"/>
  <c r="W53" i="1" s="1"/>
  <c r="W33" i="1" s="1"/>
  <c r="V5" i="1"/>
  <c r="V53" i="1" s="1"/>
  <c r="V33" i="1" s="1"/>
  <c r="U5" i="1"/>
  <c r="S5" i="1"/>
  <c r="T5" i="1"/>
  <c r="D27" i="1"/>
  <c r="S6" i="1"/>
  <c r="T6" i="1"/>
  <c r="T27" i="1" s="1"/>
  <c r="T29" i="1" s="1"/>
  <c r="T49" i="1" s="1"/>
  <c r="U6" i="1"/>
  <c r="U27" i="1" s="1"/>
  <c r="U29" i="1" s="1"/>
  <c r="U49" i="1" s="1"/>
  <c r="V6" i="1"/>
  <c r="W6" i="1"/>
  <c r="M15" i="1"/>
  <c r="I15" i="1"/>
  <c r="G15" i="1"/>
  <c r="O15" i="1"/>
  <c r="H15" i="1"/>
  <c r="Q15" i="1"/>
  <c r="J15" i="1"/>
  <c r="R15" i="1"/>
  <c r="K15" i="1"/>
  <c r="L15" i="1"/>
  <c r="F15" i="1"/>
  <c r="N15" i="1"/>
  <c r="P15" i="1"/>
  <c r="D53" i="1"/>
  <c r="D33" i="1" s="1"/>
  <c r="L5" i="1"/>
  <c r="M5" i="1"/>
  <c r="N5" i="1"/>
  <c r="H5" i="1"/>
  <c r="P5" i="1"/>
  <c r="P53" i="1" s="1"/>
  <c r="P33" i="1" s="1"/>
  <c r="I5" i="1"/>
  <c r="Q5" i="1"/>
  <c r="Q53" i="1" s="1"/>
  <c r="Q33" i="1" s="1"/>
  <c r="J5" i="1"/>
  <c r="J53" i="1" s="1"/>
  <c r="J33" i="1" s="1"/>
  <c r="R5" i="1"/>
  <c r="K5" i="1"/>
  <c r="K53" i="1" s="1"/>
  <c r="K33" i="1" s="1"/>
  <c r="O5" i="1"/>
  <c r="L6" i="1"/>
  <c r="L27" i="1" s="1"/>
  <c r="L29" i="1" s="1"/>
  <c r="L49" i="1" s="1"/>
  <c r="I6" i="1"/>
  <c r="I27" i="1" s="1"/>
  <c r="I29" i="1" s="1"/>
  <c r="I49" i="1" s="1"/>
  <c r="Q6" i="1"/>
  <c r="J6" i="1"/>
  <c r="J27" i="1" s="1"/>
  <c r="J29" i="1" s="1"/>
  <c r="J49" i="1" s="1"/>
  <c r="R6" i="1"/>
  <c r="R27" i="1" s="1"/>
  <c r="R29" i="1" s="1"/>
  <c r="R49" i="1" s="1"/>
  <c r="K6" i="1"/>
  <c r="M6" i="1"/>
  <c r="N6" i="1"/>
  <c r="O6" i="1"/>
  <c r="O27" i="1" s="1"/>
  <c r="O29" i="1" s="1"/>
  <c r="O49" i="1" s="1"/>
  <c r="H6" i="1"/>
  <c r="H27" i="1" s="1"/>
  <c r="H29" i="1" s="1"/>
  <c r="H49" i="1" s="1"/>
  <c r="P6" i="1"/>
  <c r="O4" i="1"/>
  <c r="R4" i="1"/>
  <c r="H4" i="1"/>
  <c r="I4" i="1"/>
  <c r="Q4" i="1"/>
  <c r="J4" i="1"/>
  <c r="K4" i="1"/>
  <c r="L4" i="1"/>
  <c r="M4" i="1"/>
  <c r="N4" i="1"/>
  <c r="P4" i="1"/>
  <c r="H10" i="1"/>
  <c r="H63" i="1" s="1"/>
  <c r="M10" i="1"/>
  <c r="M63" i="1" s="1"/>
  <c r="P10" i="1"/>
  <c r="P63" i="1" s="1"/>
  <c r="I10" i="1"/>
  <c r="I63" i="1" s="1"/>
  <c r="Q10" i="1"/>
  <c r="Q63" i="1" s="1"/>
  <c r="J10" i="1"/>
  <c r="J63" i="1" s="1"/>
  <c r="R10" i="1"/>
  <c r="R63" i="1" s="1"/>
  <c r="K10" i="1"/>
  <c r="K63" i="1" s="1"/>
  <c r="L10" i="1"/>
  <c r="L63" i="1" s="1"/>
  <c r="N10" i="1"/>
  <c r="N63" i="1" s="1"/>
  <c r="O10" i="1"/>
  <c r="O63" i="1" s="1"/>
  <c r="D60" i="1"/>
  <c r="D61" i="1" s="1"/>
  <c r="F4" i="1"/>
  <c r="H53" i="1" l="1"/>
  <c r="H33" i="1" s="1"/>
  <c r="W60" i="1"/>
  <c r="W61" i="1" s="1"/>
  <c r="W62" i="1" s="1"/>
  <c r="W75" i="1"/>
  <c r="W74" i="1"/>
  <c r="N27" i="1"/>
  <c r="N29" i="1" s="1"/>
  <c r="N49" i="1" s="1"/>
  <c r="O53" i="1"/>
  <c r="O33" i="1" s="1"/>
  <c r="N53" i="1"/>
  <c r="N33" i="1" s="1"/>
  <c r="T53" i="1"/>
  <c r="T33" i="1" s="1"/>
  <c r="S74" i="1"/>
  <c r="S76" i="1" s="1"/>
  <c r="S77" i="1" s="1"/>
  <c r="S75" i="1"/>
  <c r="S60" i="1"/>
  <c r="S61" i="1" s="1"/>
  <c r="S62" i="1" s="1"/>
  <c r="M27" i="1"/>
  <c r="M29" i="1" s="1"/>
  <c r="M49" i="1" s="1"/>
  <c r="M53" i="1"/>
  <c r="M33" i="1" s="1"/>
  <c r="W27" i="1"/>
  <c r="W29" i="1" s="1"/>
  <c r="W49" i="1" s="1"/>
  <c r="S53" i="1"/>
  <c r="S33" i="1" s="1"/>
  <c r="V75" i="1"/>
  <c r="V74" i="1"/>
  <c r="V76" i="1" s="1"/>
  <c r="V77" i="1" s="1"/>
  <c r="V60" i="1"/>
  <c r="V61" i="1" s="1"/>
  <c r="V62" i="1" s="1"/>
  <c r="K27" i="1"/>
  <c r="K29" i="1" s="1"/>
  <c r="K49" i="1" s="1"/>
  <c r="R53" i="1"/>
  <c r="R33" i="1" s="1"/>
  <c r="L53" i="1"/>
  <c r="L33" i="1" s="1"/>
  <c r="V27" i="1"/>
  <c r="V29" i="1" s="1"/>
  <c r="V49" i="1" s="1"/>
  <c r="U53" i="1"/>
  <c r="U33" i="1" s="1"/>
  <c r="U75" i="1"/>
  <c r="U74" i="1"/>
  <c r="U76" i="1" s="1"/>
  <c r="U77" i="1" s="1"/>
  <c r="U60" i="1"/>
  <c r="U61" i="1" s="1"/>
  <c r="S64" i="1"/>
  <c r="S65" i="1" s="1"/>
  <c r="S66" i="1" s="1"/>
  <c r="D76" i="1"/>
  <c r="D77" i="1" s="1"/>
  <c r="V64" i="1"/>
  <c r="V65" i="1" s="1"/>
  <c r="V66" i="1" s="1"/>
  <c r="P27" i="1"/>
  <c r="P29" i="1" s="1"/>
  <c r="P49" i="1" s="1"/>
  <c r="Q27" i="1"/>
  <c r="Q29" i="1" s="1"/>
  <c r="Q49" i="1" s="1"/>
  <c r="I53" i="1"/>
  <c r="I33" i="1" s="1"/>
  <c r="S27" i="1"/>
  <c r="S29" i="1" s="1"/>
  <c r="S49" i="1" s="1"/>
  <c r="U64" i="1"/>
  <c r="U65" i="1" s="1"/>
  <c r="U66" i="1" s="1"/>
  <c r="D29" i="1"/>
  <c r="D49" i="1" s="1"/>
  <c r="T75" i="1"/>
  <c r="T74" i="1"/>
  <c r="T60" i="1"/>
  <c r="T61" i="1" s="1"/>
  <c r="T62" i="1" s="1"/>
  <c r="W64" i="1"/>
  <c r="W65" i="1" s="1"/>
  <c r="W66" i="1" s="1"/>
  <c r="R75" i="1"/>
  <c r="R74" i="1"/>
  <c r="R60" i="1"/>
  <c r="Q75" i="1"/>
  <c r="Q74" i="1"/>
  <c r="Q60" i="1"/>
  <c r="H75" i="1"/>
  <c r="H74" i="1"/>
  <c r="H60" i="1"/>
  <c r="L74" i="1"/>
  <c r="L75" i="1"/>
  <c r="L60" i="1"/>
  <c r="I75" i="1"/>
  <c r="I74" i="1"/>
  <c r="I60" i="1"/>
  <c r="M75" i="1"/>
  <c r="M74" i="1"/>
  <c r="M60" i="1"/>
  <c r="K75" i="1"/>
  <c r="K74" i="1"/>
  <c r="K60" i="1"/>
  <c r="P75" i="1"/>
  <c r="P74" i="1"/>
  <c r="P60" i="1"/>
  <c r="N75" i="1"/>
  <c r="N74" i="1"/>
  <c r="N60" i="1"/>
  <c r="O75" i="1"/>
  <c r="O74" i="1"/>
  <c r="O60" i="1"/>
  <c r="J75" i="1"/>
  <c r="J74" i="1"/>
  <c r="J60" i="1"/>
  <c r="D62" i="1"/>
  <c r="D64" i="1"/>
  <c r="D65" i="1" s="1"/>
  <c r="D66" i="1" s="1"/>
  <c r="G14" i="1"/>
  <c r="F14" i="1"/>
  <c r="G13" i="1"/>
  <c r="F13" i="1"/>
  <c r="G12" i="1"/>
  <c r="F12" i="1"/>
  <c r="G11" i="1"/>
  <c r="F11" i="1"/>
  <c r="G10" i="1"/>
  <c r="F10" i="1"/>
  <c r="G9" i="1"/>
  <c r="G27" i="1" s="1"/>
  <c r="F28" i="1" s="1"/>
  <c r="F27" i="1" s="1"/>
  <c r="E27" i="1" s="1"/>
  <c r="F9" i="1"/>
  <c r="G8" i="1"/>
  <c r="F8" i="1"/>
  <c r="G7" i="1"/>
  <c r="F7" i="1"/>
  <c r="G6" i="1"/>
  <c r="F6" i="1"/>
  <c r="G5" i="1"/>
  <c r="G74" i="1" s="1"/>
  <c r="F5" i="1"/>
  <c r="G76" i="1" l="1"/>
  <c r="K28" i="1"/>
  <c r="I28" i="1"/>
  <c r="G29" i="1"/>
  <c r="G49" i="1" s="1"/>
  <c r="P28" i="1"/>
  <c r="M28" i="1"/>
  <c r="L76" i="1"/>
  <c r="L77" i="1" s="1"/>
  <c r="G28" i="1"/>
  <c r="J28" i="1"/>
  <c r="T28" i="1"/>
  <c r="N76" i="1"/>
  <c r="N77" i="1" s="1"/>
  <c r="R76" i="1"/>
  <c r="R77" i="1" s="1"/>
  <c r="R28" i="1"/>
  <c r="U28" i="1"/>
  <c r="G75" i="1"/>
  <c r="T64" i="1"/>
  <c r="T65" i="1" s="1"/>
  <c r="T66" i="1" s="1"/>
  <c r="T67" i="1" s="1"/>
  <c r="W76" i="1"/>
  <c r="W77" i="1" s="1"/>
  <c r="T76" i="1"/>
  <c r="T77" i="1" s="1"/>
  <c r="W28" i="1"/>
  <c r="L28" i="1"/>
  <c r="G72" i="1"/>
  <c r="G63" i="1"/>
  <c r="S28" i="1"/>
  <c r="H28" i="1"/>
  <c r="S67" i="1"/>
  <c r="N28" i="1"/>
  <c r="V28" i="1"/>
  <c r="O28" i="1"/>
  <c r="Q28" i="1"/>
  <c r="U62" i="1"/>
  <c r="U67" i="1"/>
  <c r="V67" i="1"/>
  <c r="W67" i="1"/>
  <c r="K76" i="1"/>
  <c r="K77" i="1" s="1"/>
  <c r="P61" i="1"/>
  <c r="P62" i="1" s="1"/>
  <c r="P64" i="1"/>
  <c r="P65" i="1" s="1"/>
  <c r="P66" i="1" s="1"/>
  <c r="P76" i="1"/>
  <c r="P77" i="1" s="1"/>
  <c r="Q61" i="1"/>
  <c r="Q62" i="1" s="1"/>
  <c r="Q64" i="1"/>
  <c r="Q65" i="1" s="1"/>
  <c r="Q66" i="1" s="1"/>
  <c r="J64" i="1"/>
  <c r="J65" i="1" s="1"/>
  <c r="J66" i="1" s="1"/>
  <c r="J61" i="1"/>
  <c r="J62" i="1" s="1"/>
  <c r="M76" i="1"/>
  <c r="M77" i="1" s="1"/>
  <c r="J76" i="1"/>
  <c r="J77" i="1" s="1"/>
  <c r="O61" i="1"/>
  <c r="O62" i="1" s="1"/>
  <c r="O64" i="1"/>
  <c r="O65" i="1" s="1"/>
  <c r="O66" i="1" s="1"/>
  <c r="K64" i="1"/>
  <c r="K65" i="1" s="1"/>
  <c r="K66" i="1" s="1"/>
  <c r="K61" i="1"/>
  <c r="K62" i="1" s="1"/>
  <c r="I76" i="1"/>
  <c r="I77" i="1" s="1"/>
  <c r="O76" i="1"/>
  <c r="O77" i="1" s="1"/>
  <c r="L64" i="1"/>
  <c r="L65" i="1" s="1"/>
  <c r="L66" i="1" s="1"/>
  <c r="L61" i="1"/>
  <c r="L62" i="1" s="1"/>
  <c r="Q76" i="1"/>
  <c r="Q77" i="1" s="1"/>
  <c r="H61" i="1"/>
  <c r="H62" i="1" s="1"/>
  <c r="H64" i="1"/>
  <c r="H65" i="1" s="1"/>
  <c r="H66" i="1" s="1"/>
  <c r="I61" i="1"/>
  <c r="I62" i="1" s="1"/>
  <c r="I64" i="1"/>
  <c r="I65" i="1" s="1"/>
  <c r="I66" i="1" s="1"/>
  <c r="N64" i="1"/>
  <c r="N65" i="1" s="1"/>
  <c r="N66" i="1" s="1"/>
  <c r="N61" i="1"/>
  <c r="N62" i="1" s="1"/>
  <c r="R64" i="1"/>
  <c r="R65" i="1" s="1"/>
  <c r="R66" i="1" s="1"/>
  <c r="R61" i="1"/>
  <c r="R62" i="1" s="1"/>
  <c r="H76" i="1"/>
  <c r="H77" i="1" s="1"/>
  <c r="M61" i="1"/>
  <c r="M62" i="1" s="1"/>
  <c r="M64" i="1"/>
  <c r="M65" i="1" s="1"/>
  <c r="M66" i="1" s="1"/>
  <c r="D67" i="1"/>
  <c r="D31" i="1" s="1"/>
  <c r="J67" i="1"/>
  <c r="F30" i="1"/>
  <c r="G30" i="1" s="1"/>
  <c r="G53" i="1"/>
  <c r="G33" i="1" s="1"/>
  <c r="O67" i="1"/>
  <c r="O31" i="1" s="1"/>
  <c r="G60" i="1"/>
  <c r="T31" i="1" l="1"/>
  <c r="T51" i="1"/>
  <c r="T55" i="1" s="1"/>
  <c r="T37" i="1" s="1"/>
  <c r="T39" i="1" s="1"/>
  <c r="G77" i="1"/>
  <c r="K67" i="1"/>
  <c r="K31" i="1" s="1"/>
  <c r="W51" i="1"/>
  <c r="W55" i="1" s="1"/>
  <c r="W37" i="1" s="1"/>
  <c r="W39" i="1" s="1"/>
  <c r="W31" i="1"/>
  <c r="I67" i="1"/>
  <c r="I31" i="1" s="1"/>
  <c r="V51" i="1"/>
  <c r="V55" i="1" s="1"/>
  <c r="V37" i="1" s="1"/>
  <c r="V39" i="1" s="1"/>
  <c r="V31" i="1"/>
  <c r="S31" i="1"/>
  <c r="S51" i="1"/>
  <c r="S55" i="1" s="1"/>
  <c r="S37" i="1" s="1"/>
  <c r="S39" i="1" s="1"/>
  <c r="U51" i="1"/>
  <c r="U55" i="1" s="1"/>
  <c r="U37" i="1" s="1"/>
  <c r="U39" i="1" s="1"/>
  <c r="U31" i="1"/>
  <c r="F34" i="1"/>
  <c r="G34" i="1"/>
  <c r="G61" i="1"/>
  <c r="G62" i="1" s="1"/>
  <c r="G64" i="1"/>
  <c r="G65" i="1" s="1"/>
  <c r="G66" i="1" s="1"/>
  <c r="P67" i="1"/>
  <c r="P31" i="1" s="1"/>
  <c r="N67" i="1"/>
  <c r="N31" i="1" s="1"/>
  <c r="D51" i="1"/>
  <c r="D55" i="1" s="1"/>
  <c r="D37" i="1" s="1"/>
  <c r="D39" i="1" s="1"/>
  <c r="J51" i="1"/>
  <c r="J55" i="1" s="1"/>
  <c r="J37" i="1" s="1"/>
  <c r="J31" i="1"/>
  <c r="F54" i="1"/>
  <c r="G54" i="1" s="1"/>
  <c r="M67" i="1"/>
  <c r="L67" i="1"/>
  <c r="R67" i="1"/>
  <c r="Q67" i="1"/>
  <c r="I51" i="1"/>
  <c r="I30" i="1"/>
  <c r="V30" i="1"/>
  <c r="W30" i="1"/>
  <c r="U30" i="1"/>
  <c r="S30" i="1"/>
  <c r="T30" i="1"/>
  <c r="F29" i="1"/>
  <c r="E29" i="1" s="1"/>
  <c r="H30" i="1"/>
  <c r="J30" i="1"/>
  <c r="P30" i="1"/>
  <c r="L30" i="1"/>
  <c r="O30" i="1"/>
  <c r="K30" i="1"/>
  <c r="N30" i="1"/>
  <c r="R30" i="1"/>
  <c r="M30" i="1"/>
  <c r="Q30" i="1"/>
  <c r="O51" i="1"/>
  <c r="O55" i="1" s="1"/>
  <c r="O37" i="1" s="1"/>
  <c r="K51" i="1"/>
  <c r="K55" i="1" s="1"/>
  <c r="K37" i="1" s="1"/>
  <c r="N51" i="1" l="1"/>
  <c r="N55" i="1" s="1"/>
  <c r="N37" i="1" s="1"/>
  <c r="U34" i="1"/>
  <c r="F33" i="1"/>
  <c r="E33" i="1" s="1"/>
  <c r="V34" i="1"/>
  <c r="P34" i="1"/>
  <c r="N34" i="1"/>
  <c r="Q34" i="1"/>
  <c r="M34" i="1"/>
  <c r="W34" i="1"/>
  <c r="O34" i="1"/>
  <c r="J34" i="1"/>
  <c r="R34" i="1"/>
  <c r="K34" i="1"/>
  <c r="L34" i="1"/>
  <c r="H34" i="1"/>
  <c r="I34" i="1"/>
  <c r="T34" i="1"/>
  <c r="S34" i="1"/>
  <c r="P51" i="1"/>
  <c r="P55" i="1" s="1"/>
  <c r="P37" i="1" s="1"/>
  <c r="P39" i="1" s="1"/>
  <c r="G67" i="1"/>
  <c r="G31" i="1" s="1"/>
  <c r="L51" i="1"/>
  <c r="L55" i="1" s="1"/>
  <c r="L37" i="1" s="1"/>
  <c r="L39" i="1" s="1"/>
  <c r="L31" i="1"/>
  <c r="M51" i="1"/>
  <c r="M55" i="1" s="1"/>
  <c r="M37" i="1" s="1"/>
  <c r="M39" i="1" s="1"/>
  <c r="M31" i="1"/>
  <c r="J54" i="1"/>
  <c r="F53" i="1"/>
  <c r="E53" i="1" s="1"/>
  <c r="L54" i="1"/>
  <c r="N54" i="1"/>
  <c r="W54" i="1"/>
  <c r="U54" i="1"/>
  <c r="S54" i="1"/>
  <c r="O54" i="1"/>
  <c r="Q54" i="1"/>
  <c r="K54" i="1"/>
  <c r="M54" i="1"/>
  <c r="I54" i="1"/>
  <c r="V54" i="1"/>
  <c r="T54" i="1"/>
  <c r="R54" i="1"/>
  <c r="P54" i="1"/>
  <c r="H54" i="1"/>
  <c r="I55" i="1"/>
  <c r="I37" i="1" s="1"/>
  <c r="I39" i="1" s="1"/>
  <c r="Q31" i="1"/>
  <c r="Q51" i="1"/>
  <c r="R31" i="1"/>
  <c r="R51" i="1"/>
  <c r="R55" i="1" s="1"/>
  <c r="R37" i="1" s="1"/>
  <c r="R39" i="1" s="1"/>
  <c r="F50" i="1"/>
  <c r="F49" i="1" s="1"/>
  <c r="H67" i="1"/>
  <c r="J39" i="1"/>
  <c r="N39" i="1"/>
  <c r="O39" i="1"/>
  <c r="K39" i="1"/>
  <c r="G51" i="1"/>
  <c r="AB7" i="1"/>
  <c r="AB9" i="1"/>
  <c r="AB15" i="1"/>
  <c r="AB14" i="1"/>
  <c r="AB10" i="1"/>
  <c r="AB8" i="1"/>
  <c r="AB13" i="1"/>
  <c r="AB6" i="1"/>
  <c r="AB4" i="1"/>
  <c r="AB11" i="1"/>
  <c r="AB5" i="1"/>
  <c r="AB12" i="1"/>
  <c r="AB23" i="1" l="1"/>
  <c r="G55" i="1"/>
  <c r="G37" i="1" s="1"/>
  <c r="Q55" i="1"/>
  <c r="Q37" i="1" s="1"/>
  <c r="Q39" i="1" s="1"/>
  <c r="H51" i="1"/>
  <c r="H55" i="1" s="1"/>
  <c r="H37" i="1" s="1"/>
  <c r="H39" i="1" s="1"/>
  <c r="H31" i="1"/>
  <c r="Q50" i="1"/>
  <c r="V50" i="1"/>
  <c r="U50" i="1"/>
  <c r="S50" i="1"/>
  <c r="R50" i="1"/>
  <c r="W50" i="1"/>
  <c r="T50" i="1"/>
  <c r="E49" i="1"/>
  <c r="H50" i="1"/>
  <c r="L50" i="1"/>
  <c r="P50" i="1"/>
  <c r="I50" i="1"/>
  <c r="M50" i="1"/>
  <c r="G50" i="1"/>
  <c r="K50" i="1"/>
  <c r="O50" i="1"/>
  <c r="J50" i="1"/>
  <c r="N50" i="1"/>
  <c r="F56" i="1" l="1"/>
  <c r="L56" i="1" s="1"/>
  <c r="F52" i="1"/>
  <c r="F38" i="1"/>
  <c r="F32" i="1"/>
  <c r="G39" i="1"/>
  <c r="F40" i="1" s="1"/>
  <c r="AC13" i="1"/>
  <c r="AC4" i="1"/>
  <c r="AC7" i="1"/>
  <c r="V56" i="1" l="1"/>
  <c r="P56" i="1"/>
  <c r="J56" i="1"/>
  <c r="R56" i="1"/>
  <c r="I56" i="1"/>
  <c r="U56" i="1"/>
  <c r="S56" i="1"/>
  <c r="T56" i="1"/>
  <c r="N56" i="1"/>
  <c r="W56" i="1"/>
  <c r="G56" i="1"/>
  <c r="O56" i="1"/>
  <c r="F55" i="1"/>
  <c r="E55" i="1" s="1"/>
  <c r="H56" i="1"/>
  <c r="M56" i="1"/>
  <c r="K56" i="1"/>
  <c r="R52" i="1"/>
  <c r="W52" i="1"/>
  <c r="U52" i="1"/>
  <c r="T52" i="1"/>
  <c r="S52" i="1"/>
  <c r="P52" i="1"/>
  <c r="V52" i="1"/>
  <c r="Q52" i="1"/>
  <c r="S32" i="1"/>
  <c r="F31" i="1"/>
  <c r="E31" i="1" s="1"/>
  <c r="V32" i="1"/>
  <c r="W32" i="1"/>
  <c r="I32" i="1"/>
  <c r="U32" i="1"/>
  <c r="T32" i="1"/>
  <c r="K32" i="1"/>
  <c r="P32" i="1"/>
  <c r="O32" i="1"/>
  <c r="N32" i="1"/>
  <c r="G32" i="1"/>
  <c r="J32" i="1"/>
  <c r="Q32" i="1"/>
  <c r="R32" i="1"/>
  <c r="M32" i="1"/>
  <c r="L32" i="1"/>
  <c r="Q56" i="1"/>
  <c r="H32" i="1"/>
  <c r="T38" i="1"/>
  <c r="U38" i="1"/>
  <c r="S38" i="1"/>
  <c r="V38" i="1"/>
  <c r="W38" i="1"/>
  <c r="W40" i="1"/>
  <c r="S40" i="1"/>
  <c r="U40" i="1"/>
  <c r="V40" i="1"/>
  <c r="T40" i="1"/>
  <c r="G38" i="1"/>
  <c r="M38" i="1"/>
  <c r="J38" i="1"/>
  <c r="I38" i="1"/>
  <c r="Q38" i="1"/>
  <c r="R38" i="1"/>
  <c r="K38" i="1"/>
  <c r="L38" i="1"/>
  <c r="H38" i="1"/>
  <c r="P38" i="1"/>
  <c r="O38" i="1"/>
  <c r="N38" i="1"/>
  <c r="G40" i="1"/>
  <c r="F37" i="1"/>
  <c r="E37" i="1" s="1"/>
  <c r="N52" i="1"/>
  <c r="M52" i="1"/>
  <c r="H52" i="1"/>
  <c r="O52" i="1"/>
  <c r="I52" i="1"/>
  <c r="L52" i="1"/>
  <c r="K52" i="1"/>
  <c r="J52" i="1"/>
  <c r="F51" i="1"/>
  <c r="E51" i="1" s="1"/>
  <c r="G52" i="1"/>
  <c r="AD7" i="1"/>
  <c r="AC14" i="1"/>
  <c r="AD11" i="1"/>
  <c r="AF7" i="1"/>
  <c r="AC6" i="1"/>
  <c r="AG16" i="1"/>
  <c r="AG20" i="1"/>
  <c r="AF12" i="1"/>
  <c r="AE14" i="1"/>
  <c r="AE4" i="1"/>
  <c r="AF9" i="1"/>
  <c r="AD5" i="1"/>
  <c r="AC11" i="1"/>
  <c r="AF15" i="1"/>
  <c r="AE10" i="1"/>
  <c r="AF6" i="1"/>
  <c r="AC8" i="1"/>
  <c r="AD6" i="1"/>
  <c r="AE7" i="1"/>
  <c r="AE12" i="1"/>
  <c r="AE11" i="1"/>
  <c r="AD13" i="1"/>
  <c r="AF5" i="1"/>
  <c r="AC5" i="1"/>
  <c r="AE13" i="1"/>
  <c r="AF14" i="1"/>
  <c r="AG18" i="1"/>
  <c r="AD14" i="1"/>
  <c r="AE9" i="1"/>
  <c r="AD8" i="1"/>
  <c r="AF10" i="1"/>
  <c r="AD12" i="1"/>
  <c r="AG17" i="1"/>
  <c r="AE15" i="1"/>
  <c r="AC10" i="1"/>
  <c r="AC12" i="1"/>
  <c r="AD15" i="1"/>
  <c r="AF4" i="1"/>
  <c r="AG19" i="1"/>
  <c r="AF13" i="1"/>
  <c r="AD9" i="1"/>
  <c r="AF11" i="1"/>
  <c r="AC15" i="1"/>
  <c r="AE5" i="1"/>
  <c r="AF8" i="1"/>
  <c r="AC9" i="1"/>
  <c r="AE8" i="1"/>
  <c r="AD4" i="1"/>
  <c r="AD10" i="1"/>
  <c r="AE6" i="1"/>
  <c r="AD23" i="1" l="1"/>
  <c r="AC23" i="1"/>
  <c r="AF23" i="1"/>
  <c r="AE23" i="1"/>
  <c r="K40" i="1"/>
  <c r="O40" i="1"/>
  <c r="M40" i="1"/>
  <c r="J40" i="1"/>
  <c r="I40" i="1"/>
  <c r="F39" i="1"/>
  <c r="E39" i="1" s="1"/>
  <c r="P40" i="1"/>
  <c r="N40" i="1"/>
  <c r="H40" i="1"/>
  <c r="R40" i="1"/>
  <c r="Q40" i="1"/>
  <c r="L40" i="1"/>
  <c r="AG8" i="1"/>
  <c r="AG5" i="1"/>
  <c r="AH4" i="1"/>
  <c r="AG14" i="1"/>
  <c r="AG6" i="1"/>
  <c r="AG15" i="1"/>
  <c r="AG12" i="1"/>
  <c r="AG10" i="1"/>
  <c r="AG13" i="1"/>
  <c r="AG11" i="1"/>
  <c r="AG9" i="1"/>
  <c r="AG4" i="1"/>
  <c r="AG7" i="1"/>
  <c r="AG23" i="1" l="1"/>
  <c r="W42" i="1"/>
  <c r="U42" i="1"/>
  <c r="T42" i="1"/>
  <c r="V42" i="1"/>
  <c r="S42" i="1"/>
  <c r="E41" i="1"/>
  <c r="N42" i="1"/>
  <c r="Q42" i="1"/>
  <c r="J42" i="1"/>
  <c r="R42" i="1"/>
  <c r="I42" i="1"/>
  <c r="M42" i="1"/>
  <c r="P42" i="1"/>
  <c r="O42" i="1"/>
  <c r="K42" i="1"/>
  <c r="L42" i="1"/>
  <c r="H42" i="1"/>
  <c r="AH11" i="1"/>
  <c r="AH9" i="1"/>
  <c r="AH15" i="1"/>
  <c r="AH10" i="1"/>
  <c r="AH5" i="1"/>
  <c r="AH14" i="1"/>
  <c r="AH13" i="1"/>
  <c r="AH8" i="1"/>
  <c r="AH7" i="1"/>
  <c r="AH12" i="1"/>
  <c r="AH6" i="1"/>
  <c r="AH23" i="1" l="1"/>
</calcChain>
</file>

<file path=xl/sharedStrings.xml><?xml version="1.0" encoding="utf-8"?>
<sst xmlns="http://schemas.openxmlformats.org/spreadsheetml/2006/main" count="225" uniqueCount="118">
  <si>
    <t>INPUTS</t>
  </si>
  <si>
    <t>fractional</t>
  </si>
  <si>
    <t>absolute</t>
  </si>
  <si>
    <t>G</t>
  </si>
  <si>
    <t>i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</si>
  <si>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</si>
  <si>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</si>
  <si>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</si>
  <si>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</si>
  <si>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</si>
  <si>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</si>
  <si>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</si>
  <si>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</si>
  <si>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</si>
  <si>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</si>
  <si>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</si>
  <si>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OUTPUTS</t>
  </si>
  <si>
    <t>o</t>
  </si>
  <si>
    <t>Di,2 (m)</t>
  </si>
  <si>
    <t>Do (m)</t>
  </si>
  <si>
    <t>Di,1 (m)</t>
  </si>
  <si>
    <t>11p5 Heat Exchanger</t>
  </si>
  <si>
    <t>L (m)</t>
  </si>
  <si>
    <t>Th.Resistance (Rw),(K/W)</t>
  </si>
  <si>
    <t>Reynolds no. D</t>
  </si>
  <si>
    <t>(hA)^-1 cold (K/W)</t>
  </si>
  <si>
    <t>uncertainity</t>
  </si>
  <si>
    <t>SUM =</t>
  </si>
  <si>
    <t>(Overall eff* hA)^-1 hot (K/W)</t>
  </si>
  <si>
    <t>Af (m^2)</t>
  </si>
  <si>
    <t>A (m^2)</t>
  </si>
  <si>
    <t>Eff (fin)</t>
  </si>
  <si>
    <t>Overall eff (fin)</t>
  </si>
  <si>
    <t>m (m^-1)</t>
  </si>
  <si>
    <t xml:space="preserve">mL </t>
  </si>
  <si>
    <t>tanh(ml)</t>
  </si>
  <si>
    <t>Width of cyl (m)</t>
  </si>
  <si>
    <t>2)</t>
  </si>
  <si>
    <t>3)</t>
  </si>
  <si>
    <t>1)</t>
  </si>
  <si>
    <t>11p5 Tube Heat Exchanger Problem</t>
  </si>
  <si>
    <t>given:</t>
  </si>
  <si>
    <t>properties:</t>
  </si>
  <si>
    <t>Schematic:</t>
  </si>
  <si>
    <t>K (W/mK)</t>
  </si>
  <si>
    <t>Pr</t>
  </si>
  <si>
    <t>dym viscosity (Ns/m^2)</t>
  </si>
  <si>
    <t>t (m)</t>
  </si>
  <si>
    <t>Analysis:</t>
  </si>
  <si>
    <t>Twater (k)</t>
  </si>
  <si>
    <t>Tgas (k)</t>
  </si>
  <si>
    <t>hgas (W/m^2K)</t>
  </si>
  <si>
    <t>Length fin (m)</t>
  </si>
  <si>
    <t>no. of fins</t>
  </si>
  <si>
    <t>Assumption:</t>
  </si>
  <si>
    <t>Width tube/fin (m)</t>
  </si>
  <si>
    <t>(UA)^-1 cold</t>
  </si>
  <si>
    <t>(UA)cold</t>
  </si>
  <si>
    <t>(turbulent)</t>
  </si>
  <si>
    <t>q (W)</t>
  </si>
  <si>
    <t>Calculations:</t>
  </si>
  <si>
    <t>hcold (W/m^2K)</t>
  </si>
  <si>
    <t xml:space="preserve">Overall Fin Efficiency : </t>
  </si>
  <si>
    <t>Table A4, air (800K)</t>
  </si>
  <si>
    <t>m(water) (Kg/s)</t>
  </si>
  <si>
    <t>Cw (KJ/Kg*K)</t>
  </si>
  <si>
    <t>C,air (KJ/Kg*K)</t>
  </si>
  <si>
    <t>Solution:</t>
  </si>
  <si>
    <t>Table A6, Water(300K)</t>
  </si>
  <si>
    <t>4)</t>
  </si>
  <si>
    <t>5)</t>
  </si>
  <si>
    <t>6)</t>
  </si>
  <si>
    <t>7)</t>
  </si>
  <si>
    <t>8)</t>
  </si>
  <si>
    <t>9)</t>
  </si>
  <si>
    <t>10)</t>
  </si>
  <si>
    <t>11)</t>
  </si>
  <si>
    <t>Ksteel (W/mK)</t>
  </si>
  <si>
    <t>h air, W/m^2K</t>
  </si>
  <si>
    <t>Coeff in Nu corr</t>
  </si>
  <si>
    <t>exponent in Nu corr</t>
  </si>
  <si>
    <t>mu_water(Ns/m^2)</t>
  </si>
  <si>
    <t>mu_air(Ns/m^2)</t>
  </si>
  <si>
    <t>t, (m)</t>
  </si>
  <si>
    <t>Tw_avg (K)</t>
  </si>
  <si>
    <t>Ta_avg (K)</t>
  </si>
  <si>
    <t>mdot_w (Kg/s)</t>
  </si>
  <si>
    <t>k_steel, W/mC</t>
  </si>
  <si>
    <t>k_water, W/mC</t>
  </si>
  <si>
    <t>Pr_water</t>
  </si>
  <si>
    <t>k_air, W/mK</t>
  </si>
  <si>
    <t>Pr_air</t>
  </si>
  <si>
    <t>mdot_air (Kg/s)</t>
  </si>
  <si>
    <t>(UA)water (W/K)</t>
  </si>
  <si>
    <t>exponent(Re)in Nu corr</t>
  </si>
  <si>
    <t>Re_water</t>
  </si>
  <si>
    <t>Nu_water</t>
  </si>
  <si>
    <t>(UA)^-1water (W/K)</t>
  </si>
  <si>
    <t>CALCULATIONS</t>
  </si>
  <si>
    <t>Dh (m)</t>
  </si>
  <si>
    <t>Re_air</t>
  </si>
  <si>
    <t>mdot, Kg/s</t>
  </si>
  <si>
    <t>h_2 (dittus bolelter)</t>
  </si>
  <si>
    <t>(h_1) - (h_2)</t>
  </si>
  <si>
    <t>h_1 (W/m^2K)</t>
  </si>
  <si>
    <t>What-If Analysis (goal seek)</t>
  </si>
  <si>
    <t>For fin eff:</t>
  </si>
  <si>
    <t>For flow rate of air:</t>
  </si>
  <si>
    <t>For calculation of UA:</t>
  </si>
  <si>
    <t>mdot air(Kg/s)</t>
  </si>
  <si>
    <t>S</t>
  </si>
  <si>
    <t>T</t>
  </si>
  <si>
    <t>U</t>
  </si>
  <si>
    <t>V</t>
  </si>
  <si>
    <t>W</t>
  </si>
  <si>
    <t>Th.Resistance ,(K/W)</t>
  </si>
  <si>
    <t xml:space="preserve">q/L (W/m) </t>
  </si>
  <si>
    <t xml:space="preserve">q/Length of cyl (W/m)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</si>
</sst>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"/>
    <numFmt numFmtId="166" formatCode="0.0"/>
    <numFmt numFmtId="167" formatCode="0.000"/>
    <numFmt numFmtId="168" formatCode="0.00000"/>
    <numFmt numFmtId="169" formatCode="0.0000000"/>
    <numFmt numFmtId="170" formatCode="0.00000000"/>
    <numFmt numFmtId="171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0" fillId="0" borderId="0" xfId="0" applyFill="1" applyAlignment="1">
      <alignment horizontal="left"/>
    </xf>
    <xf numFmtId="9" fontId="0" fillId="0" borderId="0" xfId="1" applyFont="1"/>
    <xf numFmtId="164" fontId="0" fillId="0" borderId="0" xfId="0" applyNumberFormat="1"/>
    <xf numFmtId="11" fontId="0" fillId="0" borderId="0" xfId="0" applyNumberFormat="1"/>
    <xf numFmtId="0" fontId="0" fillId="0" borderId="0" xfId="0" applyFill="1"/>
    <xf numFmtId="2" fontId="0" fillId="0" borderId="0" xfId="0" applyNumberFormat="1"/>
    <xf numFmtId="166" fontId="0" fillId="0" borderId="0" xfId="0" applyNumberFormat="1"/>
    <xf numFmtId="0" fontId="0" fillId="0" borderId="0" xfId="0" applyNumberFormat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8" fontId="0" fillId="0" borderId="0" xfId="0" applyNumberFormat="1"/>
    <xf numFmtId="168" fontId="0" fillId="0" borderId="0" xfId="1" applyNumberFormat="1" applyFont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Border="1"/>
    <xf numFmtId="9" fontId="0" fillId="0" borderId="0" xfId="1" applyFont="1" applyBorder="1"/>
    <xf numFmtId="2" fontId="0" fillId="0" borderId="0" xfId="0" applyNumberFormat="1" applyFill="1"/>
    <xf numFmtId="167" fontId="0" fillId="0" borderId="0" xfId="0" applyNumberFormat="1" applyFill="1"/>
    <xf numFmtId="0" fontId="1" fillId="7" borderId="0" xfId="5" applyBorder="1"/>
    <xf numFmtId="0" fontId="0" fillId="0" borderId="0" xfId="0" applyFill="1" applyBorder="1"/>
    <xf numFmtId="164" fontId="0" fillId="0" borderId="0" xfId="0" applyNumberFormat="1" applyFill="1"/>
    <xf numFmtId="166" fontId="0" fillId="0" borderId="0" xfId="0" applyNumberFormat="1" applyFill="1" applyBorder="1"/>
    <xf numFmtId="2" fontId="0" fillId="0" borderId="0" xfId="0" applyNumberFormat="1" applyFill="1" applyBorder="1"/>
    <xf numFmtId="0" fontId="0" fillId="0" borderId="7" xfId="0" applyBorder="1"/>
    <xf numFmtId="168" fontId="0" fillId="0" borderId="0" xfId="0" applyNumberFormat="1" applyBorder="1"/>
    <xf numFmtId="0" fontId="0" fillId="0" borderId="0" xfId="0" applyNumberFormat="1" applyBorder="1"/>
    <xf numFmtId="0" fontId="2" fillId="0" borderId="9" xfId="6"/>
    <xf numFmtId="0" fontId="1" fillId="5" borderId="0" xfId="3" applyBorder="1"/>
    <xf numFmtId="0" fontId="0" fillId="0" borderId="11" xfId="0" applyBorder="1"/>
    <xf numFmtId="9" fontId="0" fillId="0" borderId="11" xfId="1" applyFont="1" applyBorder="1"/>
    <xf numFmtId="0" fontId="0" fillId="0" borderId="12" xfId="0" applyFill="1" applyBorder="1"/>
    <xf numFmtId="0" fontId="0" fillId="0" borderId="12" xfId="0" applyBorder="1"/>
    <xf numFmtId="9" fontId="0" fillId="0" borderId="4" xfId="1" applyFont="1" applyBorder="1"/>
    <xf numFmtId="0" fontId="0" fillId="0" borderId="13" xfId="0" applyFill="1" applyBorder="1"/>
    <xf numFmtId="0" fontId="0" fillId="0" borderId="14" xfId="0" applyFill="1" applyBorder="1"/>
    <xf numFmtId="0" fontId="0" fillId="0" borderId="14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8" fontId="0" fillId="0" borderId="0" xfId="0" applyNumberFormat="1" applyFill="1" applyBorder="1"/>
    <xf numFmtId="168" fontId="0" fillId="0" borderId="4" xfId="0" applyNumberFormat="1" applyFill="1" applyBorder="1"/>
    <xf numFmtId="0" fontId="0" fillId="0" borderId="13" xfId="0" applyBorder="1"/>
    <xf numFmtId="0" fontId="0" fillId="0" borderId="14" xfId="0" applyBorder="1"/>
    <xf numFmtId="168" fontId="0" fillId="0" borderId="12" xfId="0" applyNumberFormat="1" applyBorder="1"/>
    <xf numFmtId="168" fontId="0" fillId="2" borderId="6" xfId="0" applyNumberFormat="1" applyFill="1" applyBorder="1"/>
    <xf numFmtId="168" fontId="0" fillId="0" borderId="7" xfId="0" applyNumberFormat="1" applyBorder="1"/>
    <xf numFmtId="168" fontId="0" fillId="2" borderId="7" xfId="0" applyNumberFormat="1" applyFill="1" applyBorder="1"/>
    <xf numFmtId="2" fontId="0" fillId="0" borderId="7" xfId="0" applyNumberFormat="1" applyBorder="1"/>
    <xf numFmtId="0" fontId="0" fillId="2" borderId="2" xfId="0" applyFill="1" applyBorder="1"/>
    <xf numFmtId="168" fontId="0" fillId="0" borderId="10" xfId="0" applyNumberFormat="1" applyBorder="1"/>
    <xf numFmtId="0" fontId="0" fillId="0" borderId="16" xfId="0" applyBorder="1"/>
    <xf numFmtId="0" fontId="0" fillId="0" borderId="0" xfId="0" applyNumberFormat="1" applyFill="1" applyBorder="1"/>
    <xf numFmtId="164" fontId="0" fillId="0" borderId="0" xfId="0" applyNumberFormat="1" applyBorder="1"/>
    <xf numFmtId="2" fontId="0" fillId="0" borderId="8" xfId="0" applyNumberFormat="1" applyBorder="1"/>
    <xf numFmtId="0" fontId="1" fillId="0" borderId="10" xfId="4" applyFill="1" applyBorder="1"/>
    <xf numFmtId="0" fontId="1" fillId="0" borderId="12" xfId="4" applyFill="1" applyBorder="1"/>
    <xf numFmtId="0" fontId="0" fillId="0" borderId="15" xfId="0" applyFill="1" applyBorder="1" applyAlignment="1">
      <alignment horizontal="center"/>
    </xf>
    <xf numFmtId="0" fontId="0" fillId="0" borderId="2" xfId="4" applyFont="1" applyFill="1" applyBorder="1"/>
    <xf numFmtId="0" fontId="1" fillId="0" borderId="3" xfId="3" applyFill="1" applyBorder="1"/>
    <xf numFmtId="0" fontId="1" fillId="0" borderId="12" xfId="3" applyFill="1" applyBorder="1"/>
    <xf numFmtId="0" fontId="1" fillId="0" borderId="4" xfId="3" applyFill="1" applyBorder="1"/>
    <xf numFmtId="0" fontId="1" fillId="0" borderId="13" xfId="3" applyFill="1" applyBorder="1"/>
    <xf numFmtId="0" fontId="1" fillId="0" borderId="5" xfId="3" applyFill="1" applyBorder="1"/>
    <xf numFmtId="0" fontId="0" fillId="0" borderId="10" xfId="0" applyBorder="1"/>
    <xf numFmtId="0" fontId="0" fillId="2" borderId="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2" applyFont="1" applyBorder="1"/>
    <xf numFmtId="0" fontId="4" fillId="0" borderId="0" xfId="7" applyFont="1"/>
    <xf numFmtId="0" fontId="0" fillId="0" borderId="2" xfId="0" applyBorder="1" applyAlignment="1">
      <alignment horizontal="center"/>
    </xf>
    <xf numFmtId="0" fontId="1" fillId="0" borderId="0" xfId="8" applyFill="1" applyBorder="1"/>
    <xf numFmtId="0" fontId="0" fillId="7" borderId="0" xfId="5" applyFont="1" applyBorder="1"/>
    <xf numFmtId="168" fontId="0" fillId="0" borderId="11" xfId="0" applyNumberFormat="1" applyFill="1" applyBorder="1"/>
    <xf numFmtId="168" fontId="0" fillId="0" borderId="3" xfId="0" applyNumberFormat="1" applyFill="1" applyBorder="1"/>
    <xf numFmtId="0" fontId="0" fillId="0" borderId="11" xfId="0" applyFill="1" applyBorder="1"/>
    <xf numFmtId="0" fontId="1" fillId="4" borderId="18" xfId="2" applyBorder="1"/>
    <xf numFmtId="0" fontId="0" fillId="2" borderId="1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3" xfId="0" applyFill="1" applyBorder="1"/>
    <xf numFmtId="0" fontId="1" fillId="0" borderId="0" xfId="3" applyFill="1" applyBorder="1"/>
    <xf numFmtId="0" fontId="1" fillId="9" borderId="0" xfId="3" applyFill="1" applyBorder="1"/>
    <xf numFmtId="0" fontId="1" fillId="0" borderId="11" xfId="3" applyFill="1" applyBorder="1"/>
    <xf numFmtId="167" fontId="0" fillId="0" borderId="12" xfId="0" applyNumberFormat="1" applyBorder="1"/>
    <xf numFmtId="0" fontId="1" fillId="0" borderId="14" xfId="3" applyFill="1" applyBorder="1"/>
    <xf numFmtId="0" fontId="1" fillId="9" borderId="5" xfId="3" applyFill="1" applyBorder="1"/>
    <xf numFmtId="1" fontId="0" fillId="0" borderId="12" xfId="0" applyNumberFormat="1" applyBorder="1"/>
    <xf numFmtId="165" fontId="0" fillId="0" borderId="12" xfId="0" applyNumberFormat="1" applyBorder="1"/>
    <xf numFmtId="0" fontId="1" fillId="5" borderId="11" xfId="3" applyBorder="1"/>
    <xf numFmtId="9" fontId="1" fillId="0" borderId="0" xfId="5" applyNumberFormat="1" applyFill="1" applyBorder="1"/>
    <xf numFmtId="9" fontId="0" fillId="0" borderId="0" xfId="1" applyFont="1" applyFill="1" applyBorder="1"/>
    <xf numFmtId="9" fontId="1" fillId="0" borderId="0" xfId="1" applyFill="1" applyBorder="1"/>
    <xf numFmtId="168" fontId="0" fillId="2" borderId="0" xfId="0" applyNumberFormat="1" applyFill="1" applyBorder="1"/>
    <xf numFmtId="0" fontId="1" fillId="0" borderId="0" xfId="5" applyFill="1" applyBorder="1"/>
    <xf numFmtId="2" fontId="1" fillId="0" borderId="0" xfId="5" applyNumberFormat="1" applyFill="1" applyBorder="1"/>
    <xf numFmtId="2" fontId="0" fillId="2" borderId="7" xfId="0" applyNumberFormat="1" applyFill="1" applyBorder="1"/>
    <xf numFmtId="168" fontId="0" fillId="0" borderId="6" xfId="0" applyNumberFormat="1" applyFill="1" applyBorder="1"/>
    <xf numFmtId="9" fontId="1" fillId="0" borderId="4" xfId="5" applyNumberFormat="1" applyFill="1" applyBorder="1"/>
    <xf numFmtId="9" fontId="1" fillId="0" borderId="4" xfId="1" applyFill="1" applyBorder="1"/>
    <xf numFmtId="0" fontId="1" fillId="0" borderId="13" xfId="5" applyFill="1" applyBorder="1"/>
    <xf numFmtId="0" fontId="1" fillId="0" borderId="14" xfId="5" applyFill="1" applyBorder="1"/>
    <xf numFmtId="2" fontId="1" fillId="0" borderId="14" xfId="5" applyNumberFormat="1" applyFill="1" applyBorder="1"/>
    <xf numFmtId="9" fontId="0" fillId="0" borderId="14" xfId="1" applyFont="1" applyFill="1" applyBorder="1"/>
    <xf numFmtId="2" fontId="1" fillId="0" borderId="5" xfId="5" applyNumberFormat="1" applyFill="1" applyBorder="1"/>
    <xf numFmtId="165" fontId="0" fillId="0" borderId="0" xfId="0" applyNumberFormat="1" applyFill="1" applyBorder="1"/>
    <xf numFmtId="168" fontId="0" fillId="2" borderId="11" xfId="0" applyNumberFormat="1" applyFill="1" applyBorder="1"/>
    <xf numFmtId="168" fontId="0" fillId="0" borderId="11" xfId="0" applyNumberFormat="1" applyBorder="1"/>
    <xf numFmtId="0" fontId="1" fillId="0" borderId="12" xfId="5" applyFill="1" applyBorder="1"/>
    <xf numFmtId="2" fontId="1" fillId="0" borderId="4" xfId="5" applyNumberFormat="1" applyFill="1" applyBorder="1"/>
    <xf numFmtId="9" fontId="1" fillId="0" borderId="14" xfId="1" applyFill="1" applyBorder="1"/>
    <xf numFmtId="9" fontId="1" fillId="0" borderId="5" xfId="1" applyFill="1" applyBorder="1"/>
    <xf numFmtId="168" fontId="0" fillId="0" borderId="7" xfId="0" applyNumberFormat="1" applyFill="1" applyBorder="1"/>
    <xf numFmtId="0" fontId="0" fillId="0" borderId="8" xfId="0" applyFill="1" applyBorder="1"/>
    <xf numFmtId="168" fontId="0" fillId="0" borderId="3" xfId="0" applyNumberFormat="1" applyBorder="1"/>
    <xf numFmtId="170" fontId="0" fillId="0" borderId="4" xfId="0" applyNumberFormat="1" applyBorder="1"/>
    <xf numFmtId="9" fontId="0" fillId="0" borderId="12" xfId="1" applyFont="1" applyFill="1" applyBorder="1"/>
    <xf numFmtId="9" fontId="0" fillId="0" borderId="12" xfId="1" applyFont="1" applyBorder="1"/>
    <xf numFmtId="168" fontId="0" fillId="0" borderId="4" xfId="0" applyNumberFormat="1" applyBorder="1"/>
    <xf numFmtId="169" fontId="0" fillId="0" borderId="4" xfId="0" applyNumberFormat="1" applyBorder="1"/>
    <xf numFmtId="169" fontId="0" fillId="0" borderId="5" xfId="0" applyNumberFormat="1" applyFill="1" applyBorder="1"/>
    <xf numFmtId="9" fontId="0" fillId="0" borderId="6" xfId="1" applyFont="1" applyBorder="1"/>
    <xf numFmtId="9" fontId="0" fillId="0" borderId="7" xfId="1" applyFont="1" applyFill="1" applyBorder="1"/>
    <xf numFmtId="0" fontId="0" fillId="0" borderId="10" xfId="4" applyFont="1" applyFill="1" applyBorder="1"/>
    <xf numFmtId="9" fontId="0" fillId="0" borderId="6" xfId="1" applyFont="1" applyFill="1" applyBorder="1"/>
    <xf numFmtId="2" fontId="0" fillId="0" borderId="11" xfId="0" applyNumberFormat="1" applyFill="1" applyBorder="1"/>
    <xf numFmtId="2" fontId="0" fillId="0" borderId="3" xfId="0" applyNumberFormat="1" applyFill="1" applyBorder="1"/>
    <xf numFmtId="168" fontId="0" fillId="0" borderId="8" xfId="0" applyNumberFormat="1" applyBorder="1"/>
    <xf numFmtId="0" fontId="0" fillId="0" borderId="8" xfId="0" applyBorder="1"/>
    <xf numFmtId="170" fontId="0" fillId="0" borderId="5" xfId="0" applyNumberFormat="1" applyBorder="1"/>
    <xf numFmtId="9" fontId="1" fillId="0" borderId="14" xfId="5" applyNumberFormat="1" applyFill="1" applyBorder="1"/>
    <xf numFmtId="9" fontId="1" fillId="0" borderId="5" xfId="5" applyNumberFormat="1" applyFill="1" applyBorder="1"/>
    <xf numFmtId="0" fontId="0" fillId="0" borderId="5" xfId="0" applyNumberFormat="1" applyFill="1" applyBorder="1"/>
    <xf numFmtId="169" fontId="0" fillId="0" borderId="5" xfId="0" applyNumberFormat="1" applyBorder="1"/>
    <xf numFmtId="0" fontId="0" fillId="3" borderId="17" xfId="0" applyFill="1" applyBorder="1" applyAlignment="1">
      <alignment horizontal="center"/>
    </xf>
    <xf numFmtId="2" fontId="0" fillId="2" borderId="6" xfId="0" applyNumberFormat="1" applyFill="1" applyBorder="1"/>
    <xf numFmtId="2" fontId="1" fillId="2" borderId="7" xfId="5" applyNumberFormat="1" applyFill="1" applyBorder="1"/>
    <xf numFmtId="9" fontId="1" fillId="0" borderId="12" xfId="5" applyNumberFormat="1" applyFill="1" applyBorder="1"/>
    <xf numFmtId="10" fontId="1" fillId="0" borderId="0" xfId="5" applyNumberFormat="1" applyFill="1" applyBorder="1"/>
    <xf numFmtId="171" fontId="1" fillId="0" borderId="4" xfId="5" applyNumberFormat="1" applyFill="1" applyBorder="1"/>
    <xf numFmtId="9" fontId="1" fillId="0" borderId="13" xfId="5" applyNumberFormat="1" applyFill="1" applyBorder="1"/>
    <xf numFmtId="10" fontId="1" fillId="0" borderId="14" xfId="5" applyNumberFormat="1" applyFill="1" applyBorder="1"/>
    <xf numFmtId="168" fontId="0" fillId="2" borderId="10" xfId="0" applyNumberFormat="1" applyFill="1" applyBorder="1"/>
    <xf numFmtId="168" fontId="0" fillId="2" borderId="12" xfId="0" applyNumberFormat="1" applyFill="1" applyBorder="1"/>
    <xf numFmtId="168" fontId="0" fillId="2" borderId="4" xfId="0" applyNumberFormat="1" applyFill="1" applyBorder="1"/>
    <xf numFmtId="168" fontId="1" fillId="0" borderId="0" xfId="5" applyNumberFormat="1" applyFill="1" applyBorder="1"/>
    <xf numFmtId="168" fontId="1" fillId="0" borderId="14" xfId="5" applyNumberFormat="1" applyFill="1" applyBorder="1"/>
    <xf numFmtId="0" fontId="0" fillId="0" borderId="11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4" fontId="0" fillId="0" borderId="4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2" fontId="0" fillId="0" borderId="0" xfId="0" applyNumberFormat="1" applyBorder="1"/>
    <xf numFmtId="2" fontId="0" fillId="0" borderId="4" xfId="0" applyNumberFormat="1" applyBorder="1"/>
    <xf numFmtId="166" fontId="0" fillId="0" borderId="14" xfId="0" applyNumberFormat="1" applyBorder="1"/>
    <xf numFmtId="166" fontId="0" fillId="0" borderId="5" xfId="0" applyNumberFormat="1" applyBorder="1"/>
    <xf numFmtId="0" fontId="0" fillId="3" borderId="2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1" fillId="0" borderId="10" xfId="5" applyFill="1" applyBorder="1"/>
    <xf numFmtId="0" fontId="1" fillId="0" borderId="11" xfId="5" applyFill="1" applyBorder="1"/>
    <xf numFmtId="2" fontId="1" fillId="0" borderId="11" xfId="5" applyNumberFormat="1" applyFill="1" applyBorder="1"/>
    <xf numFmtId="2" fontId="1" fillId="0" borderId="3" xfId="5" applyNumberFormat="1" applyFill="1" applyBorder="1"/>
    <xf numFmtId="0" fontId="1" fillId="0" borderId="15" xfId="5" applyFill="1" applyBorder="1"/>
    <xf numFmtId="0" fontId="1" fillId="0" borderId="16" xfId="5" applyFill="1" applyBorder="1"/>
    <xf numFmtId="2" fontId="1" fillId="0" borderId="16" xfId="5" applyNumberFormat="1" applyFill="1" applyBorder="1"/>
    <xf numFmtId="2" fontId="1" fillId="0" borderId="17" xfId="5" applyNumberFormat="1" applyFill="1" applyBorder="1"/>
    <xf numFmtId="171" fontId="1" fillId="0" borderId="0" xfId="5" applyNumberFormat="1" applyFill="1" applyBorder="1"/>
    <xf numFmtId="168" fontId="0" fillId="2" borderId="3" xfId="0" applyNumberFormat="1" applyFill="1" applyBorder="1"/>
    <xf numFmtId="171" fontId="1" fillId="0" borderId="14" xfId="5" applyNumberFormat="1" applyFill="1" applyBorder="1"/>
    <xf numFmtId="0" fontId="0" fillId="11" borderId="15" xfId="0" applyFill="1" applyBorder="1"/>
    <xf numFmtId="0" fontId="0" fillId="11" borderId="17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7" xfId="8" applyFont="1" applyFill="1" applyBorder="1"/>
    <xf numFmtId="168" fontId="0" fillId="0" borderId="5" xfId="0" applyNumberFormat="1" applyBorder="1"/>
    <xf numFmtId="10" fontId="1" fillId="0" borderId="5" xfId="5" applyNumberFormat="1" applyFill="1" applyBorder="1"/>
    <xf numFmtId="0" fontId="0" fillId="11" borderId="3" xfId="0" applyFill="1" applyBorder="1"/>
    <xf numFmtId="0" fontId="0" fillId="0" borderId="3" xfId="0" applyNumberFormat="1" applyBorder="1"/>
    <xf numFmtId="0" fontId="1" fillId="8" borderId="16" xfId="8" applyBorder="1"/>
    <xf numFmtId="0" fontId="1" fillId="8" borderId="15" xfId="8" applyBorder="1"/>
    <xf numFmtId="0" fontId="1" fillId="8" borderId="17" xfId="8" applyBorder="1"/>
    <xf numFmtId="0" fontId="0" fillId="3" borderId="17" xfId="0" applyFill="1" applyBorder="1"/>
    <xf numFmtId="9" fontId="0" fillId="0" borderId="4" xfId="1" applyFont="1" applyFill="1" applyBorder="1"/>
    <xf numFmtId="9" fontId="0" fillId="0" borderId="13" xfId="1" applyFont="1" applyFill="1" applyBorder="1"/>
    <xf numFmtId="9" fontId="0" fillId="0" borderId="5" xfId="1" applyFont="1" applyFill="1" applyBorder="1"/>
    <xf numFmtId="9" fontId="0" fillId="0" borderId="16" xfId="1" applyFont="1" applyBorder="1"/>
    <xf numFmtId="9" fontId="0" fillId="0" borderId="16" xfId="0" applyNumberFormat="1" applyBorder="1"/>
    <xf numFmtId="9" fontId="0" fillId="0" borderId="17" xfId="0" applyNumberFormat="1" applyBorder="1"/>
    <xf numFmtId="0" fontId="1" fillId="0" borderId="2" xfId="5" applyFill="1" applyBorder="1"/>
    <xf numFmtId="0" fontId="0" fillId="12" borderId="2" xfId="0" applyFill="1" applyBorder="1"/>
    <xf numFmtId="0" fontId="0" fillId="12" borderId="2" xfId="8" applyFont="1" applyFill="1" applyBorder="1"/>
    <xf numFmtId="9" fontId="1" fillId="0" borderId="12" xfId="1" applyFill="1" applyBorder="1"/>
    <xf numFmtId="0" fontId="0" fillId="4" borderId="2" xfId="2" applyFont="1" applyBorder="1" applyAlignment="1">
      <alignment horizontal="center"/>
    </xf>
    <xf numFmtId="0" fontId="0" fillId="4" borderId="15" xfId="2" applyFont="1" applyBorder="1" applyAlignment="1">
      <alignment horizontal="center"/>
    </xf>
    <xf numFmtId="0" fontId="0" fillId="4" borderId="17" xfId="2" applyFont="1" applyBorder="1" applyAlignment="1">
      <alignment horizontal="center"/>
    </xf>
  </cellXfs>
  <cellStyles count="9">
    <cellStyle name="20% - Accent1" xfId="3" builtinId="30"/>
    <cellStyle name="20% - Accent3" xfId="5" builtinId="38"/>
    <cellStyle name="40% - Accent1" xfId="8" builtinId="31"/>
    <cellStyle name="40% - Accent5" xfId="4" builtinId="47"/>
    <cellStyle name="Heading 2" xfId="6" builtinId="17"/>
    <cellStyle name="Heading 4" xfId="7" builtinId="19"/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Uncertainity!$AG$3</c:f>
              <c:strCache>
                <c:ptCount val="1"/>
                <c:pt idx="0">
                  <c:v>q/L (W/m)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604E-3"/>
                  <c:y val="-2.6441452882905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429514859029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56638321492E-3"/>
                  <c:y val="-1.51633223266446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-2.6736601473202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7.6430276860553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Uncertainity!$AG$4:$AG$20</c:f>
              <c:numCache>
                <c:formatCode>0%</c:formatCode>
                <c:ptCount val="17"/>
                <c:pt idx="0">
                  <c:v>0.19602018212046787</c:v>
                </c:pt>
                <c:pt idx="1">
                  <c:v>2.3458368540178767E-2</c:v>
                </c:pt>
                <c:pt idx="2">
                  <c:v>0</c:v>
                </c:pt>
                <c:pt idx="3">
                  <c:v>0.56390194229738688</c:v>
                </c:pt>
                <c:pt idx="4">
                  <c:v>7.9298710635569619E-2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0.12240477727357481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343168"/>
        <c:axId val="162349056"/>
      </c:barChart>
      <c:catAx>
        <c:axId val="1623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49056"/>
        <c:crosses val="autoZero"/>
        <c:auto val="1"/>
        <c:lblAlgn val="ctr"/>
        <c:lblOffset val="100"/>
        <c:noMultiLvlLbl val="0"/>
      </c:catAx>
      <c:valAx>
        <c:axId val="162349056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4316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Uncertainity!$AH$3</c:f>
              <c:strCache>
                <c:ptCount val="1"/>
                <c:pt idx="0">
                  <c:v>mdot_air (Kg/s)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604E-3"/>
                  <c:y val="-3.9344678689357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429514859029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29032258064516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61360768001E-3"/>
                  <c:y val="1.0643129286258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72346122717E-3"/>
                  <c:y val="5.52146304292608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1.8365760731521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-3.40421640843281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-9.79832359664719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-1.6411988823977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-2.71684023368046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Uncertainity!$AH$4:$AH$20</c:f>
              <c:numCache>
                <c:formatCode>0%</c:formatCode>
                <c:ptCount val="17"/>
                <c:pt idx="0">
                  <c:v>0.66218745031082471</c:v>
                </c:pt>
                <c:pt idx="1">
                  <c:v>5.0905188614031753E-2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9.1861010064507462E-2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5.7386221774158197E-2</c:v>
                </c:pt>
                <c:pt idx="13">
                  <c:v>7.238944458716777E-2</c:v>
                </c:pt>
                <c:pt idx="14">
                  <c:v>1.2428452818040414E-2</c:v>
                </c:pt>
                <c:pt idx="15">
                  <c:v>0</c:v>
                </c:pt>
                <c:pt idx="16">
                  <c:v>4.9409743650348878E-2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390016"/>
        <c:axId val="162391552"/>
      </c:barChart>
      <c:catAx>
        <c:axId val="162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91552"/>
        <c:crosses val="autoZero"/>
        <c:auto val="1"/>
        <c:lblAlgn val="ctr"/>
        <c:lblOffset val="100"/>
        <c:noMultiLvlLbl val="0"/>
      </c:catAx>
      <c:valAx>
        <c:axId val="162391552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9001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Uncertainity!$AF$3</c:f>
              <c:strCache>
                <c:ptCount val="1"/>
                <c:pt idx="0">
                  <c:v>(UA)water (W/K)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604E-3"/>
                  <c:y val="-3.9344678689357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429514859029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29032258064516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56638321492E-3"/>
                  <c:y val="1.0643129286258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5.52146304292608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1.8365760731521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-2.77297434594869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8.9248450491211881E-17"/>
                  <c:y val="-2.43769367538735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4.6675133350266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3.1049022098044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9.3944627889255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5.08966217932435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Uncertainity!$AF$4:$AF$20</c:f>
              <c:numCache>
                <c:formatCode>0%</c:formatCode>
                <c:ptCount val="17"/>
                <c:pt idx="0">
                  <c:v>0.54938492385647542</c:v>
                </c:pt>
                <c:pt idx="1">
                  <c:v>6.5746668913525097E-2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0.34306334436922203</c:v>
                </c:pt>
                <c:pt idx="9">
                  <c:v>1.4526293374748901E-2</c:v>
                </c:pt>
                <c:pt idx="10">
                  <c:v>0</c:v>
                </c:pt>
                <c:pt idx="11">
                  <c:v>1.0426508765108228E-2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240000"/>
        <c:axId val="162241536"/>
      </c:barChart>
      <c:catAx>
        <c:axId val="162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241536"/>
        <c:crosses val="autoZero"/>
        <c:auto val="1"/>
        <c:lblAlgn val="ctr"/>
        <c:lblOffset val="100"/>
        <c:noMultiLvlLbl val="0"/>
      </c:catAx>
      <c:valAx>
        <c:axId val="162241536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24000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Uncertainity!$AB$3</c:f>
              <c:strCache>
                <c:ptCount val="1"/>
                <c:pt idx="0">
                  <c:v>Re_water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492E-3"/>
                  <c:y val="1.22682245364490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4.8285496570993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31211262280297E-17"/>
                  <c:y val="-1.15803911607822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56638321492E-3"/>
                  <c:y val="1.0643129286258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5.52146304292608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6.31932943865887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5.4625349250698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4.5283210566421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2.43769367538735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-1.78409956819913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3.1049022098044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1.5846075692151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"/>
                  <c:y val="1.29032258064516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5.08966217932435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Uncertainity!$AB$4:$AB$20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0.31152647975077835</c:v>
                </c:pt>
                <c:pt idx="3">
                  <c:v>0</c:v>
                </c:pt>
                <c:pt idx="4">
                  <c:v>0</c:v>
                </c:pt>
                <c:pt idx="5">
                  <c:v>0.3769470404984433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0.31152647975077835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270208"/>
        <c:axId val="162296576"/>
      </c:barChart>
      <c:catAx>
        <c:axId val="1622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296576"/>
        <c:crosses val="autoZero"/>
        <c:auto val="1"/>
        <c:lblAlgn val="ctr"/>
        <c:lblOffset val="100"/>
        <c:noMultiLvlLbl val="0"/>
      </c:catAx>
      <c:valAx>
        <c:axId val="162296576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27020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Uncertainity!$AC$3</c:f>
              <c:strCache>
                <c:ptCount val="1"/>
                <c:pt idx="0">
                  <c:v>Nu_water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492E-3"/>
                  <c:y val="-7.08661417322834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526289052578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31211262280297E-17"/>
                  <c:y val="-5.12877825755651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56638321492E-3"/>
                  <c:y val="-2.2600965201930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-9.301498602997205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340767680980317E-3"/>
                  <c:y val="-3.738684277368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5.4625349250698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4.5283210566421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4340767680980317E-3"/>
                  <c:y val="-2.4965201930403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5.66350012700024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-1.78409956819913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9.55651511303022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9.3944627889255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2.4340767680980317E-3"/>
                  <c:y val="-3.29758699517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-5.2974853949707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Uncertainity!$AC$4:$AC$20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0.21720810202641161</c:v>
                </c:pt>
                <c:pt idx="3">
                  <c:v>0</c:v>
                </c:pt>
                <c:pt idx="4">
                  <c:v>0</c:v>
                </c:pt>
                <c:pt idx="5">
                  <c:v>0.25299056035925027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6.0859650693577114E-2</c:v>
                </c:pt>
                <c:pt idx="11">
                  <c:v>0.21720810202641161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1.6120600334894437E-2</c:v>
                </c:pt>
                <c:pt idx="16">
                  <c:v>0.23561298455945495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329344"/>
        <c:axId val="162330880"/>
      </c:barChart>
      <c:catAx>
        <c:axId val="1623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30880"/>
        <c:crosses val="autoZero"/>
        <c:auto val="1"/>
        <c:lblAlgn val="ctr"/>
        <c:lblOffset val="100"/>
        <c:noMultiLvlLbl val="0"/>
      </c:catAx>
      <c:valAx>
        <c:axId val="162330880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2934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Uncertainity!$AD$3</c:f>
              <c:strCache>
                <c:ptCount val="1"/>
                <c:pt idx="0">
                  <c:v>Overall eff (fin)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604E-3"/>
                  <c:y val="-3.9344678689357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429514859029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639756638321492E-3"/>
                  <c:y val="4.19151638303276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-9.301498602997205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2.19431038862077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-1.8582169164338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4340767680980317E-3"/>
                  <c:y val="-1.8365760731521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4.5283210566421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165958803921508E-7"/>
                  <c:y val="7.88112776225552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-1.78409956819913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3.1049022098044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9.3944627889255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5.08966217932435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Uncertainity!$AD$4:$AD$20</c:f>
              <c:numCache>
                <c:formatCode>0%</c:formatCode>
                <c:ptCount val="17"/>
                <c:pt idx="0">
                  <c:v>0.72995318146453858</c:v>
                </c:pt>
                <c:pt idx="1">
                  <c:v>0.19030386398044377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2.2181305707528232E-2</c:v>
                </c:pt>
                <c:pt idx="7">
                  <c:v>2.6627711305960169E-2</c:v>
                </c:pt>
                <c:pt idx="8">
                  <c:v>3.0933937541529236E-2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2713984"/>
        <c:axId val="162715520"/>
      </c:barChart>
      <c:catAx>
        <c:axId val="1627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715520"/>
        <c:crosses val="autoZero"/>
        <c:auto val="1"/>
        <c:lblAlgn val="ctr"/>
        <c:lblOffset val="100"/>
        <c:noMultiLvlLbl val="0"/>
      </c:catAx>
      <c:valAx>
        <c:axId val="162715520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271398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Uncertainity!$AE$3</c:f>
              <c:strCache>
                <c:ptCount val="1"/>
                <c:pt idx="0">
                  <c:v>Th.Resistance ,(K/W)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639756638321492E-3"/>
                  <c:y val="-7.08661417322834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429514859029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31211262280297E-17"/>
                  <c:y val="-2.44836169672339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8980524319301808E-3"/>
                  <c:y val="4.19151638303276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340767680980317E-3"/>
                  <c:y val="-9.301498602997205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-4.1322834645669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9.890779781559562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4.5283210566421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165958803921508E-7"/>
                  <c:y val="-5.02209804419608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340767680980317E-3"/>
                  <c:y val="4.6675133350266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8681535361960633E-3"/>
                  <c:y val="3.1049022098044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9.3944627889255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4340767680980317E-3"/>
                  <c:y val="-7.81356362712725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Uncertainity!$AE$4:$AE$20</c:f>
              <c:numCache>
                <c:formatCode>0%</c:formatCode>
                <c:ptCount val="17"/>
                <c:pt idx="0">
                  <c:v>0</c:v>
                </c:pt>
                <c:pt idx="1">
                  <c:v>0.48892566710111934</c:v>
                </c:pt>
                <c:pt idx="2">
                  <c:v>0.48892566710112073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2.2148665797759894E-2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4652928"/>
        <c:axId val="164654464"/>
      </c:barChart>
      <c:catAx>
        <c:axId val="1646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4654464"/>
        <c:crosses val="autoZero"/>
        <c:auto val="1"/>
        <c:lblAlgn val="ctr"/>
        <c:lblOffset val="100"/>
        <c:noMultiLvlLbl val="0"/>
      </c:catAx>
      <c:valAx>
        <c:axId val="164654464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465292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17</xdr:row>
      <xdr:rowOff>95250</xdr:rowOff>
    </xdr:from>
    <xdr:to>
      <xdr:col>7</xdr:col>
      <xdr:colOff>511736</xdr:colOff>
      <xdr:row>23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83"/>
        <a:stretch/>
      </xdr:blipFill>
      <xdr:spPr bwMode="auto">
        <a:xfrm>
          <a:off x="2572310" y="2616574"/>
          <a:ext cx="3646955" cy="11525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41462</xdr:colOff>
      <xdr:row>2</xdr:row>
      <xdr:rowOff>23378</xdr:rowOff>
    </xdr:from>
    <xdr:to>
      <xdr:col>12</xdr:col>
      <xdr:colOff>609039</xdr:colOff>
      <xdr:row>10</xdr:row>
      <xdr:rowOff>180416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9" r="2829"/>
        <a:stretch/>
      </xdr:blipFill>
      <xdr:spPr bwMode="auto">
        <a:xfrm>
          <a:off x="7270937" y="452003"/>
          <a:ext cx="3578037" cy="168103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38099</xdr:colOff>
      <xdr:row>28</xdr:row>
      <xdr:rowOff>95250</xdr:rowOff>
    </xdr:from>
    <xdr:to>
      <xdr:col>5</xdr:col>
      <xdr:colOff>366058</xdr:colOff>
      <xdr:row>31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4" y="3771900"/>
          <a:ext cx="2085975" cy="5524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37</xdr:row>
      <xdr:rowOff>104775</xdr:rowOff>
    </xdr:from>
    <xdr:to>
      <xdr:col>3</xdr:col>
      <xdr:colOff>129428</xdr:colOff>
      <xdr:row>39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457950"/>
          <a:ext cx="1800225" cy="3238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194982</xdr:colOff>
      <xdr:row>35</xdr:row>
      <xdr:rowOff>66674</xdr:rowOff>
    </xdr:from>
    <xdr:to>
      <xdr:col>7</xdr:col>
      <xdr:colOff>614082</xdr:colOff>
      <xdr:row>37</xdr:row>
      <xdr:rowOff>129987</xdr:rowOff>
    </xdr:to>
    <xdr:sp macro="" textlink="">
      <xdr:nvSpPr>
        <xdr:cNvPr id="6" name="Bent-Up Arrow 5"/>
        <xdr:cNvSpPr/>
      </xdr:nvSpPr>
      <xdr:spPr>
        <a:xfrm>
          <a:off x="5471832" y="6038849"/>
          <a:ext cx="1143000" cy="444313"/>
        </a:xfrm>
        <a:prstGeom prst="bentUpArrow">
          <a:avLst>
            <a:gd name="adj1" fmla="val 14465"/>
            <a:gd name="adj2" fmla="val 18854"/>
            <a:gd name="adj3" fmla="val 250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307601</xdr:colOff>
      <xdr:row>38</xdr:row>
      <xdr:rowOff>19050</xdr:rowOff>
    </xdr:from>
    <xdr:to>
      <xdr:col>3</xdr:col>
      <xdr:colOff>612401</xdr:colOff>
      <xdr:row>38</xdr:row>
      <xdr:rowOff>142875</xdr:rowOff>
    </xdr:to>
    <xdr:sp macro="" textlink="">
      <xdr:nvSpPr>
        <xdr:cNvPr id="7" name="Striped Right Arrow 6"/>
        <xdr:cNvSpPr/>
      </xdr:nvSpPr>
      <xdr:spPr>
        <a:xfrm>
          <a:off x="2481542" y="6552079"/>
          <a:ext cx="304800" cy="123825"/>
        </a:xfrm>
        <a:prstGeom prst="striped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495300</xdr:colOff>
      <xdr:row>29</xdr:row>
      <xdr:rowOff>66675</xdr:rowOff>
    </xdr:from>
    <xdr:to>
      <xdr:col>10</xdr:col>
      <xdr:colOff>495300</xdr:colOff>
      <xdr:row>40</xdr:row>
      <xdr:rowOff>104776</xdr:rowOff>
    </xdr:to>
    <xdr:cxnSp macro="">
      <xdr:nvCxnSpPr>
        <xdr:cNvPr id="8" name="Straight Arrow Connector 7"/>
        <xdr:cNvCxnSpPr/>
      </xdr:nvCxnSpPr>
      <xdr:spPr>
        <a:xfrm flipV="1">
          <a:off x="8943975" y="4876800"/>
          <a:ext cx="0" cy="213360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40</xdr:row>
      <xdr:rowOff>104775</xdr:rowOff>
    </xdr:from>
    <xdr:to>
      <xdr:col>10</xdr:col>
      <xdr:colOff>495300</xdr:colOff>
      <xdr:row>40</xdr:row>
      <xdr:rowOff>114300</xdr:rowOff>
    </xdr:to>
    <xdr:cxnSp macro="">
      <xdr:nvCxnSpPr>
        <xdr:cNvPr id="9" name="Straight Connector 8"/>
        <xdr:cNvCxnSpPr/>
      </xdr:nvCxnSpPr>
      <xdr:spPr>
        <a:xfrm flipV="1">
          <a:off x="5391150" y="6076950"/>
          <a:ext cx="3552825" cy="9525"/>
        </a:xfrm>
        <a:prstGeom prst="line">
          <a:avLst/>
        </a:prstGeom>
        <a:ln>
          <a:solidFill>
            <a:sysClr val="windowText" lastClr="000000"/>
          </a:solidFill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27</xdr:row>
      <xdr:rowOff>95250</xdr:rowOff>
    </xdr:from>
    <xdr:to>
      <xdr:col>7</xdr:col>
      <xdr:colOff>142875</xdr:colOff>
      <xdr:row>33</xdr:row>
      <xdr:rowOff>114300</xdr:rowOff>
    </xdr:to>
    <xdr:cxnSp macro="">
      <xdr:nvCxnSpPr>
        <xdr:cNvPr id="11" name="Straight Connector 10"/>
        <xdr:cNvCxnSpPr/>
      </xdr:nvCxnSpPr>
      <xdr:spPr>
        <a:xfrm flipV="1">
          <a:off x="5343525" y="3581400"/>
          <a:ext cx="800100" cy="1171575"/>
        </a:xfrm>
        <a:prstGeom prst="line">
          <a:avLst/>
        </a:prstGeom>
        <a:ln>
          <a:solidFill>
            <a:sysClr val="windowText" lastClr="000000"/>
          </a:solidFill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27</xdr:row>
      <xdr:rowOff>95250</xdr:rowOff>
    </xdr:from>
    <xdr:to>
      <xdr:col>9</xdr:col>
      <xdr:colOff>542925</xdr:colOff>
      <xdr:row>27</xdr:row>
      <xdr:rowOff>95250</xdr:rowOff>
    </xdr:to>
    <xdr:cxnSp macro="">
      <xdr:nvCxnSpPr>
        <xdr:cNvPr id="12" name="Straight Arrow Connector 11"/>
        <xdr:cNvCxnSpPr/>
      </xdr:nvCxnSpPr>
      <xdr:spPr>
        <a:xfrm>
          <a:off x="6143625" y="3581400"/>
          <a:ext cx="223837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27</xdr:row>
      <xdr:rowOff>33618</xdr:rowOff>
    </xdr:from>
    <xdr:to>
      <xdr:col>12</xdr:col>
      <xdr:colOff>495300</xdr:colOff>
      <xdr:row>27</xdr:row>
      <xdr:rowOff>157443</xdr:rowOff>
    </xdr:to>
    <xdr:sp macro="" textlink="">
      <xdr:nvSpPr>
        <xdr:cNvPr id="13" name="Striped Right Arrow 12"/>
        <xdr:cNvSpPr/>
      </xdr:nvSpPr>
      <xdr:spPr>
        <a:xfrm>
          <a:off x="10439400" y="4472268"/>
          <a:ext cx="304800" cy="123825"/>
        </a:xfrm>
        <a:prstGeom prst="striped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657225</xdr:colOff>
      <xdr:row>25</xdr:row>
      <xdr:rowOff>95250</xdr:rowOff>
    </xdr:from>
    <xdr:to>
      <xdr:col>10</xdr:col>
      <xdr:colOff>666750</xdr:colOff>
      <xdr:row>26</xdr:row>
      <xdr:rowOff>114300</xdr:rowOff>
    </xdr:to>
    <xdr:cxnSp macro="">
      <xdr:nvCxnSpPr>
        <xdr:cNvPr id="16" name="Straight Arrow Connector 15"/>
        <xdr:cNvCxnSpPr/>
      </xdr:nvCxnSpPr>
      <xdr:spPr>
        <a:xfrm>
          <a:off x="9363075" y="4152900"/>
          <a:ext cx="9525" cy="2095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25</xdr:row>
      <xdr:rowOff>114300</xdr:rowOff>
    </xdr:from>
    <xdr:to>
      <xdr:col>10</xdr:col>
      <xdr:colOff>657225</xdr:colOff>
      <xdr:row>25</xdr:row>
      <xdr:rowOff>114300</xdr:rowOff>
    </xdr:to>
    <xdr:cxnSp macro="">
      <xdr:nvCxnSpPr>
        <xdr:cNvPr id="18" name="Straight Connector 17"/>
        <xdr:cNvCxnSpPr/>
      </xdr:nvCxnSpPr>
      <xdr:spPr>
        <a:xfrm>
          <a:off x="5534025" y="4171950"/>
          <a:ext cx="3829050" cy="0"/>
        </a:xfrm>
        <a:prstGeom prst="line">
          <a:avLst/>
        </a:prstGeom>
        <a:ln>
          <a:solidFill>
            <a:sysClr val="windowText" lastClr="000000"/>
          </a:solidFill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23</xdr:row>
      <xdr:rowOff>85725</xdr:rowOff>
    </xdr:from>
    <xdr:to>
      <xdr:col>14</xdr:col>
      <xdr:colOff>542925</xdr:colOff>
      <xdr:row>25</xdr:row>
      <xdr:rowOff>57150</xdr:rowOff>
    </xdr:to>
    <xdr:sp macro="" textlink="">
      <xdr:nvSpPr>
        <xdr:cNvPr id="10" name="Down Arrow 9"/>
        <xdr:cNvSpPr/>
      </xdr:nvSpPr>
      <xdr:spPr>
        <a:xfrm>
          <a:off x="12087225" y="4514850"/>
          <a:ext cx="142875" cy="361950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264583</xdr:colOff>
      <xdr:row>68</xdr:row>
      <xdr:rowOff>10584</xdr:rowOff>
    </xdr:from>
    <xdr:to>
      <xdr:col>29</xdr:col>
      <xdr:colOff>550334</xdr:colOff>
      <xdr:row>78</xdr:row>
      <xdr:rowOff>74084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709084</xdr:colOff>
      <xdr:row>68</xdr:row>
      <xdr:rowOff>0</xdr:rowOff>
    </xdr:from>
    <xdr:to>
      <xdr:col>37</xdr:col>
      <xdr:colOff>10584</xdr:colOff>
      <xdr:row>78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867832</xdr:colOff>
      <xdr:row>54</xdr:row>
      <xdr:rowOff>179917</xdr:rowOff>
    </xdr:from>
    <xdr:to>
      <xdr:col>32</xdr:col>
      <xdr:colOff>560916</xdr:colOff>
      <xdr:row>65</xdr:row>
      <xdr:rowOff>52917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296333</xdr:colOff>
      <xdr:row>27</xdr:row>
      <xdr:rowOff>137583</xdr:rowOff>
    </xdr:from>
    <xdr:to>
      <xdr:col>29</xdr:col>
      <xdr:colOff>582083</xdr:colOff>
      <xdr:row>38</xdr:row>
      <xdr:rowOff>10583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867832</xdr:colOff>
      <xdr:row>27</xdr:row>
      <xdr:rowOff>148167</xdr:rowOff>
    </xdr:from>
    <xdr:to>
      <xdr:col>37</xdr:col>
      <xdr:colOff>169333</xdr:colOff>
      <xdr:row>38</xdr:row>
      <xdr:rowOff>21167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328084</xdr:colOff>
      <xdr:row>40</xdr:row>
      <xdr:rowOff>31750</xdr:rowOff>
    </xdr:from>
    <xdr:to>
      <xdr:col>29</xdr:col>
      <xdr:colOff>613834</xdr:colOff>
      <xdr:row>50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889000</xdr:colOff>
      <xdr:row>40</xdr:row>
      <xdr:rowOff>31751</xdr:rowOff>
    </xdr:from>
    <xdr:to>
      <xdr:col>37</xdr:col>
      <xdr:colOff>190501</xdr:colOff>
      <xdr:row>50</xdr:row>
      <xdr:rowOff>95251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90" zoomScaleNormal="90" workbookViewId="0">
      <selection activeCell="N32" sqref="N32"/>
    </sheetView>
  </sheetViews>
  <sheetFormatPr defaultRowHeight="15" x14ac:dyDescent="0.25"/>
  <cols>
    <col min="1" max="1" width="3.85546875" customWidth="1"/>
    <col min="2" max="2" width="18" customWidth="1"/>
    <col min="3" max="3" width="10.7109375" customWidth="1"/>
    <col min="4" max="4" width="10.140625" customWidth="1"/>
    <col min="5" max="5" width="26.5703125" customWidth="1"/>
    <col min="6" max="6" width="10.85546875" customWidth="1"/>
    <col min="7" max="7" width="10" customWidth="1"/>
    <col min="8" max="8" width="17.5703125" customWidth="1"/>
    <col min="10" max="10" width="12.85546875" customWidth="1"/>
    <col min="11" max="11" width="12.140625" customWidth="1"/>
    <col min="12" max="12" width="11" customWidth="1"/>
    <col min="13" max="13" width="10.85546875" customWidth="1"/>
    <col min="14" max="14" width="10.7109375" customWidth="1"/>
    <col min="15" max="15" width="13.7109375" customWidth="1"/>
  </cols>
  <sheetData>
    <row r="1" spans="1:16" ht="18" thickBot="1" x14ac:dyDescent="0.35">
      <c r="A1" s="32" t="s">
        <v>40</v>
      </c>
      <c r="B1" s="32"/>
      <c r="C1" s="32"/>
      <c r="D1" s="32"/>
    </row>
    <row r="2" spans="1:16" ht="15.75" thickTop="1" x14ac:dyDescent="0.25"/>
    <row r="3" spans="1:16" x14ac:dyDescent="0.25">
      <c r="B3" s="74" t="s">
        <v>41</v>
      </c>
      <c r="E3" s="74" t="s">
        <v>42</v>
      </c>
      <c r="F3" s="78" t="s">
        <v>68</v>
      </c>
      <c r="G3" s="24"/>
      <c r="H3" s="74" t="s">
        <v>43</v>
      </c>
    </row>
    <row r="4" spans="1:16" x14ac:dyDescent="0.25">
      <c r="A4" t="s">
        <v>39</v>
      </c>
      <c r="B4" t="s">
        <v>20</v>
      </c>
      <c r="C4">
        <f>24*10^-3</f>
        <v>2.4E-2</v>
      </c>
      <c r="E4" t="s">
        <v>44</v>
      </c>
      <c r="F4">
        <v>0.61299999999999999</v>
      </c>
    </row>
    <row r="5" spans="1:16" x14ac:dyDescent="0.25">
      <c r="A5" t="s">
        <v>37</v>
      </c>
      <c r="B5" t="s">
        <v>18</v>
      </c>
      <c r="C5">
        <f>30*10^-3</f>
        <v>0.03</v>
      </c>
      <c r="E5" t="s">
        <v>45</v>
      </c>
      <c r="F5">
        <v>5.83</v>
      </c>
    </row>
    <row r="6" spans="1:16" x14ac:dyDescent="0.25">
      <c r="A6" t="s">
        <v>38</v>
      </c>
      <c r="B6" t="s">
        <v>19</v>
      </c>
      <c r="C6">
        <f>60*10^-3</f>
        <v>0.06</v>
      </c>
      <c r="E6" t="s">
        <v>46</v>
      </c>
      <c r="F6">
        <f>855*10^-6</f>
        <v>8.5499999999999997E-4</v>
      </c>
    </row>
    <row r="7" spans="1:16" x14ac:dyDescent="0.25">
      <c r="A7" t="s">
        <v>69</v>
      </c>
      <c r="B7" t="s">
        <v>47</v>
      </c>
      <c r="C7">
        <f>3*10^-3</f>
        <v>3.0000000000000001E-3</v>
      </c>
      <c r="E7" t="s">
        <v>65</v>
      </c>
      <c r="F7">
        <v>4.18</v>
      </c>
    </row>
    <row r="8" spans="1:16" x14ac:dyDescent="0.25">
      <c r="A8" t="s">
        <v>70</v>
      </c>
      <c r="B8" t="s">
        <v>77</v>
      </c>
      <c r="C8">
        <v>50</v>
      </c>
    </row>
    <row r="9" spans="1:16" x14ac:dyDescent="0.25">
      <c r="A9" t="s">
        <v>71</v>
      </c>
      <c r="B9" t="s">
        <v>49</v>
      </c>
      <c r="C9">
        <v>300</v>
      </c>
      <c r="F9" s="24" t="s">
        <v>63</v>
      </c>
      <c r="G9" s="24"/>
    </row>
    <row r="10" spans="1:16" x14ac:dyDescent="0.25">
      <c r="A10" t="s">
        <v>72</v>
      </c>
      <c r="B10" t="s">
        <v>64</v>
      </c>
      <c r="C10">
        <v>0.161</v>
      </c>
      <c r="E10" t="s">
        <v>66</v>
      </c>
      <c r="F10">
        <v>1.099</v>
      </c>
    </row>
    <row r="11" spans="1:16" x14ac:dyDescent="0.25">
      <c r="A11" t="s">
        <v>73</v>
      </c>
      <c r="B11" t="s">
        <v>50</v>
      </c>
      <c r="C11">
        <v>800</v>
      </c>
      <c r="E11" t="s">
        <v>46</v>
      </c>
      <c r="F11">
        <f>369.8*10^-7</f>
        <v>3.6980000000000002E-5</v>
      </c>
    </row>
    <row r="12" spans="1:16" x14ac:dyDescent="0.25">
      <c r="A12" t="s">
        <v>74</v>
      </c>
      <c r="B12" t="s">
        <v>51</v>
      </c>
      <c r="C12">
        <v>100</v>
      </c>
      <c r="E12" s="25" t="s">
        <v>90</v>
      </c>
      <c r="F12" s="20">
        <f>57.3*10^-3</f>
        <v>5.7299999999999997E-2</v>
      </c>
    </row>
    <row r="13" spans="1:16" x14ac:dyDescent="0.25">
      <c r="A13" t="s">
        <v>75</v>
      </c>
      <c r="B13" t="s">
        <v>52</v>
      </c>
      <c r="C13">
        <f>(C6-C5)/2</f>
        <v>1.4999999999999999E-2</v>
      </c>
      <c r="E13" s="25" t="s">
        <v>91</v>
      </c>
      <c r="F13" s="20">
        <v>0.70899999999999996</v>
      </c>
    </row>
    <row r="14" spans="1:16" x14ac:dyDescent="0.25">
      <c r="A14" t="s">
        <v>76</v>
      </c>
      <c r="B14" t="s">
        <v>53</v>
      </c>
      <c r="C14">
        <v>8</v>
      </c>
    </row>
    <row r="15" spans="1:16" x14ac:dyDescent="0.25">
      <c r="N15" s="178" t="s">
        <v>105</v>
      </c>
      <c r="O15" s="179"/>
      <c r="P15" s="185"/>
    </row>
    <row r="16" spans="1:16" x14ac:dyDescent="0.25">
      <c r="B16" s="74" t="s">
        <v>54</v>
      </c>
      <c r="N16" s="163" t="s">
        <v>107</v>
      </c>
      <c r="O16" s="190"/>
      <c r="P16" s="186"/>
    </row>
    <row r="17" spans="2:16" x14ac:dyDescent="0.25">
      <c r="B17" t="s">
        <v>55</v>
      </c>
      <c r="C17">
        <v>1</v>
      </c>
      <c r="E17" s="74" t="s">
        <v>48</v>
      </c>
      <c r="N17" s="188" t="s">
        <v>101</v>
      </c>
      <c r="O17" s="187"/>
      <c r="P17" s="189">
        <v>4.8787037836172061E-2</v>
      </c>
    </row>
    <row r="18" spans="2:16" x14ac:dyDescent="0.25">
      <c r="N18" s="36" t="s">
        <v>104</v>
      </c>
      <c r="O18" s="20"/>
      <c r="P18" s="155">
        <f>C12</f>
        <v>100</v>
      </c>
    </row>
    <row r="19" spans="2:16" x14ac:dyDescent="0.25">
      <c r="N19" s="36" t="s">
        <v>90</v>
      </c>
      <c r="O19" s="20"/>
      <c r="P19" s="156">
        <f>F12</f>
        <v>5.7299999999999997E-2</v>
      </c>
    </row>
    <row r="20" spans="2:16" x14ac:dyDescent="0.25">
      <c r="N20" s="37" t="s">
        <v>99</v>
      </c>
      <c r="O20" s="20"/>
      <c r="P20" s="158">
        <f>C6-C5</f>
        <v>0.03</v>
      </c>
    </row>
    <row r="21" spans="2:16" x14ac:dyDescent="0.25">
      <c r="N21" s="37" t="s">
        <v>100</v>
      </c>
      <c r="O21" s="20"/>
      <c r="P21" s="160">
        <f>(4*P17)/(3.14*(C6+C5)*F11)</f>
        <v>18673.485002383437</v>
      </c>
    </row>
    <row r="22" spans="2:16" x14ac:dyDescent="0.25">
      <c r="N22" s="37" t="s">
        <v>102</v>
      </c>
      <c r="O22" s="20"/>
      <c r="P22" s="155">
        <f>((P19/P20)*0.023*(P21^0.8)*(F13^0.4))</f>
        <v>99.999999790937082</v>
      </c>
    </row>
    <row r="23" spans="2:16" x14ac:dyDescent="0.25">
      <c r="N23" s="47" t="s">
        <v>103</v>
      </c>
      <c r="O23" s="48"/>
      <c r="P23" s="162">
        <f>P18-P22</f>
        <v>2.090629180884207E-7</v>
      </c>
    </row>
    <row r="25" spans="2:16" ht="15.75" x14ac:dyDescent="0.25">
      <c r="K25" s="20"/>
      <c r="L25" s="20"/>
      <c r="M25" s="75" t="s">
        <v>67</v>
      </c>
    </row>
    <row r="26" spans="2:16" x14ac:dyDescent="0.25">
      <c r="E26" s="1" t="s">
        <v>23</v>
      </c>
      <c r="F26" s="1">
        <f>(LN(C5/C4))/(2*3.14*C8*C17)</f>
        <v>7.1064825259302476E-4</v>
      </c>
      <c r="M26" s="20"/>
    </row>
    <row r="27" spans="2:16" x14ac:dyDescent="0.25">
      <c r="M27" s="20"/>
      <c r="N27" s="69" t="s">
        <v>39</v>
      </c>
      <c r="O27" s="71" t="s">
        <v>109</v>
      </c>
      <c r="P27" s="72">
        <f>P17</f>
        <v>4.8787037836172061E-2</v>
      </c>
    </row>
    <row r="28" spans="2:16" x14ac:dyDescent="0.25">
      <c r="E28" t="s">
        <v>24</v>
      </c>
      <c r="F28">
        <f>(4*C10)/(3.14*C4*F6)</f>
        <v>9994.9094250133458</v>
      </c>
      <c r="G28" t="s">
        <v>58</v>
      </c>
      <c r="K28" s="85" t="s">
        <v>56</v>
      </c>
      <c r="L28" s="72">
        <f>F26+F34+F41</f>
        <v>4.238405001828098E-2</v>
      </c>
      <c r="M28" s="20"/>
      <c r="N28" s="37" t="s">
        <v>37</v>
      </c>
      <c r="O28" s="70" t="s">
        <v>57</v>
      </c>
      <c r="P28" s="73">
        <f>(1/L28)</f>
        <v>23.593781140987765</v>
      </c>
    </row>
    <row r="29" spans="2:16" x14ac:dyDescent="0.25">
      <c r="K29" s="86"/>
      <c r="L29" s="84"/>
      <c r="M29" s="20"/>
      <c r="N29" s="47" t="s">
        <v>38</v>
      </c>
      <c r="O29" s="83" t="s">
        <v>59</v>
      </c>
      <c r="P29" s="84">
        <f>P28*(C11-C9)</f>
        <v>11796.890570493882</v>
      </c>
    </row>
    <row r="30" spans="2:16" x14ac:dyDescent="0.25">
      <c r="K30" s="20"/>
      <c r="L30" s="20"/>
      <c r="M30" s="20"/>
      <c r="N30" s="20"/>
    </row>
    <row r="31" spans="2:16" x14ac:dyDescent="0.25">
      <c r="H31" s="82" t="s">
        <v>60</v>
      </c>
      <c r="I31" s="64"/>
    </row>
    <row r="32" spans="2:16" x14ac:dyDescent="0.25">
      <c r="H32" s="65"/>
      <c r="I32" s="66"/>
    </row>
    <row r="33" spans="3:9" x14ac:dyDescent="0.25">
      <c r="E33" t="s">
        <v>61</v>
      </c>
      <c r="F33">
        <f>(F4/C4)*(0.023*F28^0.8*F5^0.4)</f>
        <v>1883.942228845191</v>
      </c>
      <c r="H33" s="65" t="s">
        <v>33</v>
      </c>
      <c r="I33" s="66">
        <f>((2*C12)/(C8*C7))^(1/2)</f>
        <v>36.514837167011073</v>
      </c>
    </row>
    <row r="34" spans="3:9" x14ac:dyDescent="0.25">
      <c r="E34" s="1" t="s">
        <v>25</v>
      </c>
      <c r="F34" s="1">
        <f>(F33*3.14*C4*C17)^-1</f>
        <v>7.0435488215322625E-3</v>
      </c>
      <c r="H34" s="65" t="s">
        <v>34</v>
      </c>
      <c r="I34" s="66">
        <f>I33*C13</f>
        <v>0.54772255750516607</v>
      </c>
    </row>
    <row r="35" spans="3:9" x14ac:dyDescent="0.25">
      <c r="H35" s="67" t="s">
        <v>35</v>
      </c>
      <c r="I35" s="68">
        <f>TANH(I34)</f>
        <v>0.498811369722302</v>
      </c>
    </row>
    <row r="36" spans="3:9" x14ac:dyDescent="0.25">
      <c r="C36" t="s">
        <v>62</v>
      </c>
      <c r="E36" t="s">
        <v>29</v>
      </c>
      <c r="F36">
        <f>(C14*2*C13*C17)</f>
        <v>0.24</v>
      </c>
    </row>
    <row r="37" spans="3:9" x14ac:dyDescent="0.25">
      <c r="E37" t="s">
        <v>30</v>
      </c>
      <c r="F37">
        <f>(F36+(3.14*C5-C14*C7)*C17)</f>
        <v>0.31020000000000003</v>
      </c>
    </row>
    <row r="38" spans="3:9" x14ac:dyDescent="0.25">
      <c r="E38" t="s">
        <v>31</v>
      </c>
      <c r="F38">
        <f>I35/I34</f>
        <v>0.91070079712318086</v>
      </c>
    </row>
    <row r="39" spans="3:9" x14ac:dyDescent="0.25">
      <c r="E39" t="s">
        <v>32</v>
      </c>
      <c r="F39">
        <f>1-((F36/F37)*(1-F38))</f>
        <v>0.93090970763882464</v>
      </c>
    </row>
    <row r="41" spans="3:9" x14ac:dyDescent="0.25">
      <c r="E41" s="1" t="s">
        <v>28</v>
      </c>
      <c r="F41" s="1">
        <f>(F39*C12*F37)^-1</f>
        <v>3.4629852944155694E-2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zoomScale="90" zoomScaleNormal="90" workbookViewId="0">
      <selection activeCell="F44" sqref="F44"/>
    </sheetView>
  </sheetViews>
  <sheetFormatPr defaultRowHeight="15" x14ac:dyDescent="0.25"/>
  <cols>
    <col min="1" max="1" width="3.5703125" customWidth="1"/>
    <col min="2" max="2" width="21.140625" customWidth="1"/>
    <col min="3" max="3" width="9.5703125" customWidth="1"/>
    <col min="4" max="4" width="13.5703125" bestFit="1" customWidth="1"/>
    <col min="5" max="5" width="11.7109375" customWidth="1"/>
    <col min="6" max="6" width="13.85546875" customWidth="1"/>
    <col min="7" max="7" width="12.5703125" bestFit="1" customWidth="1"/>
    <col min="8" max="8" width="13" customWidth="1"/>
    <col min="9" max="9" width="12.7109375" customWidth="1"/>
    <col min="10" max="10" width="12.85546875" customWidth="1"/>
    <col min="11" max="11" width="13.85546875" customWidth="1"/>
    <col min="12" max="12" width="14.140625" customWidth="1"/>
    <col min="13" max="13" width="13.140625" customWidth="1"/>
    <col min="14" max="15" width="14" customWidth="1"/>
    <col min="16" max="16" width="14.5703125" customWidth="1"/>
    <col min="17" max="17" width="14" customWidth="1"/>
    <col min="18" max="18" width="17.28515625" customWidth="1"/>
    <col min="19" max="19" width="15.42578125" customWidth="1"/>
    <col min="20" max="20" width="12.42578125" customWidth="1"/>
    <col min="21" max="21" width="13.140625" customWidth="1"/>
    <col min="22" max="22" width="15.42578125" customWidth="1"/>
    <col min="23" max="23" width="18.7109375" customWidth="1"/>
    <col min="24" max="24" width="12.7109375" customWidth="1"/>
    <col min="25" max="25" width="18.5703125" customWidth="1"/>
    <col min="26" max="26" width="20.7109375" customWidth="1"/>
    <col min="27" max="27" width="13.85546875" customWidth="1"/>
    <col min="28" max="28" width="10.28515625" customWidth="1"/>
    <col min="29" max="29" width="10.42578125" customWidth="1"/>
    <col min="30" max="30" width="14.28515625" customWidth="1"/>
    <col min="31" max="31" width="18.85546875" customWidth="1"/>
    <col min="32" max="32" width="15" customWidth="1"/>
    <col min="33" max="33" width="12.42578125" customWidth="1"/>
    <col min="34" max="34" width="14.7109375" customWidth="1"/>
  </cols>
  <sheetData>
    <row r="1" spans="1:34" ht="18" thickBot="1" x14ac:dyDescent="0.35">
      <c r="A1" s="32" t="s">
        <v>21</v>
      </c>
      <c r="B1" s="32"/>
      <c r="C1" s="32"/>
      <c r="AB1">
        <v>28</v>
      </c>
      <c r="AC1">
        <v>30</v>
      </c>
      <c r="AD1">
        <v>32</v>
      </c>
      <c r="AE1">
        <v>34</v>
      </c>
      <c r="AF1">
        <v>38</v>
      </c>
      <c r="AG1">
        <v>40</v>
      </c>
      <c r="AH1">
        <v>42</v>
      </c>
    </row>
    <row r="2" spans="1:34" ht="15.75" thickTop="1" x14ac:dyDescent="0.25">
      <c r="E2" s="201" t="s">
        <v>26</v>
      </c>
      <c r="F2" s="201"/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34" x14ac:dyDescent="0.25">
      <c r="B3" s="54" t="s">
        <v>0</v>
      </c>
      <c r="E3" s="76" t="s">
        <v>1</v>
      </c>
      <c r="F3" s="76" t="s">
        <v>2</v>
      </c>
      <c r="G3" s="14" t="s">
        <v>19</v>
      </c>
      <c r="H3" s="14" t="s">
        <v>18</v>
      </c>
      <c r="I3" s="14" t="s">
        <v>20</v>
      </c>
      <c r="J3" s="14" t="s">
        <v>85</v>
      </c>
      <c r="K3" s="14" t="s">
        <v>84</v>
      </c>
      <c r="L3" s="14" t="s">
        <v>86</v>
      </c>
      <c r="M3" s="14" t="s">
        <v>83</v>
      </c>
      <c r="N3" s="14" t="s">
        <v>87</v>
      </c>
      <c r="O3" s="14" t="s">
        <v>78</v>
      </c>
      <c r="P3" s="14" t="s">
        <v>88</v>
      </c>
      <c r="Q3" s="14" t="s">
        <v>89</v>
      </c>
      <c r="R3" s="14" t="s">
        <v>81</v>
      </c>
      <c r="S3" s="14" t="s">
        <v>82</v>
      </c>
      <c r="T3" s="14" t="s">
        <v>90</v>
      </c>
      <c r="U3" s="14" t="s">
        <v>91</v>
      </c>
      <c r="V3" s="14" t="s">
        <v>79</v>
      </c>
      <c r="W3" s="14" t="s">
        <v>80</v>
      </c>
      <c r="AB3" s="63" t="s">
        <v>95</v>
      </c>
      <c r="AC3" s="63" t="s">
        <v>96</v>
      </c>
      <c r="AD3" s="197" t="s">
        <v>32</v>
      </c>
      <c r="AE3" s="63" t="s">
        <v>115</v>
      </c>
      <c r="AF3" s="198" t="s">
        <v>93</v>
      </c>
      <c r="AG3" s="198" t="s">
        <v>116</v>
      </c>
      <c r="AH3" s="199" t="s">
        <v>92</v>
      </c>
    </row>
    <row r="4" spans="1:34" x14ac:dyDescent="0.25">
      <c r="A4" t="s">
        <v>4</v>
      </c>
      <c r="B4" s="42" t="s">
        <v>19</v>
      </c>
      <c r="C4">
        <v>1</v>
      </c>
      <c r="D4" s="69">
        <f>60*10^-3</f>
        <v>0.06</v>
      </c>
      <c r="E4" s="18">
        <v>0.1</v>
      </c>
      <c r="F4" s="15">
        <f>ABS(D4*E4)</f>
        <v>6.0000000000000001E-3</v>
      </c>
      <c r="G4" s="95">
        <f>IF(G$2=$C4,$D4*(1+$E4),$D4)</f>
        <v>6.6000000000000003E-2</v>
      </c>
      <c r="H4" s="34">
        <f t="shared" ref="H4:W19" si="0">IF(H$2=$C4,$D4*(1+$E4),$D4)</f>
        <v>0.06</v>
      </c>
      <c r="I4" s="34">
        <f t="shared" si="0"/>
        <v>0.06</v>
      </c>
      <c r="J4" s="34">
        <f t="shared" si="0"/>
        <v>0.06</v>
      </c>
      <c r="K4" s="34">
        <f t="shared" si="0"/>
        <v>0.06</v>
      </c>
      <c r="L4" s="34">
        <f t="shared" si="0"/>
        <v>0.06</v>
      </c>
      <c r="M4" s="34">
        <f t="shared" si="0"/>
        <v>0.06</v>
      </c>
      <c r="N4" s="34">
        <f t="shared" si="0"/>
        <v>0.06</v>
      </c>
      <c r="O4" s="34">
        <f t="shared" si="0"/>
        <v>0.06</v>
      </c>
      <c r="P4" s="34">
        <f t="shared" si="0"/>
        <v>0.06</v>
      </c>
      <c r="Q4" s="34">
        <f t="shared" si="0"/>
        <v>0.06</v>
      </c>
      <c r="R4" s="34">
        <f t="shared" si="0"/>
        <v>0.06</v>
      </c>
      <c r="S4" s="89">
        <f>IF(S$2=$C4,$D4*(1+$E4),$D4)</f>
        <v>0.06</v>
      </c>
      <c r="T4" s="34">
        <f t="shared" si="0"/>
        <v>0.06</v>
      </c>
      <c r="U4" s="34">
        <f t="shared" si="0"/>
        <v>0.06</v>
      </c>
      <c r="V4" s="34">
        <f t="shared" si="0"/>
        <v>0.06</v>
      </c>
      <c r="W4" s="15">
        <f t="shared" si="0"/>
        <v>0.06</v>
      </c>
      <c r="Y4">
        <v>1</v>
      </c>
      <c r="Z4" s="42" t="s">
        <v>19</v>
      </c>
      <c r="AA4" s="2" t="s">
        <v>3</v>
      </c>
      <c r="AB4" s="123" t="str">
        <f t="shared" ref="AB4:AH13" ca="1" si="1">INDIRECT($AA4&amp;AB$1)</f>
        <v/>
      </c>
      <c r="AC4" s="21" t="str">
        <f t="shared" ca="1" si="1"/>
        <v/>
      </c>
      <c r="AD4" s="21">
        <f t="shared" ca="1" si="1"/>
        <v>0.72995318146453858</v>
      </c>
      <c r="AE4" s="21" t="str">
        <f t="shared" ca="1" si="1"/>
        <v/>
      </c>
      <c r="AF4" s="21">
        <f t="shared" ca="1" si="1"/>
        <v>0.54938492385647542</v>
      </c>
      <c r="AG4" s="21">
        <f t="shared" ca="1" si="1"/>
        <v>0.19602018212046787</v>
      </c>
      <c r="AH4" s="38">
        <f t="shared" ca="1" si="1"/>
        <v>0.66218745031082471</v>
      </c>
    </row>
    <row r="5" spans="1:34" x14ac:dyDescent="0.25">
      <c r="A5" t="s">
        <v>4</v>
      </c>
      <c r="B5" s="43" t="s">
        <v>18</v>
      </c>
      <c r="C5">
        <v>2</v>
      </c>
      <c r="D5" s="37">
        <f>30*10^-3</f>
        <v>0.03</v>
      </c>
      <c r="E5" s="18">
        <v>0.1</v>
      </c>
      <c r="F5" s="16">
        <f t="shared" ref="F5:F15" si="2">ABS(D5*E5)</f>
        <v>3.0000000000000001E-3</v>
      </c>
      <c r="G5" s="20">
        <f t="shared" ref="G5:V20" si="3">IF(G$2=$C5,$D5*(1+$E5),$D5)</f>
        <v>0.03</v>
      </c>
      <c r="H5" s="33">
        <f t="shared" si="0"/>
        <v>3.3000000000000002E-2</v>
      </c>
      <c r="I5" s="20">
        <f t="shared" si="0"/>
        <v>0.03</v>
      </c>
      <c r="J5" s="20">
        <f t="shared" si="0"/>
        <v>0.03</v>
      </c>
      <c r="K5" s="20">
        <f t="shared" si="0"/>
        <v>0.03</v>
      </c>
      <c r="L5" s="20">
        <f t="shared" si="0"/>
        <v>0.03</v>
      </c>
      <c r="M5" s="20">
        <f t="shared" si="0"/>
        <v>0.03</v>
      </c>
      <c r="N5" s="20">
        <f t="shared" si="0"/>
        <v>0.03</v>
      </c>
      <c r="O5" s="20">
        <f t="shared" si="0"/>
        <v>0.03</v>
      </c>
      <c r="P5" s="20">
        <f t="shared" si="0"/>
        <v>0.03</v>
      </c>
      <c r="Q5" s="20">
        <f t="shared" si="0"/>
        <v>0.03</v>
      </c>
      <c r="R5" s="20">
        <f t="shared" si="0"/>
        <v>0.03</v>
      </c>
      <c r="S5" s="20">
        <f t="shared" si="3"/>
        <v>0.03</v>
      </c>
      <c r="T5" s="87">
        <f t="shared" si="0"/>
        <v>0.03</v>
      </c>
      <c r="U5" s="20">
        <f t="shared" si="0"/>
        <v>0.03</v>
      </c>
      <c r="V5" s="20">
        <f t="shared" si="0"/>
        <v>0.03</v>
      </c>
      <c r="W5" s="16">
        <f t="shared" si="0"/>
        <v>0.03</v>
      </c>
      <c r="Y5">
        <v>2</v>
      </c>
      <c r="Z5" s="43" t="s">
        <v>18</v>
      </c>
      <c r="AA5" t="s">
        <v>5</v>
      </c>
      <c r="AB5" s="123" t="str">
        <f t="shared" ca="1" si="1"/>
        <v/>
      </c>
      <c r="AC5" s="21" t="str">
        <f t="shared" ca="1" si="1"/>
        <v/>
      </c>
      <c r="AD5" s="21">
        <f t="shared" ca="1" si="1"/>
        <v>0.19030386398044377</v>
      </c>
      <c r="AE5" s="21">
        <f t="shared" ca="1" si="1"/>
        <v>0.48892566710111934</v>
      </c>
      <c r="AF5" s="21">
        <f t="shared" ca="1" si="1"/>
        <v>6.5746668913525097E-2</v>
      </c>
      <c r="AG5" s="21">
        <f t="shared" ca="1" si="1"/>
        <v>2.3458368540178767E-2</v>
      </c>
      <c r="AH5" s="38">
        <f t="shared" ca="1" si="1"/>
        <v>5.0905188614031753E-2</v>
      </c>
    </row>
    <row r="6" spans="1:34" x14ac:dyDescent="0.25">
      <c r="A6" t="s">
        <v>4</v>
      </c>
      <c r="B6" s="43" t="s">
        <v>20</v>
      </c>
      <c r="C6">
        <v>3</v>
      </c>
      <c r="D6" s="37">
        <f>24*10^-3</f>
        <v>2.4E-2</v>
      </c>
      <c r="E6" s="18">
        <v>0.1</v>
      </c>
      <c r="F6" s="16">
        <f t="shared" si="2"/>
        <v>2.4000000000000002E-3</v>
      </c>
      <c r="G6" s="20">
        <f t="shared" si="3"/>
        <v>2.4E-2</v>
      </c>
      <c r="H6" s="20">
        <f t="shared" si="0"/>
        <v>2.4E-2</v>
      </c>
      <c r="I6" s="33">
        <f t="shared" si="0"/>
        <v>2.6400000000000003E-2</v>
      </c>
      <c r="J6" s="20">
        <f t="shared" si="0"/>
        <v>2.4E-2</v>
      </c>
      <c r="K6" s="20">
        <f t="shared" si="0"/>
        <v>2.4E-2</v>
      </c>
      <c r="L6" s="20">
        <f t="shared" si="0"/>
        <v>2.4E-2</v>
      </c>
      <c r="M6" s="20">
        <f t="shared" si="0"/>
        <v>2.4E-2</v>
      </c>
      <c r="N6" s="20">
        <f t="shared" si="0"/>
        <v>2.4E-2</v>
      </c>
      <c r="O6" s="20">
        <f t="shared" si="0"/>
        <v>2.4E-2</v>
      </c>
      <c r="P6" s="20">
        <f t="shared" si="0"/>
        <v>2.4E-2</v>
      </c>
      <c r="Q6" s="20">
        <f t="shared" si="0"/>
        <v>2.4E-2</v>
      </c>
      <c r="R6" s="20">
        <f t="shared" si="0"/>
        <v>2.4E-2</v>
      </c>
      <c r="S6" s="20">
        <f t="shared" si="3"/>
        <v>2.4E-2</v>
      </c>
      <c r="T6" s="20">
        <f t="shared" si="0"/>
        <v>2.4E-2</v>
      </c>
      <c r="U6" s="87">
        <f t="shared" si="0"/>
        <v>2.4E-2</v>
      </c>
      <c r="V6" s="20">
        <f t="shared" si="0"/>
        <v>2.4E-2</v>
      </c>
      <c r="W6" s="16">
        <f t="shared" si="0"/>
        <v>2.4E-2</v>
      </c>
      <c r="Y6">
        <v>3</v>
      </c>
      <c r="Z6" s="43" t="s">
        <v>20</v>
      </c>
      <c r="AA6" t="s">
        <v>6</v>
      </c>
      <c r="AB6" s="123">
        <f t="shared" ca="1" si="1"/>
        <v>0.31152647975077835</v>
      </c>
      <c r="AC6" s="21">
        <f t="shared" ca="1" si="1"/>
        <v>0.21720810202641161</v>
      </c>
      <c r="AD6" s="21" t="str">
        <f t="shared" ca="1" si="1"/>
        <v/>
      </c>
      <c r="AE6" s="21">
        <f t="shared" ca="1" si="1"/>
        <v>0.48892566710112073</v>
      </c>
      <c r="AF6" s="21" t="str">
        <f t="shared" ca="1" si="1"/>
        <v/>
      </c>
      <c r="AG6" s="21" t="str">
        <f t="shared" ca="1" si="1"/>
        <v/>
      </c>
      <c r="AH6" s="38" t="str">
        <f t="shared" ca="1" si="1"/>
        <v/>
      </c>
    </row>
    <row r="7" spans="1:34" x14ac:dyDescent="0.25">
      <c r="A7" t="s">
        <v>4</v>
      </c>
      <c r="B7" s="43" t="s">
        <v>85</v>
      </c>
      <c r="C7">
        <v>4</v>
      </c>
      <c r="D7" s="93">
        <v>800</v>
      </c>
      <c r="E7" s="18">
        <v>0.1</v>
      </c>
      <c r="F7" s="16">
        <f t="shared" si="2"/>
        <v>80</v>
      </c>
      <c r="G7" s="20">
        <f t="shared" si="3"/>
        <v>800</v>
      </c>
      <c r="H7" s="20">
        <f t="shared" si="0"/>
        <v>800</v>
      </c>
      <c r="I7" s="20">
        <f t="shared" si="0"/>
        <v>800</v>
      </c>
      <c r="J7" s="33">
        <f t="shared" si="0"/>
        <v>880.00000000000011</v>
      </c>
      <c r="K7" s="20">
        <f t="shared" si="0"/>
        <v>800</v>
      </c>
      <c r="L7" s="20">
        <f t="shared" si="0"/>
        <v>800</v>
      </c>
      <c r="M7" s="20">
        <f t="shared" si="0"/>
        <v>800</v>
      </c>
      <c r="N7" s="20">
        <f t="shared" si="0"/>
        <v>800</v>
      </c>
      <c r="O7" s="20">
        <f t="shared" si="0"/>
        <v>800</v>
      </c>
      <c r="P7" s="20">
        <f t="shared" si="0"/>
        <v>800</v>
      </c>
      <c r="Q7" s="20">
        <f t="shared" si="0"/>
        <v>800</v>
      </c>
      <c r="R7" s="20">
        <f t="shared" si="0"/>
        <v>800</v>
      </c>
      <c r="S7" s="20">
        <f t="shared" si="3"/>
        <v>800</v>
      </c>
      <c r="T7" s="20">
        <f t="shared" si="0"/>
        <v>800</v>
      </c>
      <c r="U7" s="20">
        <f t="shared" si="0"/>
        <v>800</v>
      </c>
      <c r="V7" s="87">
        <f t="shared" si="0"/>
        <v>800</v>
      </c>
      <c r="W7" s="16">
        <f t="shared" si="0"/>
        <v>800</v>
      </c>
      <c r="Y7">
        <v>4</v>
      </c>
      <c r="Z7" s="43" t="s">
        <v>85</v>
      </c>
      <c r="AA7" t="s">
        <v>7</v>
      </c>
      <c r="AB7" s="123" t="str">
        <f t="shared" ca="1" si="1"/>
        <v/>
      </c>
      <c r="AC7" s="21" t="str">
        <f t="shared" ca="1" si="1"/>
        <v/>
      </c>
      <c r="AD7" s="21" t="str">
        <f t="shared" ca="1" si="1"/>
        <v/>
      </c>
      <c r="AE7" s="21" t="str">
        <f t="shared" ca="1" si="1"/>
        <v/>
      </c>
      <c r="AF7" s="21" t="str">
        <f t="shared" ca="1" si="1"/>
        <v/>
      </c>
      <c r="AG7" s="21">
        <f t="shared" ca="1" si="1"/>
        <v>0.56390194229738688</v>
      </c>
      <c r="AH7" s="38" t="str">
        <f t="shared" ca="1" si="1"/>
        <v/>
      </c>
    </row>
    <row r="8" spans="1:34" x14ac:dyDescent="0.25">
      <c r="A8" t="s">
        <v>4</v>
      </c>
      <c r="B8" s="43" t="s">
        <v>84</v>
      </c>
      <c r="C8">
        <v>5</v>
      </c>
      <c r="D8" s="37">
        <v>300</v>
      </c>
      <c r="E8" s="18">
        <v>0.1</v>
      </c>
      <c r="F8" s="16">
        <f t="shared" si="2"/>
        <v>30</v>
      </c>
      <c r="G8" s="20">
        <f t="shared" si="3"/>
        <v>300</v>
      </c>
      <c r="H8" s="20">
        <f t="shared" si="0"/>
        <v>300</v>
      </c>
      <c r="I8" s="20">
        <f t="shared" si="0"/>
        <v>300</v>
      </c>
      <c r="J8" s="20">
        <f t="shared" si="0"/>
        <v>300</v>
      </c>
      <c r="K8" s="33">
        <f t="shared" si="0"/>
        <v>330</v>
      </c>
      <c r="L8" s="20">
        <f t="shared" si="0"/>
        <v>300</v>
      </c>
      <c r="M8" s="20">
        <f t="shared" si="0"/>
        <v>300</v>
      </c>
      <c r="N8" s="20">
        <f t="shared" si="0"/>
        <v>300</v>
      </c>
      <c r="O8" s="20">
        <f t="shared" si="0"/>
        <v>300</v>
      </c>
      <c r="P8" s="20">
        <f t="shared" si="0"/>
        <v>300</v>
      </c>
      <c r="Q8" s="20">
        <f t="shared" si="0"/>
        <v>300</v>
      </c>
      <c r="R8" s="20">
        <f t="shared" si="0"/>
        <v>300</v>
      </c>
      <c r="S8" s="20">
        <f t="shared" si="3"/>
        <v>300</v>
      </c>
      <c r="T8" s="20">
        <f t="shared" si="0"/>
        <v>300</v>
      </c>
      <c r="U8" s="20">
        <f t="shared" si="0"/>
        <v>300</v>
      </c>
      <c r="V8" s="20">
        <f t="shared" si="0"/>
        <v>300</v>
      </c>
      <c r="W8" s="66">
        <f t="shared" si="0"/>
        <v>300</v>
      </c>
      <c r="Y8">
        <v>5</v>
      </c>
      <c r="Z8" s="43" t="s">
        <v>84</v>
      </c>
      <c r="AA8" t="s">
        <v>8</v>
      </c>
      <c r="AB8" s="123" t="str">
        <f t="shared" ca="1" si="1"/>
        <v/>
      </c>
      <c r="AC8" s="21" t="str">
        <f t="shared" ca="1" si="1"/>
        <v/>
      </c>
      <c r="AD8" s="21" t="str">
        <f t="shared" ca="1" si="1"/>
        <v/>
      </c>
      <c r="AE8" s="21" t="str">
        <f t="shared" ca="1" si="1"/>
        <v/>
      </c>
      <c r="AF8" s="21" t="str">
        <f t="shared" ca="1" si="1"/>
        <v/>
      </c>
      <c r="AG8" s="21">
        <f t="shared" ca="1" si="1"/>
        <v>7.9298710635569619E-2</v>
      </c>
      <c r="AH8" s="38" t="str">
        <f t="shared" ca="1" si="1"/>
        <v/>
      </c>
    </row>
    <row r="9" spans="1:34" x14ac:dyDescent="0.25">
      <c r="A9" t="s">
        <v>4</v>
      </c>
      <c r="B9" s="43" t="s">
        <v>86</v>
      </c>
      <c r="C9">
        <v>6</v>
      </c>
      <c r="D9" s="37">
        <v>0.161</v>
      </c>
      <c r="E9" s="18">
        <v>0.1</v>
      </c>
      <c r="F9" s="16">
        <f t="shared" si="2"/>
        <v>1.61E-2</v>
      </c>
      <c r="G9" s="20">
        <f t="shared" si="3"/>
        <v>0.161</v>
      </c>
      <c r="H9" s="20">
        <f t="shared" si="0"/>
        <v>0.161</v>
      </c>
      <c r="I9" s="20">
        <f t="shared" si="0"/>
        <v>0.161</v>
      </c>
      <c r="J9" s="20">
        <f t="shared" si="0"/>
        <v>0.161</v>
      </c>
      <c r="K9" s="20">
        <f t="shared" si="0"/>
        <v>0.161</v>
      </c>
      <c r="L9" s="33">
        <f t="shared" si="0"/>
        <v>0.17710000000000001</v>
      </c>
      <c r="M9" s="20">
        <f t="shared" si="0"/>
        <v>0.161</v>
      </c>
      <c r="N9" s="20">
        <f t="shared" si="0"/>
        <v>0.161</v>
      </c>
      <c r="O9" s="20">
        <f t="shared" si="0"/>
        <v>0.161</v>
      </c>
      <c r="P9" s="20">
        <f t="shared" si="0"/>
        <v>0.161</v>
      </c>
      <c r="Q9" s="20">
        <f t="shared" si="0"/>
        <v>0.161</v>
      </c>
      <c r="R9" s="20">
        <f t="shared" si="0"/>
        <v>0.161</v>
      </c>
      <c r="S9" s="20">
        <f t="shared" si="3"/>
        <v>0.161</v>
      </c>
      <c r="T9" s="20">
        <f t="shared" si="0"/>
        <v>0.161</v>
      </c>
      <c r="U9" s="20">
        <f t="shared" si="0"/>
        <v>0.161</v>
      </c>
      <c r="V9" s="20">
        <f t="shared" si="0"/>
        <v>0.161</v>
      </c>
      <c r="W9" s="16">
        <f t="shared" si="0"/>
        <v>0.161</v>
      </c>
      <c r="Y9">
        <v>6</v>
      </c>
      <c r="Z9" s="43" t="s">
        <v>86</v>
      </c>
      <c r="AA9" t="s">
        <v>9</v>
      </c>
      <c r="AB9" s="123">
        <f t="shared" ca="1" si="1"/>
        <v>0.3769470404984433</v>
      </c>
      <c r="AC9" s="21">
        <f t="shared" ca="1" si="1"/>
        <v>0.25299056035925027</v>
      </c>
      <c r="AD9" s="21" t="str">
        <f t="shared" ca="1" si="1"/>
        <v/>
      </c>
      <c r="AE9" s="21" t="str">
        <f t="shared" ca="1" si="1"/>
        <v/>
      </c>
      <c r="AF9" s="21" t="str">
        <f t="shared" ca="1" si="1"/>
        <v/>
      </c>
      <c r="AG9" s="21" t="str">
        <f t="shared" ca="1" si="1"/>
        <v/>
      </c>
      <c r="AH9" s="38" t="str">
        <f t="shared" ca="1" si="1"/>
        <v/>
      </c>
    </row>
    <row r="10" spans="1:34" x14ac:dyDescent="0.25">
      <c r="A10" t="s">
        <v>4</v>
      </c>
      <c r="B10" s="43" t="s">
        <v>83</v>
      </c>
      <c r="C10">
        <v>7</v>
      </c>
      <c r="D10" s="37">
        <f>3*10^-3</f>
        <v>3.0000000000000001E-3</v>
      </c>
      <c r="E10" s="18">
        <v>0.1</v>
      </c>
      <c r="F10" s="16">
        <f t="shared" si="2"/>
        <v>3.0000000000000003E-4</v>
      </c>
      <c r="G10" s="20">
        <f t="shared" si="3"/>
        <v>3.0000000000000001E-3</v>
      </c>
      <c r="H10" s="20">
        <f t="shared" si="0"/>
        <v>3.0000000000000001E-3</v>
      </c>
      <c r="I10" s="20">
        <f t="shared" si="0"/>
        <v>3.0000000000000001E-3</v>
      </c>
      <c r="J10" s="20">
        <f t="shared" si="0"/>
        <v>3.0000000000000001E-3</v>
      </c>
      <c r="K10" s="20">
        <f t="shared" si="0"/>
        <v>3.0000000000000001E-3</v>
      </c>
      <c r="L10" s="20">
        <f t="shared" si="0"/>
        <v>3.0000000000000001E-3</v>
      </c>
      <c r="M10" s="33">
        <f t="shared" si="0"/>
        <v>3.3000000000000004E-3</v>
      </c>
      <c r="N10" s="20">
        <f t="shared" si="0"/>
        <v>3.0000000000000001E-3</v>
      </c>
      <c r="O10" s="20">
        <f t="shared" si="0"/>
        <v>3.0000000000000001E-3</v>
      </c>
      <c r="P10" s="20">
        <f t="shared" si="0"/>
        <v>3.0000000000000001E-3</v>
      </c>
      <c r="Q10" s="20">
        <f t="shared" si="0"/>
        <v>3.0000000000000001E-3</v>
      </c>
      <c r="R10" s="20">
        <f t="shared" si="0"/>
        <v>3.0000000000000001E-3</v>
      </c>
      <c r="S10" s="20">
        <f t="shared" si="3"/>
        <v>3.0000000000000001E-3</v>
      </c>
      <c r="T10" s="20">
        <f t="shared" si="0"/>
        <v>3.0000000000000001E-3</v>
      </c>
      <c r="U10" s="20">
        <f t="shared" si="0"/>
        <v>3.0000000000000001E-3</v>
      </c>
      <c r="V10" s="20">
        <f t="shared" si="0"/>
        <v>3.0000000000000001E-3</v>
      </c>
      <c r="W10" s="16">
        <f t="shared" si="0"/>
        <v>3.0000000000000001E-3</v>
      </c>
      <c r="Y10">
        <v>7</v>
      </c>
      <c r="Z10" s="43" t="s">
        <v>83</v>
      </c>
      <c r="AA10" t="s">
        <v>10</v>
      </c>
      <c r="AB10" s="123" t="str">
        <f t="shared" ca="1" si="1"/>
        <v/>
      </c>
      <c r="AC10" s="21" t="str">
        <f t="shared" ca="1" si="1"/>
        <v/>
      </c>
      <c r="AD10" s="21">
        <f t="shared" ca="1" si="1"/>
        <v>2.2181305707528232E-2</v>
      </c>
      <c r="AE10" s="21" t="str">
        <f t="shared" ca="1" si="1"/>
        <v/>
      </c>
      <c r="AF10" s="21" t="str">
        <f t="shared" ca="1" si="1"/>
        <v/>
      </c>
      <c r="AG10" s="21" t="str">
        <f t="shared" ca="1" si="1"/>
        <v/>
      </c>
      <c r="AH10" s="38" t="str">
        <f t="shared" ca="1" si="1"/>
        <v/>
      </c>
    </row>
    <row r="11" spans="1:34" x14ac:dyDescent="0.25">
      <c r="A11" t="s">
        <v>4</v>
      </c>
      <c r="B11" s="43" t="s">
        <v>87</v>
      </c>
      <c r="C11">
        <v>8</v>
      </c>
      <c r="D11" s="37">
        <v>50</v>
      </c>
      <c r="E11" s="18">
        <v>0.1</v>
      </c>
      <c r="F11" s="16">
        <f t="shared" si="2"/>
        <v>5</v>
      </c>
      <c r="G11" s="20">
        <f t="shared" si="3"/>
        <v>50</v>
      </c>
      <c r="H11" s="20">
        <f t="shared" si="0"/>
        <v>50</v>
      </c>
      <c r="I11" s="20">
        <f t="shared" si="0"/>
        <v>50</v>
      </c>
      <c r="J11" s="20">
        <f t="shared" si="0"/>
        <v>50</v>
      </c>
      <c r="K11" s="20">
        <f t="shared" si="0"/>
        <v>50</v>
      </c>
      <c r="L11" s="20">
        <f t="shared" si="0"/>
        <v>50</v>
      </c>
      <c r="M11" s="20">
        <f t="shared" si="0"/>
        <v>50</v>
      </c>
      <c r="N11" s="33">
        <f t="shared" si="0"/>
        <v>55.000000000000007</v>
      </c>
      <c r="O11" s="20">
        <f t="shared" si="0"/>
        <v>50</v>
      </c>
      <c r="P11" s="20">
        <f t="shared" si="0"/>
        <v>50</v>
      </c>
      <c r="Q11" s="20">
        <f t="shared" si="0"/>
        <v>50</v>
      </c>
      <c r="R11" s="20">
        <f t="shared" si="0"/>
        <v>50</v>
      </c>
      <c r="S11" s="20">
        <f t="shared" si="3"/>
        <v>50</v>
      </c>
      <c r="T11" s="20">
        <f t="shared" si="0"/>
        <v>50</v>
      </c>
      <c r="U11" s="20">
        <f t="shared" si="0"/>
        <v>50</v>
      </c>
      <c r="V11" s="20">
        <f t="shared" si="0"/>
        <v>50</v>
      </c>
      <c r="W11" s="16">
        <f t="shared" si="0"/>
        <v>50</v>
      </c>
      <c r="Y11">
        <v>8</v>
      </c>
      <c r="Z11" s="43" t="s">
        <v>87</v>
      </c>
      <c r="AA11" t="s">
        <v>11</v>
      </c>
      <c r="AB11" s="123" t="str">
        <f t="shared" ca="1" si="1"/>
        <v/>
      </c>
      <c r="AC11" s="21" t="str">
        <f t="shared" ca="1" si="1"/>
        <v/>
      </c>
      <c r="AD11" s="21">
        <f t="shared" ca="1" si="1"/>
        <v>2.6627711305960169E-2</v>
      </c>
      <c r="AE11" s="21">
        <f t="shared" ca="1" si="1"/>
        <v>2.2148665797759894E-2</v>
      </c>
      <c r="AF11" s="21" t="str">
        <f t="shared" ca="1" si="1"/>
        <v/>
      </c>
      <c r="AG11" s="21" t="str">
        <f t="shared" ca="1" si="1"/>
        <v/>
      </c>
      <c r="AH11" s="38" t="str">
        <f t="shared" ca="1" si="1"/>
        <v/>
      </c>
    </row>
    <row r="12" spans="1:34" x14ac:dyDescent="0.25">
      <c r="A12" t="s">
        <v>4</v>
      </c>
      <c r="B12" s="43" t="s">
        <v>78</v>
      </c>
      <c r="C12">
        <v>9</v>
      </c>
      <c r="D12" s="37">
        <v>100</v>
      </c>
      <c r="E12" s="18">
        <v>0.1</v>
      </c>
      <c r="F12" s="16">
        <f t="shared" si="2"/>
        <v>10</v>
      </c>
      <c r="G12" s="20">
        <f t="shared" si="3"/>
        <v>100</v>
      </c>
      <c r="H12" s="20">
        <f>IF(H$2=$C12,$D12*(1+$E12),$D12)</f>
        <v>100</v>
      </c>
      <c r="I12" s="20">
        <f t="shared" si="0"/>
        <v>100</v>
      </c>
      <c r="J12" s="20">
        <f t="shared" si="0"/>
        <v>100</v>
      </c>
      <c r="K12" s="20">
        <f t="shared" si="0"/>
        <v>100</v>
      </c>
      <c r="L12" s="20">
        <f t="shared" si="0"/>
        <v>100</v>
      </c>
      <c r="M12" s="20">
        <f t="shared" si="0"/>
        <v>100</v>
      </c>
      <c r="N12" s="20">
        <f t="shared" si="0"/>
        <v>100</v>
      </c>
      <c r="O12" s="33">
        <f t="shared" si="0"/>
        <v>110.00000000000001</v>
      </c>
      <c r="P12" s="20">
        <f t="shared" si="0"/>
        <v>100</v>
      </c>
      <c r="Q12" s="20">
        <f t="shared" si="0"/>
        <v>100</v>
      </c>
      <c r="R12" s="20">
        <f t="shared" si="0"/>
        <v>100</v>
      </c>
      <c r="S12" s="20">
        <f t="shared" si="3"/>
        <v>100</v>
      </c>
      <c r="T12" s="20">
        <f t="shared" si="0"/>
        <v>100</v>
      </c>
      <c r="U12" s="20">
        <f t="shared" si="0"/>
        <v>100</v>
      </c>
      <c r="V12" s="20">
        <f t="shared" si="0"/>
        <v>100</v>
      </c>
      <c r="W12" s="16">
        <f t="shared" si="0"/>
        <v>100</v>
      </c>
      <c r="Y12">
        <v>9</v>
      </c>
      <c r="Z12" s="43" t="s">
        <v>78</v>
      </c>
      <c r="AA12" t="s">
        <v>12</v>
      </c>
      <c r="AB12" s="123" t="str">
        <f t="shared" ca="1" si="1"/>
        <v/>
      </c>
      <c r="AC12" s="21" t="str">
        <f t="shared" ca="1" si="1"/>
        <v/>
      </c>
      <c r="AD12" s="21">
        <f t="shared" ca="1" si="1"/>
        <v>3.0933937541529236E-2</v>
      </c>
      <c r="AE12" s="21" t="str">
        <f t="shared" ca="1" si="1"/>
        <v/>
      </c>
      <c r="AF12" s="21">
        <f t="shared" ca="1" si="1"/>
        <v>0.34306334436922203</v>
      </c>
      <c r="AG12" s="21">
        <f t="shared" ca="1" si="1"/>
        <v>0.12240477727357481</v>
      </c>
      <c r="AH12" s="38">
        <f t="shared" ca="1" si="1"/>
        <v>9.1861010064507462E-2</v>
      </c>
    </row>
    <row r="13" spans="1:34" x14ac:dyDescent="0.25">
      <c r="A13" t="s">
        <v>4</v>
      </c>
      <c r="B13" s="43" t="s">
        <v>88</v>
      </c>
      <c r="C13">
        <v>10</v>
      </c>
      <c r="D13" s="37">
        <v>0.61299999999999999</v>
      </c>
      <c r="E13" s="18">
        <v>0.1</v>
      </c>
      <c r="F13" s="16">
        <f t="shared" si="2"/>
        <v>6.13E-2</v>
      </c>
      <c r="G13" s="20">
        <f t="shared" si="3"/>
        <v>0.61299999999999999</v>
      </c>
      <c r="H13" s="20">
        <f t="shared" si="0"/>
        <v>0.61299999999999999</v>
      </c>
      <c r="I13" s="20">
        <f t="shared" si="0"/>
        <v>0.61299999999999999</v>
      </c>
      <c r="J13" s="20">
        <f t="shared" si="0"/>
        <v>0.61299999999999999</v>
      </c>
      <c r="K13" s="20">
        <f t="shared" si="0"/>
        <v>0.61299999999999999</v>
      </c>
      <c r="L13" s="20">
        <f t="shared" si="0"/>
        <v>0.61299999999999999</v>
      </c>
      <c r="M13" s="20">
        <f t="shared" si="0"/>
        <v>0.61299999999999999</v>
      </c>
      <c r="N13" s="20">
        <f t="shared" si="0"/>
        <v>0.61299999999999999</v>
      </c>
      <c r="O13" s="20">
        <f t="shared" si="0"/>
        <v>0.61299999999999999</v>
      </c>
      <c r="P13" s="33">
        <f t="shared" si="0"/>
        <v>0.67430000000000001</v>
      </c>
      <c r="Q13" s="20">
        <f t="shared" si="0"/>
        <v>0.61299999999999999</v>
      </c>
      <c r="R13" s="20">
        <f t="shared" si="0"/>
        <v>0.61299999999999999</v>
      </c>
      <c r="S13" s="20">
        <f t="shared" si="3"/>
        <v>0.61299999999999999</v>
      </c>
      <c r="T13" s="20">
        <f t="shared" si="0"/>
        <v>0.61299999999999999</v>
      </c>
      <c r="U13" s="20">
        <f t="shared" si="0"/>
        <v>0.61299999999999999</v>
      </c>
      <c r="V13" s="20">
        <f t="shared" si="0"/>
        <v>0.61299999999999999</v>
      </c>
      <c r="W13" s="16">
        <f t="shared" si="0"/>
        <v>0.61299999999999999</v>
      </c>
      <c r="Y13">
        <v>10</v>
      </c>
      <c r="Z13" s="43" t="s">
        <v>88</v>
      </c>
      <c r="AA13" t="s">
        <v>13</v>
      </c>
      <c r="AB13" s="123" t="str">
        <f t="shared" ca="1" si="1"/>
        <v/>
      </c>
      <c r="AC13" s="21" t="str">
        <f t="shared" ca="1" si="1"/>
        <v/>
      </c>
      <c r="AD13" s="21" t="str">
        <f t="shared" ca="1" si="1"/>
        <v/>
      </c>
      <c r="AE13" s="21" t="str">
        <f t="shared" ca="1" si="1"/>
        <v/>
      </c>
      <c r="AF13" s="21">
        <f t="shared" ca="1" si="1"/>
        <v>1.4526293374748901E-2</v>
      </c>
      <c r="AG13" s="21" t="str">
        <f t="shared" ca="1" si="1"/>
        <v/>
      </c>
      <c r="AH13" s="38" t="str">
        <f t="shared" ca="1" si="1"/>
        <v/>
      </c>
    </row>
    <row r="14" spans="1:34" x14ac:dyDescent="0.25">
      <c r="A14" t="s">
        <v>4</v>
      </c>
      <c r="B14" s="43" t="s">
        <v>89</v>
      </c>
      <c r="C14">
        <v>11</v>
      </c>
      <c r="D14" s="37">
        <v>5.83</v>
      </c>
      <c r="E14" s="18">
        <v>0.1</v>
      </c>
      <c r="F14" s="16">
        <f t="shared" si="2"/>
        <v>0.58300000000000007</v>
      </c>
      <c r="G14" s="20">
        <f t="shared" si="3"/>
        <v>5.83</v>
      </c>
      <c r="H14" s="20">
        <f t="shared" si="0"/>
        <v>5.83</v>
      </c>
      <c r="I14" s="20">
        <f t="shared" si="0"/>
        <v>5.83</v>
      </c>
      <c r="J14" s="20">
        <f t="shared" si="0"/>
        <v>5.83</v>
      </c>
      <c r="K14" s="20">
        <f t="shared" si="0"/>
        <v>5.83</v>
      </c>
      <c r="L14" s="20">
        <f t="shared" si="0"/>
        <v>5.83</v>
      </c>
      <c r="M14" s="20">
        <f t="shared" si="0"/>
        <v>5.83</v>
      </c>
      <c r="N14" s="20">
        <f t="shared" si="0"/>
        <v>5.83</v>
      </c>
      <c r="O14" s="20">
        <f t="shared" si="0"/>
        <v>5.83</v>
      </c>
      <c r="P14" s="20">
        <f t="shared" si="0"/>
        <v>5.83</v>
      </c>
      <c r="Q14" s="33">
        <f t="shared" si="0"/>
        <v>6.4130000000000003</v>
      </c>
      <c r="R14" s="20">
        <f t="shared" si="0"/>
        <v>5.83</v>
      </c>
      <c r="S14" s="20">
        <f t="shared" si="3"/>
        <v>5.83</v>
      </c>
      <c r="T14" s="20">
        <f t="shared" si="0"/>
        <v>5.83</v>
      </c>
      <c r="U14" s="20">
        <f t="shared" si="0"/>
        <v>5.83</v>
      </c>
      <c r="V14" s="20">
        <f t="shared" si="0"/>
        <v>5.83</v>
      </c>
      <c r="W14" s="16">
        <f t="shared" si="0"/>
        <v>5.83</v>
      </c>
      <c r="Y14">
        <v>11</v>
      </c>
      <c r="Z14" s="43" t="s">
        <v>89</v>
      </c>
      <c r="AA14" t="s">
        <v>14</v>
      </c>
      <c r="AB14" s="123" t="str">
        <f t="shared" ref="AB14:AH20" ca="1" si="4">INDIRECT($AA14&amp;AB$1)</f>
        <v/>
      </c>
      <c r="AC14" s="21">
        <f t="shared" ca="1" si="4"/>
        <v>6.0859650693577114E-2</v>
      </c>
      <c r="AD14" s="21" t="str">
        <f t="shared" ca="1" si="4"/>
        <v/>
      </c>
      <c r="AE14" s="21" t="str">
        <f t="shared" ca="1" si="4"/>
        <v/>
      </c>
      <c r="AF14" s="21" t="str">
        <f t="shared" ca="1" si="4"/>
        <v/>
      </c>
      <c r="AG14" s="21" t="str">
        <f t="shared" ca="1" si="4"/>
        <v/>
      </c>
      <c r="AH14" s="38" t="str">
        <f t="shared" ca="1" si="4"/>
        <v/>
      </c>
    </row>
    <row r="15" spans="1:34" x14ac:dyDescent="0.25">
      <c r="A15" t="s">
        <v>4</v>
      </c>
      <c r="B15" s="43" t="s">
        <v>81</v>
      </c>
      <c r="C15">
        <v>12</v>
      </c>
      <c r="D15" s="94">
        <f>855*10^-6</f>
        <v>8.5499999999999997E-4</v>
      </c>
      <c r="E15" s="18">
        <v>0.1</v>
      </c>
      <c r="F15" s="16">
        <f t="shared" si="2"/>
        <v>8.5500000000000005E-5</v>
      </c>
      <c r="G15" s="20">
        <f t="shared" si="3"/>
        <v>8.5499999999999997E-4</v>
      </c>
      <c r="H15" s="20">
        <f t="shared" si="0"/>
        <v>8.5499999999999997E-4</v>
      </c>
      <c r="I15" s="20">
        <f t="shared" si="0"/>
        <v>8.5499999999999997E-4</v>
      </c>
      <c r="J15" s="20">
        <f t="shared" si="0"/>
        <v>8.5499999999999997E-4</v>
      </c>
      <c r="K15" s="20">
        <f t="shared" si="0"/>
        <v>8.5499999999999997E-4</v>
      </c>
      <c r="L15" s="20">
        <f t="shared" si="0"/>
        <v>8.5499999999999997E-4</v>
      </c>
      <c r="M15" s="20">
        <f t="shared" si="0"/>
        <v>8.5499999999999997E-4</v>
      </c>
      <c r="N15" s="20">
        <f t="shared" si="0"/>
        <v>8.5499999999999997E-4</v>
      </c>
      <c r="O15" s="20">
        <f t="shared" si="0"/>
        <v>8.5499999999999997E-4</v>
      </c>
      <c r="P15" s="20">
        <f t="shared" si="0"/>
        <v>8.5499999999999997E-4</v>
      </c>
      <c r="Q15" s="20">
        <f t="shared" si="0"/>
        <v>8.5499999999999997E-4</v>
      </c>
      <c r="R15" s="33">
        <f t="shared" si="0"/>
        <v>9.4050000000000004E-4</v>
      </c>
      <c r="S15" s="20">
        <f t="shared" si="3"/>
        <v>8.5499999999999997E-4</v>
      </c>
      <c r="T15" s="20">
        <f t="shared" si="0"/>
        <v>8.5499999999999997E-4</v>
      </c>
      <c r="U15" s="20">
        <f t="shared" si="0"/>
        <v>8.5499999999999997E-4</v>
      </c>
      <c r="V15" s="20">
        <f t="shared" si="0"/>
        <v>8.5499999999999997E-4</v>
      </c>
      <c r="W15" s="16">
        <f t="shared" si="0"/>
        <v>8.5499999999999997E-4</v>
      </c>
      <c r="Y15">
        <v>12</v>
      </c>
      <c r="Z15" s="43" t="s">
        <v>81</v>
      </c>
      <c r="AA15" t="s">
        <v>15</v>
      </c>
      <c r="AB15" s="123">
        <f t="shared" ca="1" si="4"/>
        <v>0.31152647975077835</v>
      </c>
      <c r="AC15" s="21">
        <f t="shared" ca="1" si="4"/>
        <v>0.21720810202641161</v>
      </c>
      <c r="AD15" s="21" t="str">
        <f t="shared" ca="1" si="4"/>
        <v/>
      </c>
      <c r="AE15" s="21" t="str">
        <f t="shared" ca="1" si="4"/>
        <v/>
      </c>
      <c r="AF15" s="21">
        <f t="shared" ca="1" si="4"/>
        <v>1.0426508765108228E-2</v>
      </c>
      <c r="AG15" s="21" t="str">
        <f t="shared" ca="1" si="4"/>
        <v/>
      </c>
      <c r="AH15" s="38" t="str">
        <f t="shared" ca="1" si="4"/>
        <v/>
      </c>
    </row>
    <row r="16" spans="1:34" x14ac:dyDescent="0.25">
      <c r="A16" t="s">
        <v>4</v>
      </c>
      <c r="B16" s="43" t="s">
        <v>82</v>
      </c>
      <c r="C16">
        <v>13</v>
      </c>
      <c r="D16" s="37">
        <f>369.8*10^-7</f>
        <v>3.6980000000000002E-5</v>
      </c>
      <c r="E16" s="18">
        <v>0.1</v>
      </c>
      <c r="F16" s="16">
        <f>ABS(D16*E16)</f>
        <v>3.6980000000000004E-6</v>
      </c>
      <c r="G16" s="87">
        <f>IF(G$2=$C16,$D16*(1+$E16),$D16)</f>
        <v>3.6980000000000002E-5</v>
      </c>
      <c r="H16" s="20">
        <f t="shared" si="0"/>
        <v>3.6980000000000002E-5</v>
      </c>
      <c r="I16" s="20">
        <f t="shared" si="0"/>
        <v>3.6980000000000002E-5</v>
      </c>
      <c r="J16" s="20">
        <f t="shared" si="0"/>
        <v>3.6980000000000002E-5</v>
      </c>
      <c r="K16" s="20">
        <f t="shared" si="0"/>
        <v>3.6980000000000002E-5</v>
      </c>
      <c r="L16" s="20">
        <f t="shared" si="0"/>
        <v>3.6980000000000002E-5</v>
      </c>
      <c r="M16" s="20">
        <f t="shared" si="0"/>
        <v>3.6980000000000002E-5</v>
      </c>
      <c r="N16" s="20">
        <f t="shared" si="0"/>
        <v>3.6980000000000002E-5</v>
      </c>
      <c r="O16" s="20">
        <f t="shared" si="0"/>
        <v>3.6980000000000002E-5</v>
      </c>
      <c r="P16" s="20">
        <f t="shared" si="0"/>
        <v>3.6980000000000002E-5</v>
      </c>
      <c r="Q16" s="20">
        <f t="shared" si="0"/>
        <v>3.6980000000000002E-5</v>
      </c>
      <c r="R16" s="20">
        <f t="shared" si="0"/>
        <v>3.6980000000000002E-5</v>
      </c>
      <c r="S16" s="88">
        <f>IF(S$2=$C16,$D16*(1+$E16),$D16)</f>
        <v>4.0678000000000006E-5</v>
      </c>
      <c r="T16" s="20">
        <f t="shared" si="0"/>
        <v>3.6980000000000002E-5</v>
      </c>
      <c r="U16" s="20">
        <f t="shared" si="0"/>
        <v>3.6980000000000002E-5</v>
      </c>
      <c r="V16" s="20">
        <f t="shared" si="0"/>
        <v>3.6980000000000002E-5</v>
      </c>
      <c r="W16" s="16">
        <f t="shared" si="0"/>
        <v>3.6980000000000002E-5</v>
      </c>
      <c r="Y16">
        <v>13</v>
      </c>
      <c r="Z16" s="43" t="s">
        <v>82</v>
      </c>
      <c r="AA16" t="s">
        <v>110</v>
      </c>
      <c r="AB16" s="122" t="str">
        <f t="shared" ca="1" si="4"/>
        <v/>
      </c>
      <c r="AC16" s="97" t="str">
        <f t="shared" ca="1" si="4"/>
        <v/>
      </c>
      <c r="AD16" s="97" t="str">
        <f t="shared" ca="1" si="4"/>
        <v/>
      </c>
      <c r="AE16" s="97" t="str">
        <f t="shared" ca="1" si="4"/>
        <v/>
      </c>
      <c r="AF16" s="97" t="str">
        <f t="shared" ca="1" si="4"/>
        <v/>
      </c>
      <c r="AG16" s="97" t="str">
        <f t="shared" ca="1" si="4"/>
        <v/>
      </c>
      <c r="AH16" s="191">
        <f t="shared" ca="1" si="4"/>
        <v>5.7386221774158197E-2</v>
      </c>
    </row>
    <row r="17" spans="1:34" x14ac:dyDescent="0.25">
      <c r="A17" t="s">
        <v>4</v>
      </c>
      <c r="B17" s="43" t="s">
        <v>90</v>
      </c>
      <c r="C17">
        <v>14</v>
      </c>
      <c r="D17" s="37">
        <f>57.3*10^-3</f>
        <v>5.7299999999999997E-2</v>
      </c>
      <c r="E17" s="18">
        <v>0.1</v>
      </c>
      <c r="F17" s="16">
        <f>ABS(D17*E17)</f>
        <v>5.7299999999999999E-3</v>
      </c>
      <c r="G17" s="20">
        <f>IF(G$2=$C17,$D17*(1+$E17),$D17)</f>
        <v>5.7299999999999997E-2</v>
      </c>
      <c r="H17" s="87">
        <f t="shared" si="0"/>
        <v>5.7299999999999997E-2</v>
      </c>
      <c r="I17" s="20">
        <f t="shared" si="0"/>
        <v>5.7299999999999997E-2</v>
      </c>
      <c r="J17" s="20">
        <f t="shared" si="0"/>
        <v>5.7299999999999997E-2</v>
      </c>
      <c r="K17" s="20">
        <f t="shared" si="0"/>
        <v>5.7299999999999997E-2</v>
      </c>
      <c r="L17" s="20">
        <f t="shared" si="0"/>
        <v>5.7299999999999997E-2</v>
      </c>
      <c r="M17" s="20">
        <f t="shared" si="0"/>
        <v>5.7299999999999997E-2</v>
      </c>
      <c r="N17" s="20">
        <f t="shared" si="0"/>
        <v>5.7299999999999997E-2</v>
      </c>
      <c r="O17" s="20">
        <f t="shared" si="0"/>
        <v>5.7299999999999997E-2</v>
      </c>
      <c r="P17" s="20">
        <f t="shared" si="0"/>
        <v>5.7299999999999997E-2</v>
      </c>
      <c r="Q17" s="20">
        <f t="shared" si="0"/>
        <v>5.7299999999999997E-2</v>
      </c>
      <c r="R17" s="20">
        <f t="shared" si="0"/>
        <v>5.7299999999999997E-2</v>
      </c>
      <c r="S17" s="20">
        <f t="shared" si="3"/>
        <v>5.7299999999999997E-2</v>
      </c>
      <c r="T17" s="88">
        <f t="shared" si="0"/>
        <v>6.3030000000000003E-2</v>
      </c>
      <c r="U17" s="20">
        <f t="shared" si="0"/>
        <v>5.7299999999999997E-2</v>
      </c>
      <c r="V17" s="20">
        <f t="shared" si="0"/>
        <v>5.7299999999999997E-2</v>
      </c>
      <c r="W17" s="16">
        <f t="shared" si="0"/>
        <v>5.7299999999999997E-2</v>
      </c>
      <c r="Y17">
        <v>14</v>
      </c>
      <c r="Z17" s="43" t="s">
        <v>90</v>
      </c>
      <c r="AA17" s="20" t="s">
        <v>111</v>
      </c>
      <c r="AB17" s="123" t="str">
        <f t="shared" ca="1" si="4"/>
        <v/>
      </c>
      <c r="AC17" s="21" t="str">
        <f t="shared" ca="1" si="4"/>
        <v/>
      </c>
      <c r="AD17" s="97" t="str">
        <f t="shared" ca="1" si="4"/>
        <v/>
      </c>
      <c r="AE17" s="21" t="str">
        <f t="shared" ca="1" si="4"/>
        <v/>
      </c>
      <c r="AF17" s="21" t="str">
        <f t="shared" ca="1" si="4"/>
        <v/>
      </c>
      <c r="AG17" s="97" t="str">
        <f t="shared" ca="1" si="4"/>
        <v/>
      </c>
      <c r="AH17" s="191">
        <f t="shared" ca="1" si="4"/>
        <v>7.238944458716777E-2</v>
      </c>
    </row>
    <row r="18" spans="1:34" x14ac:dyDescent="0.25">
      <c r="A18" t="s">
        <v>4</v>
      </c>
      <c r="B18" s="43" t="s">
        <v>91</v>
      </c>
      <c r="C18">
        <v>15</v>
      </c>
      <c r="D18" s="37">
        <v>0.70899999999999996</v>
      </c>
      <c r="E18" s="18">
        <v>0.1</v>
      </c>
      <c r="F18" s="16">
        <f t="shared" ref="F18:F20" si="5">ABS(D18*E18)</f>
        <v>7.0900000000000005E-2</v>
      </c>
      <c r="G18" s="20">
        <f t="shared" si="3"/>
        <v>0.70899999999999996</v>
      </c>
      <c r="H18" s="20">
        <f t="shared" si="0"/>
        <v>0.70899999999999996</v>
      </c>
      <c r="I18" s="87">
        <f t="shared" si="0"/>
        <v>0.70899999999999996</v>
      </c>
      <c r="J18" s="20">
        <f t="shared" si="0"/>
        <v>0.70899999999999996</v>
      </c>
      <c r="K18" s="20">
        <f t="shared" si="0"/>
        <v>0.70899999999999996</v>
      </c>
      <c r="L18" s="20">
        <f t="shared" si="0"/>
        <v>0.70899999999999996</v>
      </c>
      <c r="M18" s="20">
        <f t="shared" si="0"/>
        <v>0.70899999999999996</v>
      </c>
      <c r="N18" s="20">
        <f t="shared" si="0"/>
        <v>0.70899999999999996</v>
      </c>
      <c r="O18" s="20">
        <f t="shared" si="0"/>
        <v>0.70899999999999996</v>
      </c>
      <c r="P18" s="20">
        <f t="shared" si="0"/>
        <v>0.70899999999999996</v>
      </c>
      <c r="Q18" s="20">
        <f t="shared" si="0"/>
        <v>0.70899999999999996</v>
      </c>
      <c r="R18" s="20">
        <f t="shared" si="0"/>
        <v>0.70899999999999996</v>
      </c>
      <c r="S18" s="20">
        <f t="shared" si="3"/>
        <v>0.70899999999999996</v>
      </c>
      <c r="T18" s="20">
        <f t="shared" si="0"/>
        <v>0.70899999999999996</v>
      </c>
      <c r="U18" s="88">
        <f t="shared" si="0"/>
        <v>0.77990000000000004</v>
      </c>
      <c r="V18" s="20">
        <f t="shared" si="0"/>
        <v>0.70899999999999996</v>
      </c>
      <c r="W18" s="16">
        <f t="shared" si="0"/>
        <v>0.70899999999999996</v>
      </c>
      <c r="Y18">
        <v>15</v>
      </c>
      <c r="Z18" s="43" t="s">
        <v>91</v>
      </c>
      <c r="AA18" s="25" t="s">
        <v>112</v>
      </c>
      <c r="AB18" s="122" t="str">
        <f t="shared" ca="1" si="4"/>
        <v/>
      </c>
      <c r="AC18" s="97" t="str">
        <f t="shared" ca="1" si="4"/>
        <v/>
      </c>
      <c r="AD18" s="97" t="str">
        <f t="shared" ca="1" si="4"/>
        <v/>
      </c>
      <c r="AE18" s="21" t="str">
        <f t="shared" ca="1" si="4"/>
        <v/>
      </c>
      <c r="AF18" s="21" t="str">
        <f t="shared" ca="1" si="4"/>
        <v/>
      </c>
      <c r="AG18" s="97" t="str">
        <f t="shared" ca="1" si="4"/>
        <v/>
      </c>
      <c r="AH18" s="191">
        <f t="shared" ca="1" si="4"/>
        <v>1.2428452818040414E-2</v>
      </c>
    </row>
    <row r="19" spans="1:34" x14ac:dyDescent="0.25">
      <c r="A19" t="s">
        <v>4</v>
      </c>
      <c r="B19" s="43" t="s">
        <v>79</v>
      </c>
      <c r="C19">
        <v>16</v>
      </c>
      <c r="D19" s="90">
        <v>2.3E-2</v>
      </c>
      <c r="E19" s="18">
        <v>0.02</v>
      </c>
      <c r="F19" s="16">
        <f t="shared" si="5"/>
        <v>4.6000000000000001E-4</v>
      </c>
      <c r="G19" s="20">
        <f t="shared" si="3"/>
        <v>2.3E-2</v>
      </c>
      <c r="H19" s="20">
        <f t="shared" si="0"/>
        <v>2.3E-2</v>
      </c>
      <c r="I19" s="20">
        <f t="shared" si="0"/>
        <v>2.3E-2</v>
      </c>
      <c r="J19" s="87">
        <f t="shared" si="0"/>
        <v>2.3E-2</v>
      </c>
      <c r="K19" s="20">
        <f t="shared" si="0"/>
        <v>2.3E-2</v>
      </c>
      <c r="L19" s="20">
        <f t="shared" si="0"/>
        <v>2.3E-2</v>
      </c>
      <c r="M19" s="20">
        <f t="shared" si="0"/>
        <v>2.3E-2</v>
      </c>
      <c r="N19" s="20">
        <f t="shared" si="0"/>
        <v>2.3E-2</v>
      </c>
      <c r="O19" s="20">
        <f t="shared" si="0"/>
        <v>2.3E-2</v>
      </c>
      <c r="P19" s="20">
        <f t="shared" si="0"/>
        <v>2.3E-2</v>
      </c>
      <c r="Q19" s="20">
        <f t="shared" si="0"/>
        <v>2.3E-2</v>
      </c>
      <c r="R19" s="20">
        <f t="shared" si="0"/>
        <v>2.3E-2</v>
      </c>
      <c r="S19" s="20">
        <f t="shared" si="3"/>
        <v>2.3E-2</v>
      </c>
      <c r="T19" s="20">
        <f t="shared" si="0"/>
        <v>2.3E-2</v>
      </c>
      <c r="U19" s="25">
        <f t="shared" si="0"/>
        <v>2.3E-2</v>
      </c>
      <c r="V19" s="88">
        <f t="shared" si="0"/>
        <v>2.3460000000000002E-2</v>
      </c>
      <c r="W19" s="16">
        <f t="shared" si="0"/>
        <v>2.3E-2</v>
      </c>
      <c r="Y19">
        <v>16</v>
      </c>
      <c r="Z19" s="43" t="s">
        <v>79</v>
      </c>
      <c r="AA19" s="25" t="s">
        <v>113</v>
      </c>
      <c r="AB19" s="122" t="str">
        <f t="shared" ca="1" si="4"/>
        <v/>
      </c>
      <c r="AC19" s="97">
        <f t="shared" ca="1" si="4"/>
        <v>1.6120600334894437E-2</v>
      </c>
      <c r="AD19" s="97" t="str">
        <f t="shared" ca="1" si="4"/>
        <v/>
      </c>
      <c r="AE19" s="97" t="str">
        <f t="shared" ca="1" si="4"/>
        <v/>
      </c>
      <c r="AF19" s="97" t="str">
        <f t="shared" ca="1" si="4"/>
        <v/>
      </c>
      <c r="AG19" s="97" t="str">
        <f t="shared" ca="1" si="4"/>
        <v/>
      </c>
      <c r="AH19" s="191" t="str">
        <f t="shared" ca="1" si="4"/>
        <v/>
      </c>
    </row>
    <row r="20" spans="1:34" x14ac:dyDescent="0.25">
      <c r="A20" t="s">
        <v>4</v>
      </c>
      <c r="B20" s="44" t="s">
        <v>94</v>
      </c>
      <c r="C20">
        <v>17</v>
      </c>
      <c r="D20" s="47">
        <v>0.8</v>
      </c>
      <c r="E20" s="19">
        <v>0.01</v>
      </c>
      <c r="F20" s="17">
        <f t="shared" si="5"/>
        <v>8.0000000000000002E-3</v>
      </c>
      <c r="G20" s="48">
        <f t="shared" si="3"/>
        <v>0.8</v>
      </c>
      <c r="H20" s="48">
        <f t="shared" si="3"/>
        <v>0.8</v>
      </c>
      <c r="I20" s="48">
        <f t="shared" si="3"/>
        <v>0.8</v>
      </c>
      <c r="J20" s="48">
        <f t="shared" si="3"/>
        <v>0.8</v>
      </c>
      <c r="K20" s="91">
        <f t="shared" si="3"/>
        <v>0.8</v>
      </c>
      <c r="L20" s="48">
        <f t="shared" si="3"/>
        <v>0.8</v>
      </c>
      <c r="M20" s="48">
        <f t="shared" si="3"/>
        <v>0.8</v>
      </c>
      <c r="N20" s="48">
        <f t="shared" si="3"/>
        <v>0.8</v>
      </c>
      <c r="O20" s="48">
        <f t="shared" si="3"/>
        <v>0.8</v>
      </c>
      <c r="P20" s="48">
        <f t="shared" si="3"/>
        <v>0.8</v>
      </c>
      <c r="Q20" s="48">
        <f t="shared" si="3"/>
        <v>0.8</v>
      </c>
      <c r="R20" s="48">
        <f t="shared" si="3"/>
        <v>0.8</v>
      </c>
      <c r="S20" s="48">
        <f t="shared" si="3"/>
        <v>0.8</v>
      </c>
      <c r="T20" s="48">
        <f t="shared" si="3"/>
        <v>0.8</v>
      </c>
      <c r="U20" s="48">
        <f t="shared" si="3"/>
        <v>0.8</v>
      </c>
      <c r="V20" s="48">
        <f t="shared" si="3"/>
        <v>0.8</v>
      </c>
      <c r="W20" s="92">
        <f>IF(W$2=$C20,$D20*(1+$E20),$D20)</f>
        <v>0.80800000000000005</v>
      </c>
      <c r="Y20">
        <v>17</v>
      </c>
      <c r="Z20" s="44" t="s">
        <v>94</v>
      </c>
      <c r="AA20" s="25" t="s">
        <v>114</v>
      </c>
      <c r="AB20" s="192" t="str">
        <f t="shared" ca="1" si="4"/>
        <v/>
      </c>
      <c r="AC20" s="109">
        <f t="shared" ca="1" si="4"/>
        <v>0.23561298455945495</v>
      </c>
      <c r="AD20" s="109" t="str">
        <f t="shared" ca="1" si="4"/>
        <v/>
      </c>
      <c r="AE20" s="109" t="str">
        <f t="shared" ca="1" si="4"/>
        <v/>
      </c>
      <c r="AF20" s="109" t="str">
        <f t="shared" ca="1" si="4"/>
        <v/>
      </c>
      <c r="AG20" s="109" t="str">
        <f t="shared" ca="1" si="4"/>
        <v/>
      </c>
      <c r="AH20" s="193">
        <f t="shared" ca="1" si="4"/>
        <v>4.9409743650348878E-2</v>
      </c>
    </row>
    <row r="21" spans="1:34" x14ac:dyDescent="0.25">
      <c r="B21" s="25"/>
      <c r="C21" s="20"/>
      <c r="D21" s="20"/>
      <c r="E21" s="21"/>
      <c r="F21" s="20"/>
      <c r="G21" s="8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12"/>
      <c r="AB21" s="20"/>
      <c r="AC21" s="20"/>
      <c r="AD21" s="20"/>
      <c r="AE21" s="20"/>
      <c r="AF21" s="20"/>
      <c r="AG21" s="20"/>
      <c r="AH21" s="20"/>
    </row>
    <row r="22" spans="1:34" x14ac:dyDescent="0.25">
      <c r="Y22" s="11"/>
    </row>
    <row r="23" spans="1:34" x14ac:dyDescent="0.25">
      <c r="Y23" s="12"/>
      <c r="Z23" s="62" t="s">
        <v>27</v>
      </c>
      <c r="AA23" s="56"/>
      <c r="AB23" s="194">
        <f t="shared" ref="AB23:AH23" ca="1" si="6">SUM(AB4:AB20)</f>
        <v>1</v>
      </c>
      <c r="AC23" s="194">
        <f t="shared" ca="1" si="6"/>
        <v>1</v>
      </c>
      <c r="AD23" s="195">
        <f t="shared" ca="1" si="6"/>
        <v>1</v>
      </c>
      <c r="AE23" s="194">
        <f t="shared" ca="1" si="6"/>
        <v>1</v>
      </c>
      <c r="AF23" s="194">
        <f t="shared" ca="1" si="6"/>
        <v>0.98314773927907961</v>
      </c>
      <c r="AG23" s="195">
        <f t="shared" ca="1" si="6"/>
        <v>0.98508398086717786</v>
      </c>
      <c r="AH23" s="196">
        <f t="shared" ca="1" si="6"/>
        <v>0.9965675118190791</v>
      </c>
    </row>
    <row r="24" spans="1:34" x14ac:dyDescent="0.25">
      <c r="B24" s="54" t="s">
        <v>16</v>
      </c>
      <c r="D24" s="4"/>
      <c r="X24" s="6"/>
      <c r="Y24" s="13"/>
    </row>
    <row r="25" spans="1:34" x14ac:dyDescent="0.25">
      <c r="E25" s="202" t="s">
        <v>26</v>
      </c>
      <c r="F25" s="203"/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16</v>
      </c>
      <c r="W25">
        <v>17</v>
      </c>
    </row>
    <row r="26" spans="1:34" x14ac:dyDescent="0.25">
      <c r="E26" s="76" t="s">
        <v>1</v>
      </c>
      <c r="F26" s="76" t="s">
        <v>2</v>
      </c>
      <c r="G26" s="140" t="s">
        <v>19</v>
      </c>
      <c r="H26" s="14" t="s">
        <v>18</v>
      </c>
      <c r="I26" s="14" t="s">
        <v>20</v>
      </c>
      <c r="J26" s="14" t="s">
        <v>85</v>
      </c>
      <c r="K26" s="14" t="s">
        <v>84</v>
      </c>
      <c r="L26" s="14" t="s">
        <v>86</v>
      </c>
      <c r="M26" s="14" t="s">
        <v>83</v>
      </c>
      <c r="N26" s="14" t="s">
        <v>87</v>
      </c>
      <c r="O26" s="14" t="s">
        <v>78</v>
      </c>
      <c r="P26" s="14" t="s">
        <v>88</v>
      </c>
      <c r="Q26" s="14" t="s">
        <v>89</v>
      </c>
      <c r="R26" s="14" t="s">
        <v>81</v>
      </c>
      <c r="S26" s="14" t="s">
        <v>82</v>
      </c>
      <c r="T26" s="14" t="s">
        <v>90</v>
      </c>
      <c r="U26" s="14" t="s">
        <v>91</v>
      </c>
      <c r="V26" s="14" t="s">
        <v>79</v>
      </c>
      <c r="W26" s="14" t="s">
        <v>80</v>
      </c>
    </row>
    <row r="27" spans="1:34" x14ac:dyDescent="0.25">
      <c r="B27" s="129" t="s">
        <v>95</v>
      </c>
      <c r="C27" s="81"/>
      <c r="D27" s="141">
        <f>((4*D9)/(3.14*D6*D15))</f>
        <v>9994.9094250133458</v>
      </c>
      <c r="E27" s="130">
        <f>F27/D27</f>
        <v>0.16287702606517193</v>
      </c>
      <c r="F27" s="80">
        <f>SQRT(F28)</f>
        <v>1627.9411229369314</v>
      </c>
      <c r="G27" s="131">
        <f t="shared" ref="G27:W27" si="7">((4*G9)/(3.14*G6*G15))</f>
        <v>9994.9094250133458</v>
      </c>
      <c r="H27" s="131">
        <f t="shared" si="7"/>
        <v>9994.9094250133458</v>
      </c>
      <c r="I27" s="131">
        <f t="shared" si="7"/>
        <v>9086.2812954666788</v>
      </c>
      <c r="J27" s="131">
        <f t="shared" si="7"/>
        <v>9994.9094250133458</v>
      </c>
      <c r="K27" s="131">
        <f t="shared" si="7"/>
        <v>9994.9094250133458</v>
      </c>
      <c r="L27" s="131">
        <f t="shared" si="7"/>
        <v>10994.400367514681</v>
      </c>
      <c r="M27" s="131">
        <f t="shared" si="7"/>
        <v>9994.9094250133458</v>
      </c>
      <c r="N27" s="131">
        <f t="shared" si="7"/>
        <v>9994.9094250133458</v>
      </c>
      <c r="O27" s="131">
        <f t="shared" si="7"/>
        <v>9994.9094250133458</v>
      </c>
      <c r="P27" s="131">
        <f t="shared" si="7"/>
        <v>9994.9094250133458</v>
      </c>
      <c r="Q27" s="131">
        <f t="shared" si="7"/>
        <v>9994.9094250133458</v>
      </c>
      <c r="R27" s="131">
        <f t="shared" si="7"/>
        <v>9086.2812954666788</v>
      </c>
      <c r="S27" s="131">
        <f t="shared" si="7"/>
        <v>9994.9094250133458</v>
      </c>
      <c r="T27" s="131">
        <f t="shared" si="7"/>
        <v>9994.9094250133458</v>
      </c>
      <c r="U27" s="131">
        <f t="shared" si="7"/>
        <v>9994.9094250133458</v>
      </c>
      <c r="V27" s="131">
        <f t="shared" si="7"/>
        <v>9994.9094250133458</v>
      </c>
      <c r="W27" s="132">
        <f t="shared" si="7"/>
        <v>9994.9094250133458</v>
      </c>
    </row>
    <row r="28" spans="1:34" x14ac:dyDescent="0.25">
      <c r="B28" s="39"/>
      <c r="C28" s="40"/>
      <c r="D28" s="119"/>
      <c r="E28" s="119"/>
      <c r="F28" s="138">
        <f>SUMPRODUCT(G27:W27-D27,G27:W27-D27)</f>
        <v>2650192.2997491574</v>
      </c>
      <c r="G28" s="136" t="str">
        <f t="shared" ref="G28:W28" si="8">IF(($D27-G27)^2/$F28&lt;1%,"",($D27-G27)^2/$F28)</f>
        <v/>
      </c>
      <c r="H28" s="136" t="str">
        <f t="shared" si="8"/>
        <v/>
      </c>
      <c r="I28" s="136">
        <f t="shared" si="8"/>
        <v>0.31152647975077835</v>
      </c>
      <c r="J28" s="136" t="str">
        <f t="shared" si="8"/>
        <v/>
      </c>
      <c r="K28" s="136" t="str">
        <f t="shared" si="8"/>
        <v/>
      </c>
      <c r="L28" s="136">
        <f t="shared" si="8"/>
        <v>0.3769470404984433</v>
      </c>
      <c r="M28" s="136" t="str">
        <f t="shared" si="8"/>
        <v/>
      </c>
      <c r="N28" s="136" t="str">
        <f t="shared" si="8"/>
        <v/>
      </c>
      <c r="O28" s="136" t="str">
        <f t="shared" si="8"/>
        <v/>
      </c>
      <c r="P28" s="136" t="str">
        <f t="shared" si="8"/>
        <v/>
      </c>
      <c r="Q28" s="136" t="str">
        <f t="shared" si="8"/>
        <v/>
      </c>
      <c r="R28" s="136">
        <f t="shared" si="8"/>
        <v>0.31152647975077835</v>
      </c>
      <c r="S28" s="136" t="str">
        <f t="shared" si="8"/>
        <v/>
      </c>
      <c r="T28" s="136" t="str">
        <f t="shared" si="8"/>
        <v/>
      </c>
      <c r="U28" s="136" t="str">
        <f t="shared" si="8"/>
        <v/>
      </c>
      <c r="V28" s="136" t="str">
        <f t="shared" si="8"/>
        <v/>
      </c>
      <c r="W28" s="137" t="str">
        <f t="shared" si="8"/>
        <v/>
      </c>
    </row>
    <row r="29" spans="1:34" x14ac:dyDescent="0.25">
      <c r="B29" s="129" t="s">
        <v>96</v>
      </c>
      <c r="C29" s="34"/>
      <c r="D29" s="50">
        <f>(D19*(D27^D20)*(D14^0.4))</f>
        <v>73.7595652402685</v>
      </c>
      <c r="E29" s="127">
        <f>F29/D29</f>
        <v>0.15752133730515797</v>
      </c>
      <c r="F29" s="120">
        <f>SQRT(F30)</f>
        <v>11.618705355694139</v>
      </c>
      <c r="G29" s="79">
        <f t="shared" ref="G29:W29" si="9">(G19*(G27^G20)*(G14^0.4))</f>
        <v>73.7595652402685</v>
      </c>
      <c r="H29" s="79">
        <f t="shared" si="9"/>
        <v>73.7595652402685</v>
      </c>
      <c r="I29" s="79">
        <f t="shared" si="9"/>
        <v>68.344599057619192</v>
      </c>
      <c r="J29" s="79">
        <f t="shared" si="9"/>
        <v>73.7595652402685</v>
      </c>
      <c r="K29" s="79">
        <f t="shared" si="9"/>
        <v>73.7595652402685</v>
      </c>
      <c r="L29" s="79">
        <f t="shared" si="9"/>
        <v>79.603561063351151</v>
      </c>
      <c r="M29" s="79">
        <f t="shared" si="9"/>
        <v>73.7595652402685</v>
      </c>
      <c r="N29" s="79">
        <f t="shared" si="9"/>
        <v>73.7595652402685</v>
      </c>
      <c r="O29" s="79">
        <f t="shared" si="9"/>
        <v>73.7595652402685</v>
      </c>
      <c r="P29" s="79">
        <f t="shared" si="9"/>
        <v>73.7595652402685</v>
      </c>
      <c r="Q29" s="79">
        <f t="shared" si="9"/>
        <v>76.625870667875205</v>
      </c>
      <c r="R29" s="79">
        <f t="shared" si="9"/>
        <v>68.344599057619192</v>
      </c>
      <c r="S29" s="79">
        <f t="shared" si="9"/>
        <v>73.7595652402685</v>
      </c>
      <c r="T29" s="79">
        <f t="shared" si="9"/>
        <v>73.7595652402685</v>
      </c>
      <c r="U29" s="79">
        <f t="shared" si="9"/>
        <v>73.7595652402685</v>
      </c>
      <c r="V29" s="79">
        <f t="shared" si="9"/>
        <v>75.234756545073878</v>
      </c>
      <c r="W29" s="80">
        <f t="shared" si="9"/>
        <v>79.399282720218707</v>
      </c>
    </row>
    <row r="30" spans="1:34" x14ac:dyDescent="0.25">
      <c r="B30" s="47"/>
      <c r="C30" s="48"/>
      <c r="D30" s="133"/>
      <c r="E30" s="134"/>
      <c r="F30" s="139">
        <f>SUMPRODUCT(G29:W29-D29,G29:W29-D29)</f>
        <v>134.99431414243568</v>
      </c>
      <c r="G30" s="116" t="str">
        <f t="shared" ref="G30:W30" si="10">IF(($D29-G29)^2/$F30&lt;1%,"",($D29-G29)^2/$F30)</f>
        <v/>
      </c>
      <c r="H30" s="116" t="str">
        <f t="shared" si="10"/>
        <v/>
      </c>
      <c r="I30" s="116">
        <f t="shared" si="10"/>
        <v>0.21720810202641161</v>
      </c>
      <c r="J30" s="116" t="str">
        <f t="shared" si="10"/>
        <v/>
      </c>
      <c r="K30" s="116" t="str">
        <f t="shared" si="10"/>
        <v/>
      </c>
      <c r="L30" s="116">
        <f t="shared" si="10"/>
        <v>0.25299056035925027</v>
      </c>
      <c r="M30" s="116" t="str">
        <f t="shared" si="10"/>
        <v/>
      </c>
      <c r="N30" s="116" t="str">
        <f t="shared" si="10"/>
        <v/>
      </c>
      <c r="O30" s="116" t="str">
        <f t="shared" si="10"/>
        <v/>
      </c>
      <c r="P30" s="116" t="str">
        <f t="shared" si="10"/>
        <v/>
      </c>
      <c r="Q30" s="116">
        <f t="shared" si="10"/>
        <v>6.0859650693577114E-2</v>
      </c>
      <c r="R30" s="116">
        <f t="shared" si="10"/>
        <v>0.21720810202641161</v>
      </c>
      <c r="S30" s="116" t="str">
        <f t="shared" si="10"/>
        <v/>
      </c>
      <c r="T30" s="116" t="str">
        <f t="shared" si="10"/>
        <v/>
      </c>
      <c r="U30" s="116" t="str">
        <f t="shared" si="10"/>
        <v/>
      </c>
      <c r="V30" s="116">
        <f t="shared" si="10"/>
        <v>1.6120600334894437E-2</v>
      </c>
      <c r="W30" s="117">
        <f t="shared" si="10"/>
        <v>0.23561298455945495</v>
      </c>
    </row>
    <row r="31" spans="1:34" x14ac:dyDescent="0.25">
      <c r="B31" s="114" t="s">
        <v>32</v>
      </c>
      <c r="C31" s="100"/>
      <c r="D31" s="142">
        <f>D67</f>
        <v>0.93090970763882464</v>
      </c>
      <c r="E31" s="128">
        <f>F31/D31</f>
        <v>3.7290956843611577E-2</v>
      </c>
      <c r="F31" s="46">
        <f>SQRT(F32)</f>
        <v>3.4714513732858478E-2</v>
      </c>
      <c r="G31" s="101">
        <f t="shared" ref="G31:W31" si="11">G67</f>
        <v>0.90125056524378733</v>
      </c>
      <c r="H31" s="101">
        <f t="shared" si="11"/>
        <v>0.94605350847668634</v>
      </c>
      <c r="I31" s="101">
        <f t="shared" si="11"/>
        <v>0.93090970763882464</v>
      </c>
      <c r="J31" s="101">
        <f t="shared" si="11"/>
        <v>0.93090970763882464</v>
      </c>
      <c r="K31" s="101">
        <f t="shared" si="11"/>
        <v>0.93090970763882464</v>
      </c>
      <c r="L31" s="101">
        <f t="shared" si="11"/>
        <v>0.93090970763882464</v>
      </c>
      <c r="M31" s="101">
        <f t="shared" si="11"/>
        <v>0.93607987545523952</v>
      </c>
      <c r="N31" s="101">
        <f t="shared" si="11"/>
        <v>0.9365744218733808</v>
      </c>
      <c r="O31" s="101">
        <f t="shared" si="11"/>
        <v>0.92480410286338888</v>
      </c>
      <c r="P31" s="101">
        <f t="shared" si="11"/>
        <v>0.93090970763882464</v>
      </c>
      <c r="Q31" s="101">
        <f t="shared" si="11"/>
        <v>0.93090970763882464</v>
      </c>
      <c r="R31" s="101">
        <f t="shared" si="11"/>
        <v>0.93090970763882464</v>
      </c>
      <c r="S31" s="101">
        <f t="shared" si="11"/>
        <v>0.93090970763882464</v>
      </c>
      <c r="T31" s="101">
        <f t="shared" si="11"/>
        <v>0.93090970763882464</v>
      </c>
      <c r="U31" s="101">
        <f t="shared" si="11"/>
        <v>0.93090970763882464</v>
      </c>
      <c r="V31" s="101">
        <f t="shared" si="11"/>
        <v>0.93090970763882464</v>
      </c>
      <c r="W31" s="115">
        <f t="shared" si="11"/>
        <v>0.93090970763882464</v>
      </c>
    </row>
    <row r="32" spans="1:34" x14ac:dyDescent="0.25">
      <c r="B32" s="39"/>
      <c r="C32" s="40"/>
      <c r="D32" s="119"/>
      <c r="E32" s="119"/>
      <c r="F32" s="126">
        <f>SUMPRODUCT(G31:W31-D31,G31:W31-D31)</f>
        <v>1.2050974637088198E-3</v>
      </c>
      <c r="G32" s="116">
        <f t="shared" ref="G32:W32" si="12">IF(($D31-G31)^2/$F32&lt;1%,"",($D31-G31)^2/$F32)</f>
        <v>0.72995318146453858</v>
      </c>
      <c r="H32" s="116">
        <f t="shared" si="12"/>
        <v>0.19030386398044377</v>
      </c>
      <c r="I32" s="116" t="str">
        <f t="shared" si="12"/>
        <v/>
      </c>
      <c r="J32" s="116" t="str">
        <f t="shared" si="12"/>
        <v/>
      </c>
      <c r="K32" s="116" t="str">
        <f t="shared" si="12"/>
        <v/>
      </c>
      <c r="L32" s="116" t="str">
        <f t="shared" si="12"/>
        <v/>
      </c>
      <c r="M32" s="116">
        <f t="shared" si="12"/>
        <v>2.2181305707528232E-2</v>
      </c>
      <c r="N32" s="116">
        <f t="shared" si="12"/>
        <v>2.6627711305960169E-2</v>
      </c>
      <c r="O32" s="116">
        <f t="shared" si="12"/>
        <v>3.0933937541529236E-2</v>
      </c>
      <c r="P32" s="116" t="str">
        <f t="shared" si="12"/>
        <v/>
      </c>
      <c r="Q32" s="116" t="str">
        <f t="shared" si="12"/>
        <v/>
      </c>
      <c r="R32" s="116" t="str">
        <f t="shared" si="12"/>
        <v/>
      </c>
      <c r="S32" s="116" t="str">
        <f t="shared" si="12"/>
        <v/>
      </c>
      <c r="T32" s="116" t="str">
        <f t="shared" si="12"/>
        <v/>
      </c>
      <c r="U32" s="116" t="str">
        <f t="shared" si="12"/>
        <v/>
      </c>
      <c r="V32" s="116" t="str">
        <f t="shared" si="12"/>
        <v/>
      </c>
      <c r="W32" s="117" t="str">
        <f t="shared" si="12"/>
        <v/>
      </c>
    </row>
    <row r="33" spans="1:23" x14ac:dyDescent="0.25">
      <c r="B33" s="60" t="s">
        <v>23</v>
      </c>
      <c r="C33" s="34"/>
      <c r="D33" s="50">
        <f>D53</f>
        <v>7.1064825259302476E-4</v>
      </c>
      <c r="E33" s="127">
        <f>F33/D33</f>
        <v>0.61084852536000322</v>
      </c>
      <c r="F33" s="120">
        <f>SQRT(F34)</f>
        <v>4.3409843714611228E-4</v>
      </c>
      <c r="G33" s="113">
        <f>G53</f>
        <v>7.1064825259302476E-4</v>
      </c>
      <c r="H33" s="113">
        <f t="shared" ref="H33:W33" si="13">H53</f>
        <v>1.0141838570653968E-3</v>
      </c>
      <c r="I33" s="113">
        <f t="shared" si="13"/>
        <v>4.0711264812065225E-4</v>
      </c>
      <c r="J33" s="113">
        <f t="shared" si="13"/>
        <v>7.1064825259302476E-4</v>
      </c>
      <c r="K33" s="113">
        <f t="shared" si="13"/>
        <v>7.1064825259302476E-4</v>
      </c>
      <c r="L33" s="113">
        <f t="shared" si="13"/>
        <v>7.1064825259302476E-4</v>
      </c>
      <c r="M33" s="113">
        <f t="shared" si="13"/>
        <v>7.1064825259302476E-4</v>
      </c>
      <c r="N33" s="113">
        <f t="shared" si="13"/>
        <v>6.4604386599365874E-4</v>
      </c>
      <c r="O33" s="113">
        <f t="shared" si="13"/>
        <v>7.1064825259302476E-4</v>
      </c>
      <c r="P33" s="113">
        <f t="shared" si="13"/>
        <v>7.1064825259302476E-4</v>
      </c>
      <c r="Q33" s="113">
        <f t="shared" si="13"/>
        <v>7.1064825259302476E-4</v>
      </c>
      <c r="R33" s="113">
        <f t="shared" si="13"/>
        <v>7.1064825259302476E-4</v>
      </c>
      <c r="S33" s="113">
        <f t="shared" si="13"/>
        <v>7.1064825259302476E-4</v>
      </c>
      <c r="T33" s="113">
        <f t="shared" si="13"/>
        <v>7.1064825259302476E-4</v>
      </c>
      <c r="U33" s="113">
        <f t="shared" si="13"/>
        <v>7.1064825259302476E-4</v>
      </c>
      <c r="V33" s="113">
        <f t="shared" si="13"/>
        <v>7.1064825259302476E-4</v>
      </c>
      <c r="W33" s="120">
        <f t="shared" si="13"/>
        <v>7.1064825259302476E-4</v>
      </c>
    </row>
    <row r="34" spans="1:23" x14ac:dyDescent="0.25">
      <c r="B34" s="47"/>
      <c r="C34" s="48"/>
      <c r="D34" s="134"/>
      <c r="E34" s="134"/>
      <c r="F34" s="135">
        <f>SUMPRODUCT(G33:W33-D33,G33:W33-D33)</f>
        <v>1.884414531326972E-7</v>
      </c>
      <c r="G34" s="136" t="str">
        <f t="shared" ref="G34:W34" si="14">IF(($D33-G33)^2/$F34&lt;1%,"",($D33-G33)^2/$F34)</f>
        <v/>
      </c>
      <c r="H34" s="136">
        <f t="shared" si="14"/>
        <v>0.48892566710111934</v>
      </c>
      <c r="I34" s="136">
        <f t="shared" si="14"/>
        <v>0.48892566710112073</v>
      </c>
      <c r="J34" s="136" t="str">
        <f t="shared" si="14"/>
        <v/>
      </c>
      <c r="K34" s="136" t="str">
        <f t="shared" si="14"/>
        <v/>
      </c>
      <c r="L34" s="136" t="str">
        <f t="shared" si="14"/>
        <v/>
      </c>
      <c r="M34" s="136" t="str">
        <f t="shared" si="14"/>
        <v/>
      </c>
      <c r="N34" s="136">
        <f t="shared" si="14"/>
        <v>2.2148665797759894E-2</v>
      </c>
      <c r="O34" s="136" t="str">
        <f t="shared" si="14"/>
        <v/>
      </c>
      <c r="P34" s="136" t="str">
        <f t="shared" si="14"/>
        <v/>
      </c>
      <c r="Q34" s="136" t="str">
        <f t="shared" si="14"/>
        <v/>
      </c>
      <c r="R34" s="136" t="str">
        <f t="shared" si="14"/>
        <v/>
      </c>
      <c r="S34" s="136" t="str">
        <f t="shared" si="14"/>
        <v/>
      </c>
      <c r="T34" s="136" t="str">
        <f t="shared" si="14"/>
        <v/>
      </c>
      <c r="U34" s="136" t="str">
        <f t="shared" si="14"/>
        <v/>
      </c>
      <c r="V34" s="136" t="str">
        <f t="shared" si="14"/>
        <v/>
      </c>
      <c r="W34" s="137" t="str">
        <f t="shared" si="14"/>
        <v/>
      </c>
    </row>
    <row r="37" spans="1:23" x14ac:dyDescent="0.25">
      <c r="A37" t="s">
        <v>17</v>
      </c>
      <c r="B37" s="180" t="s">
        <v>93</v>
      </c>
      <c r="C37" s="15"/>
      <c r="D37" s="141">
        <f>1/D55</f>
        <v>23.593781140987765</v>
      </c>
      <c r="E37" s="35">
        <f>F37/D37</f>
        <v>0.12727122166978339</v>
      </c>
      <c r="F37" s="55">
        <f>SQRT(F38)</f>
        <v>3.0028093496230088</v>
      </c>
      <c r="G37" s="148">
        <f t="shared" ref="G37:W37" si="15">1/G55</f>
        <v>25.819478590478841</v>
      </c>
      <c r="H37" s="112">
        <f t="shared" si="15"/>
        <v>22.823827394714087</v>
      </c>
      <c r="I37" s="112">
        <f t="shared" si="15"/>
        <v>23.45294015938212</v>
      </c>
      <c r="J37" s="112">
        <f t="shared" si="15"/>
        <v>23.593781140987765</v>
      </c>
      <c r="K37" s="112">
        <f t="shared" si="15"/>
        <v>23.593781140987765</v>
      </c>
      <c r="L37" s="112">
        <f t="shared" si="15"/>
        <v>23.885184855259926</v>
      </c>
      <c r="M37" s="112">
        <f t="shared" si="15"/>
        <v>23.550851923401652</v>
      </c>
      <c r="N37" s="112">
        <f t="shared" si="15"/>
        <v>23.747332519711449</v>
      </c>
      <c r="O37" s="112">
        <f t="shared" si="15"/>
        <v>25.352574908373445</v>
      </c>
      <c r="P37" s="112">
        <f t="shared" si="15"/>
        <v>23.955694958963278</v>
      </c>
      <c r="Q37" s="112">
        <f t="shared" si="15"/>
        <v>23.741366006153186</v>
      </c>
      <c r="R37" s="112">
        <f t="shared" si="15"/>
        <v>23.287163445106664</v>
      </c>
      <c r="S37" s="112">
        <f t="shared" si="15"/>
        <v>23.593781140987765</v>
      </c>
      <c r="T37" s="112">
        <f t="shared" si="15"/>
        <v>23.593781140987765</v>
      </c>
      <c r="U37" s="112">
        <f t="shared" si="15"/>
        <v>23.593781140987765</v>
      </c>
      <c r="V37" s="112">
        <f t="shared" si="15"/>
        <v>23.67091301962202</v>
      </c>
      <c r="W37" s="176">
        <f t="shared" si="15"/>
        <v>23.875609250806061</v>
      </c>
    </row>
    <row r="38" spans="1:23" x14ac:dyDescent="0.25">
      <c r="B38" s="29"/>
      <c r="C38" s="16"/>
      <c r="D38" s="29"/>
      <c r="E38" s="20"/>
      <c r="F38" s="49">
        <f>SUMPRODUCT(G37:R37-D37,G37:R37-D37)</f>
        <v>9.0168639901833583</v>
      </c>
      <c r="G38" s="200">
        <f t="shared" ref="G38:W38" si="16">IF(($D37-G37)^2/$F38&lt;1%,"",($D37-G37)^2/$F38)</f>
        <v>0.54938492385647542</v>
      </c>
      <c r="H38" s="98">
        <f t="shared" si="16"/>
        <v>6.5746668913525097E-2</v>
      </c>
      <c r="I38" s="98" t="str">
        <f t="shared" si="16"/>
        <v/>
      </c>
      <c r="J38" s="98" t="str">
        <f t="shared" si="16"/>
        <v/>
      </c>
      <c r="K38" s="98" t="str">
        <f t="shared" si="16"/>
        <v/>
      </c>
      <c r="L38" s="98" t="str">
        <f t="shared" si="16"/>
        <v/>
      </c>
      <c r="M38" s="98" t="str">
        <f t="shared" si="16"/>
        <v/>
      </c>
      <c r="N38" s="98" t="str">
        <f t="shared" si="16"/>
        <v/>
      </c>
      <c r="O38" s="98">
        <f t="shared" si="16"/>
        <v>0.34306334436922203</v>
      </c>
      <c r="P38" s="98">
        <f t="shared" si="16"/>
        <v>1.4526293374748901E-2</v>
      </c>
      <c r="Q38" s="98" t="str">
        <f t="shared" si="16"/>
        <v/>
      </c>
      <c r="R38" s="98">
        <f t="shared" si="16"/>
        <v>1.0426508765108228E-2</v>
      </c>
      <c r="S38" s="98" t="str">
        <f t="shared" si="16"/>
        <v/>
      </c>
      <c r="T38" s="98" t="str">
        <f t="shared" si="16"/>
        <v/>
      </c>
      <c r="U38" s="98" t="str">
        <f t="shared" si="16"/>
        <v/>
      </c>
      <c r="V38" s="98" t="str">
        <f t="shared" si="16"/>
        <v/>
      </c>
      <c r="W38" s="105" t="str">
        <f t="shared" si="16"/>
        <v/>
      </c>
    </row>
    <row r="39" spans="1:23" x14ac:dyDescent="0.25">
      <c r="A39" t="s">
        <v>17</v>
      </c>
      <c r="B39" s="181" t="s">
        <v>117</v>
      </c>
      <c r="C39" s="20"/>
      <c r="D39" s="102">
        <f>D37*(D7-D8)</f>
        <v>11796.890570493882</v>
      </c>
      <c r="E39" s="38">
        <f>F39/D39</f>
        <v>0.21306797944627726</v>
      </c>
      <c r="F39" s="30">
        <f>SQRT(F40)</f>
        <v>2513.5396376039726</v>
      </c>
      <c r="G39" s="149">
        <f t="shared" ref="G39:W39" si="17">G37*(G7-G8)</f>
        <v>12909.73929523942</v>
      </c>
      <c r="H39" s="99">
        <f t="shared" si="17"/>
        <v>11411.913697357044</v>
      </c>
      <c r="I39" s="99">
        <f t="shared" si="17"/>
        <v>11726.47007969106</v>
      </c>
      <c r="J39" s="99">
        <f t="shared" si="17"/>
        <v>13684.393061772907</v>
      </c>
      <c r="K39" s="99">
        <f t="shared" si="17"/>
        <v>11089.07713626425</v>
      </c>
      <c r="L39" s="99">
        <f t="shared" si="17"/>
        <v>11942.592427629963</v>
      </c>
      <c r="M39" s="99">
        <f t="shared" si="17"/>
        <v>11775.425961700827</v>
      </c>
      <c r="N39" s="99">
        <f t="shared" si="17"/>
        <v>11873.666259855725</v>
      </c>
      <c r="O39" s="99">
        <f t="shared" si="17"/>
        <v>12676.287454186722</v>
      </c>
      <c r="P39" s="99">
        <f t="shared" si="17"/>
        <v>11977.847479481639</v>
      </c>
      <c r="Q39" s="99">
        <f t="shared" si="17"/>
        <v>11870.683003076592</v>
      </c>
      <c r="R39" s="99">
        <f t="shared" si="17"/>
        <v>11643.581722553332</v>
      </c>
      <c r="S39" s="99">
        <f t="shared" si="17"/>
        <v>11796.890570493882</v>
      </c>
      <c r="T39" s="99">
        <f t="shared" si="17"/>
        <v>11796.890570493882</v>
      </c>
      <c r="U39" s="99">
        <f t="shared" si="17"/>
        <v>11796.890570493882</v>
      </c>
      <c r="V39" s="99">
        <f t="shared" si="17"/>
        <v>11835.456509811011</v>
      </c>
      <c r="W39" s="150">
        <f t="shared" si="17"/>
        <v>11937.804625403031</v>
      </c>
    </row>
    <row r="40" spans="1:23" x14ac:dyDescent="0.25">
      <c r="B40" s="29"/>
      <c r="C40" s="20"/>
      <c r="D40" s="53"/>
      <c r="E40" s="16"/>
      <c r="F40" s="31">
        <f>SUMPRODUCT(G39:R39-D39,G39:R39-D39)</f>
        <v>6317881.5098063108</v>
      </c>
      <c r="G40" s="143">
        <f t="shared" ref="G40:W40" si="18">IF(($D39-G39)^2/$F40&lt;1%,"",($D39-G39)^2/$F40)</f>
        <v>0.19602018212046787</v>
      </c>
      <c r="H40" s="96">
        <f t="shared" si="18"/>
        <v>2.3458368540178767E-2</v>
      </c>
      <c r="I40" s="96" t="str">
        <f t="shared" si="18"/>
        <v/>
      </c>
      <c r="J40" s="96">
        <f t="shared" si="18"/>
        <v>0.56390194229738688</v>
      </c>
      <c r="K40" s="96">
        <f t="shared" si="18"/>
        <v>7.9298710635569619E-2</v>
      </c>
      <c r="L40" s="144" t="str">
        <f t="shared" si="18"/>
        <v/>
      </c>
      <c r="M40" s="144" t="str">
        <f t="shared" si="18"/>
        <v/>
      </c>
      <c r="N40" s="144" t="str">
        <f t="shared" si="18"/>
        <v/>
      </c>
      <c r="O40" s="96">
        <f t="shared" si="18"/>
        <v>0.12240477727357481</v>
      </c>
      <c r="P40" s="96" t="str">
        <f t="shared" si="18"/>
        <v/>
      </c>
      <c r="Q40" s="96" t="str">
        <f t="shared" si="18"/>
        <v/>
      </c>
      <c r="R40" s="175" t="str">
        <f t="shared" si="18"/>
        <v/>
      </c>
      <c r="S40" s="175" t="str">
        <f t="shared" si="18"/>
        <v/>
      </c>
      <c r="T40" s="175" t="str">
        <f t="shared" si="18"/>
        <v/>
      </c>
      <c r="U40" s="175" t="str">
        <f t="shared" si="18"/>
        <v/>
      </c>
      <c r="V40" s="175" t="str">
        <f t="shared" si="18"/>
        <v/>
      </c>
      <c r="W40" s="145" t="str">
        <f t="shared" si="18"/>
        <v/>
      </c>
    </row>
    <row r="41" spans="1:23" x14ac:dyDescent="0.25">
      <c r="A41" t="s">
        <v>17</v>
      </c>
      <c r="B41" s="182" t="s">
        <v>92</v>
      </c>
      <c r="C41" s="25"/>
      <c r="D41" s="52">
        <f>D71</f>
        <v>4.8787037836172061E-2</v>
      </c>
      <c r="E41" s="38">
        <f>F41/D41</f>
        <v>0.41743926241857904</v>
      </c>
      <c r="F41" s="30">
        <f>SQRT(F42)</f>
        <v>2.0365625089918973E-2</v>
      </c>
      <c r="G41" s="149">
        <f t="shared" ref="G41:W41" si="19">G71</f>
        <v>6.5359545079047357E-2</v>
      </c>
      <c r="H41" s="99">
        <f t="shared" si="19"/>
        <v>4.4192109207274323E-2</v>
      </c>
      <c r="I41" s="99">
        <f t="shared" si="19"/>
        <v>4.8787037836172061E-2</v>
      </c>
      <c r="J41" s="99">
        <f t="shared" si="19"/>
        <v>4.8787037836172061E-2</v>
      </c>
      <c r="K41" s="99">
        <f t="shared" si="19"/>
        <v>4.8787037836172061E-2</v>
      </c>
      <c r="L41" s="99">
        <f t="shared" si="19"/>
        <v>4.8787037836172061E-2</v>
      </c>
      <c r="M41" s="99">
        <f t="shared" si="19"/>
        <v>4.8787037836172061E-2</v>
      </c>
      <c r="N41" s="99">
        <f t="shared" si="19"/>
        <v>4.8787037836172061E-2</v>
      </c>
      <c r="O41" s="99">
        <f t="shared" si="19"/>
        <v>5.4959569874563872E-2</v>
      </c>
      <c r="P41" s="99">
        <f t="shared" si="19"/>
        <v>4.8787037836172061E-2</v>
      </c>
      <c r="Q41" s="99">
        <f t="shared" si="19"/>
        <v>4.8787037836172061E-2</v>
      </c>
      <c r="R41" s="99">
        <f t="shared" si="19"/>
        <v>4.8787037836172061E-2</v>
      </c>
      <c r="S41" s="99">
        <f t="shared" si="19"/>
        <v>5.3665709161191212E-2</v>
      </c>
      <c r="T41" s="99">
        <f t="shared" si="19"/>
        <v>4.33076080422247E-2</v>
      </c>
      <c r="U41" s="99">
        <f t="shared" si="19"/>
        <v>4.6516617445327556E-2</v>
      </c>
      <c r="V41" s="99">
        <f t="shared" si="19"/>
        <v>4.7593867988565602E-2</v>
      </c>
      <c r="W41" s="150">
        <f t="shared" si="19"/>
        <v>4.4260105064682767E-2</v>
      </c>
    </row>
    <row r="42" spans="1:23" x14ac:dyDescent="0.25">
      <c r="B42" s="119"/>
      <c r="C42" s="40"/>
      <c r="D42" s="59"/>
      <c r="E42" s="17"/>
      <c r="F42" s="41">
        <f>SUMPRODUCT(G41:W41-D41,G41:W41-D41)</f>
        <v>4.1475868530313725E-4</v>
      </c>
      <c r="G42" s="146">
        <f t="shared" ref="G42:W42" si="20">IF(($D41-G41)^2/$F42&lt;1%,"",($D41-G41)^2/$F42)</f>
        <v>0.66218745031082471</v>
      </c>
      <c r="H42" s="136">
        <f t="shared" si="20"/>
        <v>5.0905188614031753E-2</v>
      </c>
      <c r="I42" s="136" t="str">
        <f t="shared" si="20"/>
        <v/>
      </c>
      <c r="J42" s="136" t="str">
        <f t="shared" si="20"/>
        <v/>
      </c>
      <c r="K42" s="136" t="str">
        <f t="shared" si="20"/>
        <v/>
      </c>
      <c r="L42" s="147" t="str">
        <f t="shared" si="20"/>
        <v/>
      </c>
      <c r="M42" s="147" t="str">
        <f t="shared" si="20"/>
        <v/>
      </c>
      <c r="N42" s="147" t="str">
        <f t="shared" si="20"/>
        <v/>
      </c>
      <c r="O42" s="136">
        <f t="shared" si="20"/>
        <v>9.1861010064507462E-2</v>
      </c>
      <c r="P42" s="136" t="str">
        <f t="shared" si="20"/>
        <v/>
      </c>
      <c r="Q42" s="136" t="str">
        <f t="shared" si="20"/>
        <v/>
      </c>
      <c r="R42" s="177" t="str">
        <f t="shared" si="20"/>
        <v/>
      </c>
      <c r="S42" s="116">
        <f t="shared" si="20"/>
        <v>5.7386221774158197E-2</v>
      </c>
      <c r="T42" s="116">
        <f t="shared" si="20"/>
        <v>7.238944458716777E-2</v>
      </c>
      <c r="U42" s="116">
        <f t="shared" si="20"/>
        <v>1.2428452818040414E-2</v>
      </c>
      <c r="V42" s="116" t="str">
        <f t="shared" si="20"/>
        <v/>
      </c>
      <c r="W42" s="117">
        <f t="shared" si="20"/>
        <v>4.9409743650348878E-2</v>
      </c>
    </row>
    <row r="46" spans="1:23" x14ac:dyDescent="0.25">
      <c r="B46" s="54" t="s">
        <v>98</v>
      </c>
    </row>
    <row r="48" spans="1:23" x14ac:dyDescent="0.25">
      <c r="B48" s="42" t="s">
        <v>108</v>
      </c>
    </row>
    <row r="49" spans="2:26" x14ac:dyDescent="0.25">
      <c r="B49" s="60" t="s">
        <v>25</v>
      </c>
      <c r="C49" s="34"/>
      <c r="D49" s="103">
        <f>(((D13/D6)*D29)*3.14*D6)^-1</f>
        <v>7.0435488215322625E-3</v>
      </c>
      <c r="E49" s="127">
        <f>F49/D49</f>
        <v>0.18176327105908988</v>
      </c>
      <c r="F49" s="120">
        <f>SQRT(F50)</f>
        <v>1.2802584736661016E-3</v>
      </c>
      <c r="G49" s="79">
        <f t="shared" ref="G49:W49" si="21">(((G13/G6)*G29)*3.14*G6)^-1</f>
        <v>7.0435488215322625E-3</v>
      </c>
      <c r="H49" s="79">
        <f t="shared" si="21"/>
        <v>7.0435488215322625E-3</v>
      </c>
      <c r="I49" s="79">
        <f t="shared" si="21"/>
        <v>7.601611626791847E-3</v>
      </c>
      <c r="J49" s="79">
        <f t="shared" si="21"/>
        <v>7.0435488215322625E-3</v>
      </c>
      <c r="K49" s="79">
        <f t="shared" si="21"/>
        <v>7.0435488215322625E-3</v>
      </c>
      <c r="L49" s="79">
        <f t="shared" si="21"/>
        <v>6.5264554987856218E-3</v>
      </c>
      <c r="M49" s="79">
        <f t="shared" si="21"/>
        <v>7.0435488215322625E-3</v>
      </c>
      <c r="N49" s="79">
        <f t="shared" si="21"/>
        <v>7.0435488215322625E-3</v>
      </c>
      <c r="O49" s="79">
        <f t="shared" si="21"/>
        <v>7.0435488215322625E-3</v>
      </c>
      <c r="P49" s="79">
        <f t="shared" si="21"/>
        <v>6.4032262013929645E-3</v>
      </c>
      <c r="Q49" s="79">
        <f t="shared" si="21"/>
        <v>6.7800743312484632E-3</v>
      </c>
      <c r="R49" s="79">
        <f t="shared" si="21"/>
        <v>7.601611626791847E-3</v>
      </c>
      <c r="S49" s="79">
        <f t="shared" si="21"/>
        <v>7.0435488215322625E-3</v>
      </c>
      <c r="T49" s="79">
        <f t="shared" si="21"/>
        <v>7.0435488215322625E-3</v>
      </c>
      <c r="U49" s="79">
        <f t="shared" si="21"/>
        <v>7.0435488215322625E-3</v>
      </c>
      <c r="V49" s="79">
        <f t="shared" si="21"/>
        <v>6.9054400211100604E-3</v>
      </c>
      <c r="W49" s="80">
        <f t="shared" si="21"/>
        <v>6.5432467526879718E-3</v>
      </c>
      <c r="Z49" s="25"/>
    </row>
    <row r="50" spans="2:26" x14ac:dyDescent="0.25">
      <c r="B50" s="37"/>
      <c r="C50" s="20"/>
      <c r="D50" s="118"/>
      <c r="E50" s="29"/>
      <c r="F50" s="125">
        <f>SUMPRODUCT(G49:W49-D49,G49:W49-D49)</f>
        <v>1.6390617593938563E-6</v>
      </c>
      <c r="G50" s="151" t="str">
        <f t="shared" ref="G50:W50" si="22">IF(($D49-G49)^2/$F50&lt;1%,"",($D49-G49)^2/$F50)</f>
        <v/>
      </c>
      <c r="H50" s="151" t="str">
        <f t="shared" si="22"/>
        <v/>
      </c>
      <c r="I50" s="96">
        <f t="shared" si="22"/>
        <v>0.19000754110044565</v>
      </c>
      <c r="J50" s="151" t="str">
        <f t="shared" si="22"/>
        <v/>
      </c>
      <c r="K50" s="151" t="str">
        <f t="shared" si="22"/>
        <v/>
      </c>
      <c r="L50" s="96">
        <f t="shared" si="22"/>
        <v>0.1631332699312342</v>
      </c>
      <c r="M50" s="151" t="str">
        <f t="shared" si="22"/>
        <v/>
      </c>
      <c r="N50" s="151" t="str">
        <f t="shared" si="22"/>
        <v/>
      </c>
      <c r="O50" s="151" t="str">
        <f t="shared" si="22"/>
        <v/>
      </c>
      <c r="P50" s="96">
        <f t="shared" si="22"/>
        <v>0.25015107302221684</v>
      </c>
      <c r="Q50" s="96">
        <f t="shared" si="22"/>
        <v>4.2352770804670432E-2</v>
      </c>
      <c r="R50" s="96">
        <f t="shared" si="22"/>
        <v>0.19000754110044565</v>
      </c>
      <c r="S50" s="96" t="str">
        <f t="shared" si="22"/>
        <v/>
      </c>
      <c r="T50" s="96" t="str">
        <f t="shared" si="22"/>
        <v/>
      </c>
      <c r="U50" s="96" t="str">
        <f t="shared" si="22"/>
        <v/>
      </c>
      <c r="V50" s="96">
        <f t="shared" si="22"/>
        <v>1.1637170255935598E-2</v>
      </c>
      <c r="W50" s="104">
        <f t="shared" si="22"/>
        <v>0.15271063378505151</v>
      </c>
    </row>
    <row r="51" spans="2:26" x14ac:dyDescent="0.25">
      <c r="B51" s="61" t="s">
        <v>28</v>
      </c>
      <c r="C51" s="20"/>
      <c r="D51" s="118">
        <f>(D67*D12*D62)^-1</f>
        <v>3.4629852944155694E-2</v>
      </c>
      <c r="E51" s="18">
        <f>F51/D51</f>
        <v>0.13942643705145893</v>
      </c>
      <c r="F51" s="124">
        <f>SQRT(F52)</f>
        <v>4.8283170116196041E-3</v>
      </c>
      <c r="G51" s="45">
        <f t="shared" ref="G51:W51" si="23">(G67*G12*G62)^-1</f>
        <v>3.0976251974088986E-2</v>
      </c>
      <c r="H51" s="45">
        <f t="shared" si="23"/>
        <v>3.575612827934125E-2</v>
      </c>
      <c r="I51" s="45">
        <f t="shared" si="23"/>
        <v>3.4629852944155694E-2</v>
      </c>
      <c r="J51" s="45">
        <f t="shared" si="23"/>
        <v>3.4629852944155694E-2</v>
      </c>
      <c r="K51" s="45">
        <f t="shared" si="23"/>
        <v>3.4629852944155694E-2</v>
      </c>
      <c r="L51" s="45">
        <f t="shared" si="23"/>
        <v>3.4629852944155694E-2</v>
      </c>
      <c r="M51" s="45">
        <f t="shared" si="23"/>
        <v>3.4707111894758988E-2</v>
      </c>
      <c r="N51" s="45">
        <f t="shared" si="23"/>
        <v>3.4420400052498711E-2</v>
      </c>
      <c r="O51" s="45">
        <f t="shared" si="23"/>
        <v>3.1689528212718067E-2</v>
      </c>
      <c r="P51" s="45">
        <f t="shared" si="23"/>
        <v>3.4629852944155694E-2</v>
      </c>
      <c r="Q51" s="45">
        <f t="shared" si="23"/>
        <v>3.4629852944155694E-2</v>
      </c>
      <c r="R51" s="45">
        <f t="shared" si="23"/>
        <v>3.4629852944155694E-2</v>
      </c>
      <c r="S51" s="45">
        <f t="shared" si="23"/>
        <v>3.4629852944155694E-2</v>
      </c>
      <c r="T51" s="45">
        <f t="shared" si="23"/>
        <v>3.4629852944155694E-2</v>
      </c>
      <c r="U51" s="45">
        <f t="shared" si="23"/>
        <v>3.4629852944155694E-2</v>
      </c>
      <c r="V51" s="45">
        <f t="shared" si="23"/>
        <v>3.4629852944155694E-2</v>
      </c>
      <c r="W51" s="46">
        <f t="shared" si="23"/>
        <v>3.4629852944155694E-2</v>
      </c>
      <c r="Y51" s="9"/>
    </row>
    <row r="52" spans="2:26" x14ac:dyDescent="0.25">
      <c r="B52" s="37"/>
      <c r="C52" s="20"/>
      <c r="D52" s="118"/>
      <c r="E52" s="29"/>
      <c r="F52" s="124">
        <f>SUMPRODUCT(G51:W51-D51,G51:W51-D51)</f>
        <v>2.3312645164695268E-5</v>
      </c>
      <c r="G52" s="96">
        <f t="shared" ref="G52:W52" si="24">IF(($D51-G51)^2/$F52&lt;1%,"",($D51-G51)^2/$F52)</f>
        <v>0.57259911752476056</v>
      </c>
      <c r="H52" s="96">
        <f t="shared" si="24"/>
        <v>5.4412363834557484E-2</v>
      </c>
      <c r="I52" s="151" t="str">
        <f t="shared" si="24"/>
        <v/>
      </c>
      <c r="J52" s="151" t="str">
        <f t="shared" si="24"/>
        <v/>
      </c>
      <c r="K52" s="151" t="str">
        <f t="shared" si="24"/>
        <v/>
      </c>
      <c r="L52" s="151" t="str">
        <f t="shared" si="24"/>
        <v/>
      </c>
      <c r="M52" s="151" t="str">
        <f t="shared" si="24"/>
        <v/>
      </c>
      <c r="N52" s="151" t="str">
        <f t="shared" si="24"/>
        <v/>
      </c>
      <c r="O52" s="96">
        <f t="shared" si="24"/>
        <v>0.37085064630059805</v>
      </c>
      <c r="P52" s="96" t="str">
        <f t="shared" si="24"/>
        <v/>
      </c>
      <c r="Q52" s="96" t="str">
        <f t="shared" si="24"/>
        <v/>
      </c>
      <c r="R52" s="96" t="str">
        <f t="shared" si="24"/>
        <v/>
      </c>
      <c r="S52" s="96" t="str">
        <f t="shared" si="24"/>
        <v/>
      </c>
      <c r="T52" s="96" t="str">
        <f t="shared" si="24"/>
        <v/>
      </c>
      <c r="U52" s="96" t="str">
        <f t="shared" si="24"/>
        <v/>
      </c>
      <c r="V52" s="96" t="str">
        <f t="shared" si="24"/>
        <v/>
      </c>
      <c r="W52" s="104" t="str">
        <f t="shared" si="24"/>
        <v/>
      </c>
      <c r="Y52" s="6"/>
      <c r="Z52" s="3"/>
    </row>
    <row r="53" spans="2:26" x14ac:dyDescent="0.25">
      <c r="B53" s="61" t="s">
        <v>23</v>
      </c>
      <c r="C53" s="20"/>
      <c r="D53" s="118">
        <f>(LN(D5/D6))/(2*3.14*D11*D59)</f>
        <v>7.1064825259302476E-4</v>
      </c>
      <c r="E53" s="18">
        <f>F53/D53</f>
        <v>0.61084852536000322</v>
      </c>
      <c r="F53" s="124">
        <f>SQRT(F54)</f>
        <v>4.3409843714611228E-4</v>
      </c>
      <c r="G53" s="45">
        <f t="shared" ref="G53:W53" si="25">(LN(G5/G6))/(2*3.14*G11*G59)</f>
        <v>7.1064825259302476E-4</v>
      </c>
      <c r="H53" s="45">
        <f t="shared" si="25"/>
        <v>1.0141838570653968E-3</v>
      </c>
      <c r="I53" s="111">
        <f t="shared" si="25"/>
        <v>4.0711264812065225E-4</v>
      </c>
      <c r="J53" s="45">
        <f t="shared" si="25"/>
        <v>7.1064825259302476E-4</v>
      </c>
      <c r="K53" s="45">
        <f t="shared" si="25"/>
        <v>7.1064825259302476E-4</v>
      </c>
      <c r="L53" s="45">
        <f t="shared" si="25"/>
        <v>7.1064825259302476E-4</v>
      </c>
      <c r="M53" s="45">
        <f t="shared" si="25"/>
        <v>7.1064825259302476E-4</v>
      </c>
      <c r="N53" s="45">
        <f t="shared" si="25"/>
        <v>6.4604386599365874E-4</v>
      </c>
      <c r="O53" s="45">
        <f t="shared" si="25"/>
        <v>7.1064825259302476E-4</v>
      </c>
      <c r="P53" s="45">
        <f t="shared" si="25"/>
        <v>7.1064825259302476E-4</v>
      </c>
      <c r="Q53" s="45">
        <f t="shared" si="25"/>
        <v>7.1064825259302476E-4</v>
      </c>
      <c r="R53" s="45">
        <f t="shared" si="25"/>
        <v>7.1064825259302476E-4</v>
      </c>
      <c r="S53" s="45">
        <f t="shared" si="25"/>
        <v>7.1064825259302476E-4</v>
      </c>
      <c r="T53" s="45">
        <f t="shared" si="25"/>
        <v>7.1064825259302476E-4</v>
      </c>
      <c r="U53" s="45">
        <f t="shared" si="25"/>
        <v>7.1064825259302476E-4</v>
      </c>
      <c r="V53" s="45">
        <f t="shared" si="25"/>
        <v>7.1064825259302476E-4</v>
      </c>
      <c r="W53" s="46">
        <f t="shared" si="25"/>
        <v>7.1064825259302476E-4</v>
      </c>
      <c r="Y53" s="8"/>
      <c r="Z53" s="3"/>
    </row>
    <row r="54" spans="2:26" x14ac:dyDescent="0.25">
      <c r="B54" s="37"/>
      <c r="C54" s="20"/>
      <c r="D54" s="51"/>
      <c r="E54" s="29"/>
      <c r="F54" s="121">
        <f>SUMPRODUCT(G53:W53-D53,G53:W53-D53)</f>
        <v>1.884414531326972E-7</v>
      </c>
      <c r="G54" s="96" t="str">
        <f t="shared" ref="G54:W54" si="26">IF(($D53-G53)^2/$F54&lt;1%,"",($D53-G53)^2/$F54)</f>
        <v/>
      </c>
      <c r="H54" s="96">
        <f t="shared" si="26"/>
        <v>0.48892566710111934</v>
      </c>
      <c r="I54" s="96">
        <f t="shared" si="26"/>
        <v>0.48892566710112073</v>
      </c>
      <c r="J54" s="96" t="str">
        <f t="shared" si="26"/>
        <v/>
      </c>
      <c r="K54" s="96" t="str">
        <f t="shared" si="26"/>
        <v/>
      </c>
      <c r="L54" s="96" t="str">
        <f t="shared" si="26"/>
        <v/>
      </c>
      <c r="M54" s="96" t="str">
        <f t="shared" si="26"/>
        <v/>
      </c>
      <c r="N54" s="96">
        <f t="shared" si="26"/>
        <v>2.2148665797759894E-2</v>
      </c>
      <c r="O54" s="96" t="str">
        <f t="shared" si="26"/>
        <v/>
      </c>
      <c r="P54" s="96" t="str">
        <f t="shared" si="26"/>
        <v/>
      </c>
      <c r="Q54" s="96" t="str">
        <f t="shared" si="26"/>
        <v/>
      </c>
      <c r="R54" s="96" t="str">
        <f t="shared" si="26"/>
        <v/>
      </c>
      <c r="S54" s="96" t="str">
        <f t="shared" si="26"/>
        <v/>
      </c>
      <c r="T54" s="96" t="str">
        <f t="shared" si="26"/>
        <v/>
      </c>
      <c r="U54" s="96" t="str">
        <f t="shared" si="26"/>
        <v/>
      </c>
      <c r="V54" s="96" t="str">
        <f t="shared" si="26"/>
        <v/>
      </c>
      <c r="W54" s="104" t="str">
        <f t="shared" si="26"/>
        <v/>
      </c>
      <c r="Y54" s="8"/>
    </row>
    <row r="55" spans="2:26" x14ac:dyDescent="0.25">
      <c r="B55" s="37" t="s">
        <v>97</v>
      </c>
      <c r="C55" s="20"/>
      <c r="D55" s="118">
        <f>(D53+D49+D51)</f>
        <v>4.238405001828098E-2</v>
      </c>
      <c r="E55" s="18">
        <f>F55/D55</f>
        <v>0.11917115154236511</v>
      </c>
      <c r="F55" s="124">
        <f>SQRT(F56)</f>
        <v>5.0509560477077454E-3</v>
      </c>
      <c r="G55" s="45">
        <f t="shared" ref="G55:W55" si="27">(G53+G49+G51)</f>
        <v>3.8730449048214273E-2</v>
      </c>
      <c r="H55" s="45">
        <f t="shared" si="27"/>
        <v>4.3813860957938905E-2</v>
      </c>
      <c r="I55" s="45">
        <f t="shared" si="27"/>
        <v>4.2638577219068191E-2</v>
      </c>
      <c r="J55" s="45">
        <f t="shared" si="27"/>
        <v>4.238405001828098E-2</v>
      </c>
      <c r="K55" s="45">
        <f t="shared" si="27"/>
        <v>4.238405001828098E-2</v>
      </c>
      <c r="L55" s="45">
        <f t="shared" si="27"/>
        <v>4.1866956695534342E-2</v>
      </c>
      <c r="M55" s="45">
        <f t="shared" si="27"/>
        <v>4.2461308968884275E-2</v>
      </c>
      <c r="N55" s="45">
        <f t="shared" si="27"/>
        <v>4.2109992740024631E-2</v>
      </c>
      <c r="O55" s="45">
        <f t="shared" si="27"/>
        <v>3.9443725286843354E-2</v>
      </c>
      <c r="P55" s="45">
        <f t="shared" si="27"/>
        <v>4.1743727398141681E-2</v>
      </c>
      <c r="Q55" s="45">
        <f t="shared" si="27"/>
        <v>4.2120575527997181E-2</v>
      </c>
      <c r="R55" s="45">
        <f t="shared" si="27"/>
        <v>4.2942112823540567E-2</v>
      </c>
      <c r="S55" s="45">
        <f t="shared" si="27"/>
        <v>4.238405001828098E-2</v>
      </c>
      <c r="T55" s="45">
        <f t="shared" si="27"/>
        <v>4.238405001828098E-2</v>
      </c>
      <c r="U55" s="45">
        <f t="shared" si="27"/>
        <v>4.238405001828098E-2</v>
      </c>
      <c r="V55" s="45">
        <f t="shared" si="27"/>
        <v>4.2245941217858782E-2</v>
      </c>
      <c r="W55" s="46">
        <f t="shared" si="27"/>
        <v>4.1883747949436688E-2</v>
      </c>
    </row>
    <row r="56" spans="2:26" x14ac:dyDescent="0.25">
      <c r="B56" s="47"/>
      <c r="C56" s="48"/>
      <c r="D56" s="134"/>
      <c r="E56" s="134"/>
      <c r="F56" s="183">
        <f>SUMPRODUCT(G55:W55-D55,G55:W55-D55)</f>
        <v>2.5512156995875449E-5</v>
      </c>
      <c r="G56" s="136">
        <f t="shared" ref="G56:W56" si="28">IF(($D55-G55)^2/$F56&lt;1%,"",($D55-G55)^2/$F56)</f>
        <v>0.52323290620352036</v>
      </c>
      <c r="H56" s="136">
        <f t="shared" si="28"/>
        <v>8.0132750966372165E-2</v>
      </c>
      <c r="I56" s="152" t="str">
        <f t="shared" si="28"/>
        <v/>
      </c>
      <c r="J56" s="152" t="str">
        <f t="shared" si="28"/>
        <v/>
      </c>
      <c r="K56" s="152" t="str">
        <f t="shared" si="28"/>
        <v/>
      </c>
      <c r="L56" s="147">
        <f t="shared" si="28"/>
        <v>1.0480709430895518E-2</v>
      </c>
      <c r="M56" s="152" t="str">
        <f t="shared" si="28"/>
        <v/>
      </c>
      <c r="N56" s="152" t="str">
        <f t="shared" si="28"/>
        <v/>
      </c>
      <c r="O56" s="136">
        <f t="shared" si="28"/>
        <v>0.33887803088157037</v>
      </c>
      <c r="P56" s="136">
        <f t="shared" si="28"/>
        <v>1.6071281543475324E-2</v>
      </c>
      <c r="Q56" s="136" t="str">
        <f t="shared" si="28"/>
        <v/>
      </c>
      <c r="R56" s="136">
        <f t="shared" si="28"/>
        <v>1.2207281989701946E-2</v>
      </c>
      <c r="S56" s="136" t="str">
        <f t="shared" si="28"/>
        <v/>
      </c>
      <c r="T56" s="136" t="str">
        <f t="shared" si="28"/>
        <v/>
      </c>
      <c r="U56" s="136" t="str">
        <f t="shared" si="28"/>
        <v/>
      </c>
      <c r="V56" s="136" t="str">
        <f t="shared" si="28"/>
        <v/>
      </c>
      <c r="W56" s="184" t="str">
        <f t="shared" si="28"/>
        <v/>
      </c>
    </row>
    <row r="57" spans="2:26" x14ac:dyDescent="0.25">
      <c r="Z57" s="7"/>
    </row>
    <row r="58" spans="2:26" x14ac:dyDescent="0.25">
      <c r="B58" s="42" t="s">
        <v>106</v>
      </c>
      <c r="S58" s="8"/>
      <c r="Z58" s="7"/>
    </row>
    <row r="59" spans="2:26" x14ac:dyDescent="0.25">
      <c r="B59" s="69" t="s">
        <v>36</v>
      </c>
      <c r="C59" s="34"/>
      <c r="D59" s="34">
        <v>1</v>
      </c>
      <c r="E59" s="34"/>
      <c r="F59" s="34"/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4">
        <v>1</v>
      </c>
      <c r="P59" s="34">
        <v>1</v>
      </c>
      <c r="Q59" s="34">
        <v>1</v>
      </c>
      <c r="R59" s="34">
        <v>1</v>
      </c>
      <c r="S59" s="34">
        <v>1</v>
      </c>
      <c r="T59" s="34">
        <v>1</v>
      </c>
      <c r="U59" s="34">
        <v>1</v>
      </c>
      <c r="V59" s="34">
        <v>1</v>
      </c>
      <c r="W59" s="15">
        <v>1</v>
      </c>
      <c r="Z59" s="5"/>
    </row>
    <row r="60" spans="2:26" x14ac:dyDescent="0.25">
      <c r="B60" s="36" t="s">
        <v>22</v>
      </c>
      <c r="C60" s="20"/>
      <c r="D60" s="31">
        <f>(D4-D5)/2</f>
        <v>1.4999999999999999E-2</v>
      </c>
      <c r="E60" s="31"/>
      <c r="F60" s="31"/>
      <c r="G60" s="20">
        <f t="shared" ref="G60:W60" si="29">(G4-G5)/2</f>
        <v>1.8000000000000002E-2</v>
      </c>
      <c r="H60" s="20">
        <f t="shared" si="29"/>
        <v>1.3499999999999998E-2</v>
      </c>
      <c r="I60" s="20">
        <f t="shared" si="29"/>
        <v>1.4999999999999999E-2</v>
      </c>
      <c r="J60" s="20">
        <f t="shared" si="29"/>
        <v>1.4999999999999999E-2</v>
      </c>
      <c r="K60" s="20">
        <f t="shared" si="29"/>
        <v>1.4999999999999999E-2</v>
      </c>
      <c r="L60" s="20">
        <f t="shared" si="29"/>
        <v>1.4999999999999999E-2</v>
      </c>
      <c r="M60" s="20">
        <f t="shared" si="29"/>
        <v>1.4999999999999999E-2</v>
      </c>
      <c r="N60" s="20">
        <f t="shared" si="29"/>
        <v>1.4999999999999999E-2</v>
      </c>
      <c r="O60" s="20">
        <f t="shared" si="29"/>
        <v>1.4999999999999999E-2</v>
      </c>
      <c r="P60" s="20">
        <f t="shared" si="29"/>
        <v>1.4999999999999999E-2</v>
      </c>
      <c r="Q60" s="20">
        <f t="shared" si="29"/>
        <v>1.4999999999999999E-2</v>
      </c>
      <c r="R60" s="20">
        <f t="shared" si="29"/>
        <v>1.4999999999999999E-2</v>
      </c>
      <c r="S60" s="20">
        <f t="shared" si="29"/>
        <v>1.4999999999999999E-2</v>
      </c>
      <c r="T60" s="20">
        <f t="shared" si="29"/>
        <v>1.4999999999999999E-2</v>
      </c>
      <c r="U60" s="20">
        <f t="shared" si="29"/>
        <v>1.4999999999999999E-2</v>
      </c>
      <c r="V60" s="20">
        <f t="shared" si="29"/>
        <v>1.4999999999999999E-2</v>
      </c>
      <c r="W60" s="16">
        <f t="shared" si="29"/>
        <v>1.4999999999999999E-2</v>
      </c>
      <c r="Z60" s="9"/>
    </row>
    <row r="61" spans="2:26" x14ac:dyDescent="0.25">
      <c r="B61" s="37" t="s">
        <v>29</v>
      </c>
      <c r="C61" s="20"/>
      <c r="D61" s="57">
        <f>8*2*D60*D59</f>
        <v>0.24</v>
      </c>
      <c r="E61" s="21"/>
      <c r="F61" s="58"/>
      <c r="G61" s="20">
        <f t="shared" ref="G61:V61" si="30">8*2*G60*G59</f>
        <v>0.28800000000000003</v>
      </c>
      <c r="H61" s="20">
        <f t="shared" si="30"/>
        <v>0.21599999999999997</v>
      </c>
      <c r="I61" s="20">
        <f t="shared" si="30"/>
        <v>0.24</v>
      </c>
      <c r="J61" s="20">
        <f t="shared" si="30"/>
        <v>0.24</v>
      </c>
      <c r="K61" s="20">
        <f t="shared" si="30"/>
        <v>0.24</v>
      </c>
      <c r="L61" s="20">
        <f t="shared" si="30"/>
        <v>0.24</v>
      </c>
      <c r="M61" s="20">
        <f t="shared" si="30"/>
        <v>0.24</v>
      </c>
      <c r="N61" s="20">
        <f t="shared" si="30"/>
        <v>0.24</v>
      </c>
      <c r="O61" s="20">
        <f t="shared" si="30"/>
        <v>0.24</v>
      </c>
      <c r="P61" s="20">
        <f t="shared" si="30"/>
        <v>0.24</v>
      </c>
      <c r="Q61" s="20">
        <f t="shared" si="30"/>
        <v>0.24</v>
      </c>
      <c r="R61" s="20">
        <f t="shared" si="30"/>
        <v>0.24</v>
      </c>
      <c r="S61" s="20">
        <f t="shared" si="30"/>
        <v>0.24</v>
      </c>
      <c r="T61" s="20">
        <f t="shared" si="30"/>
        <v>0.24</v>
      </c>
      <c r="U61" s="20">
        <f t="shared" si="30"/>
        <v>0.24</v>
      </c>
      <c r="V61" s="20">
        <f t="shared" si="30"/>
        <v>0.24</v>
      </c>
      <c r="W61" s="16">
        <f t="shared" ref="W61" si="31">8*2*W60*W59</f>
        <v>0.24</v>
      </c>
      <c r="Y61" s="12"/>
    </row>
    <row r="62" spans="2:26" x14ac:dyDescent="0.25">
      <c r="B62" s="37" t="s">
        <v>30</v>
      </c>
      <c r="C62" s="20"/>
      <c r="D62" s="20">
        <f>D61+(3.14*D5-8*D10)*D59</f>
        <v>0.31020000000000003</v>
      </c>
      <c r="E62" s="20"/>
      <c r="F62" s="20"/>
      <c r="G62" s="20">
        <f t="shared" ref="G62:W62" si="32">G61+(3.14*G5-8*G10)*G59</f>
        <v>0.35820000000000007</v>
      </c>
      <c r="H62" s="20">
        <f t="shared" si="32"/>
        <v>0.29561999999999999</v>
      </c>
      <c r="I62" s="20">
        <f t="shared" si="32"/>
        <v>0.31020000000000003</v>
      </c>
      <c r="J62" s="20">
        <f t="shared" si="32"/>
        <v>0.31020000000000003</v>
      </c>
      <c r="K62" s="20">
        <f t="shared" si="32"/>
        <v>0.31020000000000003</v>
      </c>
      <c r="L62" s="20">
        <f t="shared" si="32"/>
        <v>0.31020000000000003</v>
      </c>
      <c r="M62" s="20">
        <f t="shared" si="32"/>
        <v>0.30779999999999996</v>
      </c>
      <c r="N62" s="20">
        <f t="shared" si="32"/>
        <v>0.31020000000000003</v>
      </c>
      <c r="O62" s="20">
        <f t="shared" si="32"/>
        <v>0.31020000000000003</v>
      </c>
      <c r="P62" s="20">
        <f t="shared" si="32"/>
        <v>0.31020000000000003</v>
      </c>
      <c r="Q62" s="20">
        <f t="shared" si="32"/>
        <v>0.31020000000000003</v>
      </c>
      <c r="R62" s="20">
        <f t="shared" si="32"/>
        <v>0.31020000000000003</v>
      </c>
      <c r="S62" s="20">
        <f t="shared" si="32"/>
        <v>0.31020000000000003</v>
      </c>
      <c r="T62" s="20">
        <f t="shared" si="32"/>
        <v>0.31020000000000003</v>
      </c>
      <c r="U62" s="20">
        <f t="shared" si="32"/>
        <v>0.31020000000000003</v>
      </c>
      <c r="V62" s="20">
        <f t="shared" si="32"/>
        <v>0.31020000000000003</v>
      </c>
      <c r="W62" s="16">
        <f t="shared" si="32"/>
        <v>0.31020000000000003</v>
      </c>
      <c r="Y62" s="13"/>
    </row>
    <row r="63" spans="2:26" x14ac:dyDescent="0.25">
      <c r="B63" s="167" t="s">
        <v>33</v>
      </c>
      <c r="C63" s="168"/>
      <c r="D63" s="169">
        <f>SQRT((2*D12)/(D11*D10))</f>
        <v>36.514837167011073</v>
      </c>
      <c r="E63" s="169"/>
      <c r="F63" s="169"/>
      <c r="G63" s="169">
        <f t="shared" ref="G63:W63" si="33">SQRT((2*G12)/(G11*G10))</f>
        <v>36.514837167011073</v>
      </c>
      <c r="H63" s="169">
        <f t="shared" si="33"/>
        <v>36.514837167011073</v>
      </c>
      <c r="I63" s="169">
        <f t="shared" si="33"/>
        <v>36.514837167011073</v>
      </c>
      <c r="J63" s="169">
        <f t="shared" si="33"/>
        <v>36.514837167011073</v>
      </c>
      <c r="K63" s="169">
        <f t="shared" si="33"/>
        <v>36.514837167011073</v>
      </c>
      <c r="L63" s="169">
        <f t="shared" si="33"/>
        <v>36.514837167011073</v>
      </c>
      <c r="M63" s="169">
        <f t="shared" si="33"/>
        <v>34.815531191139563</v>
      </c>
      <c r="N63" s="169">
        <f t="shared" si="33"/>
        <v>34.815531191139563</v>
      </c>
      <c r="O63" s="169">
        <f t="shared" si="33"/>
        <v>38.297084310253531</v>
      </c>
      <c r="P63" s="169">
        <f t="shared" si="33"/>
        <v>36.514837167011073</v>
      </c>
      <c r="Q63" s="169">
        <f t="shared" si="33"/>
        <v>36.514837167011073</v>
      </c>
      <c r="R63" s="169">
        <f t="shared" si="33"/>
        <v>36.514837167011073</v>
      </c>
      <c r="S63" s="169">
        <f t="shared" si="33"/>
        <v>36.514837167011073</v>
      </c>
      <c r="T63" s="169">
        <f t="shared" si="33"/>
        <v>36.514837167011073</v>
      </c>
      <c r="U63" s="169">
        <f t="shared" si="33"/>
        <v>36.514837167011073</v>
      </c>
      <c r="V63" s="169">
        <f t="shared" si="33"/>
        <v>36.514837167011073</v>
      </c>
      <c r="W63" s="170">
        <f t="shared" si="33"/>
        <v>36.514837167011073</v>
      </c>
      <c r="Y63" s="12"/>
    </row>
    <row r="64" spans="2:26" x14ac:dyDescent="0.25">
      <c r="B64" s="114" t="s">
        <v>34</v>
      </c>
      <c r="C64" s="100"/>
      <c r="D64" s="101">
        <f>D63*D60</f>
        <v>0.54772255750516607</v>
      </c>
      <c r="E64" s="101"/>
      <c r="F64" s="101"/>
      <c r="G64" s="101">
        <f t="shared" ref="G64:R64" si="34">G63*G60</f>
        <v>0.65726706900619936</v>
      </c>
      <c r="H64" s="101">
        <f t="shared" si="34"/>
        <v>0.49295030175464943</v>
      </c>
      <c r="I64" s="101">
        <f t="shared" si="34"/>
        <v>0.54772255750516607</v>
      </c>
      <c r="J64" s="101">
        <f t="shared" si="34"/>
        <v>0.54772255750516607</v>
      </c>
      <c r="K64" s="101">
        <f t="shared" si="34"/>
        <v>0.54772255750516607</v>
      </c>
      <c r="L64" s="101">
        <f t="shared" si="34"/>
        <v>0.54772255750516607</v>
      </c>
      <c r="M64" s="101">
        <f t="shared" si="34"/>
        <v>0.52223296786709339</v>
      </c>
      <c r="N64" s="101">
        <f t="shared" si="34"/>
        <v>0.52223296786709339</v>
      </c>
      <c r="O64" s="101">
        <f t="shared" si="34"/>
        <v>0.57445626465380295</v>
      </c>
      <c r="P64" s="101">
        <f t="shared" si="34"/>
        <v>0.54772255750516607</v>
      </c>
      <c r="Q64" s="101">
        <f t="shared" si="34"/>
        <v>0.54772255750516607</v>
      </c>
      <c r="R64" s="101">
        <f t="shared" si="34"/>
        <v>0.54772255750516607</v>
      </c>
      <c r="S64" s="101">
        <f>S63*S60</f>
        <v>0.54772255750516607</v>
      </c>
      <c r="T64" s="101">
        <f t="shared" ref="T64" si="35">T63*T60</f>
        <v>0.54772255750516607</v>
      </c>
      <c r="U64" s="101">
        <f t="shared" ref="U64" si="36">U63*U60</f>
        <v>0.54772255750516607</v>
      </c>
      <c r="V64" s="101">
        <f t="shared" ref="V64:W64" si="37">V63*V60</f>
        <v>0.54772255750516607</v>
      </c>
      <c r="W64" s="115">
        <f t="shared" si="37"/>
        <v>0.54772255750516607</v>
      </c>
      <c r="Y64" s="13"/>
    </row>
    <row r="65" spans="2:26" x14ac:dyDescent="0.25">
      <c r="B65" s="114" t="s">
        <v>35</v>
      </c>
      <c r="C65" s="100"/>
      <c r="D65" s="101">
        <f>TANH(D64)</f>
        <v>0.498811369722302</v>
      </c>
      <c r="E65" s="101"/>
      <c r="F65" s="101"/>
      <c r="G65" s="101">
        <f t="shared" ref="G65:R65" si="38">TANH(G64)</f>
        <v>0.57654178426808234</v>
      </c>
      <c r="H65" s="101">
        <f t="shared" si="38"/>
        <v>0.45655490958575112</v>
      </c>
      <c r="I65" s="101">
        <f t="shared" si="38"/>
        <v>0.498811369722302</v>
      </c>
      <c r="J65" s="101">
        <f t="shared" si="38"/>
        <v>0.498811369722302</v>
      </c>
      <c r="K65" s="101">
        <f t="shared" si="38"/>
        <v>0.498811369722302</v>
      </c>
      <c r="L65" s="101">
        <f t="shared" si="38"/>
        <v>0.498811369722302</v>
      </c>
      <c r="M65" s="101">
        <f t="shared" si="38"/>
        <v>0.47942158355149583</v>
      </c>
      <c r="N65" s="101">
        <f t="shared" si="38"/>
        <v>0.47942158355149583</v>
      </c>
      <c r="O65" s="101">
        <f t="shared" si="38"/>
        <v>0.51862445986789485</v>
      </c>
      <c r="P65" s="101">
        <f t="shared" si="38"/>
        <v>0.498811369722302</v>
      </c>
      <c r="Q65" s="101">
        <f t="shared" si="38"/>
        <v>0.498811369722302</v>
      </c>
      <c r="R65" s="101">
        <f t="shared" si="38"/>
        <v>0.498811369722302</v>
      </c>
      <c r="S65" s="101">
        <f t="shared" ref="S65" si="39">TANH(S64)</f>
        <v>0.498811369722302</v>
      </c>
      <c r="T65" s="101">
        <f t="shared" ref="T65" si="40">TANH(T64)</f>
        <v>0.498811369722302</v>
      </c>
      <c r="U65" s="101">
        <f t="shared" ref="U65" si="41">TANH(U64)</f>
        <v>0.498811369722302</v>
      </c>
      <c r="V65" s="101">
        <f t="shared" ref="V65:W65" si="42">TANH(V64)</f>
        <v>0.498811369722302</v>
      </c>
      <c r="W65" s="115">
        <f t="shared" si="42"/>
        <v>0.498811369722302</v>
      </c>
      <c r="Y65" s="12"/>
    </row>
    <row r="66" spans="2:26" x14ac:dyDescent="0.25">
      <c r="B66" s="106" t="s">
        <v>31</v>
      </c>
      <c r="C66" s="107"/>
      <c r="D66" s="108">
        <f>D65/D64</f>
        <v>0.91070079712318086</v>
      </c>
      <c r="E66" s="108"/>
      <c r="F66" s="108"/>
      <c r="G66" s="108">
        <f t="shared" ref="G66:W66" si="43">G65/G64</f>
        <v>0.87718039052196051</v>
      </c>
      <c r="H66" s="108">
        <f t="shared" si="43"/>
        <v>0.92616823229573153</v>
      </c>
      <c r="I66" s="108">
        <f t="shared" si="43"/>
        <v>0.91070079712318086</v>
      </c>
      <c r="J66" s="108">
        <f t="shared" si="43"/>
        <v>0.91070079712318086</v>
      </c>
      <c r="K66" s="108">
        <f t="shared" si="43"/>
        <v>0.91070079712318086</v>
      </c>
      <c r="L66" s="108">
        <f t="shared" si="43"/>
        <v>0.91070079712318086</v>
      </c>
      <c r="M66" s="108">
        <f t="shared" si="43"/>
        <v>0.91802244027134472</v>
      </c>
      <c r="N66" s="108">
        <f t="shared" si="43"/>
        <v>0.91802244027134472</v>
      </c>
      <c r="O66" s="108">
        <f t="shared" si="43"/>
        <v>0.90280930295093009</v>
      </c>
      <c r="P66" s="108">
        <f t="shared" si="43"/>
        <v>0.91070079712318086</v>
      </c>
      <c r="Q66" s="108">
        <f t="shared" si="43"/>
        <v>0.91070079712318086</v>
      </c>
      <c r="R66" s="108">
        <f>R65/R64</f>
        <v>0.91070079712318086</v>
      </c>
      <c r="S66" s="108">
        <f t="shared" si="43"/>
        <v>0.91070079712318086</v>
      </c>
      <c r="T66" s="108">
        <f t="shared" si="43"/>
        <v>0.91070079712318086</v>
      </c>
      <c r="U66" s="108">
        <f t="shared" si="43"/>
        <v>0.91070079712318086</v>
      </c>
      <c r="V66" s="108">
        <f t="shared" si="43"/>
        <v>0.91070079712318086</v>
      </c>
      <c r="W66" s="110">
        <f t="shared" si="43"/>
        <v>0.91070079712318086</v>
      </c>
      <c r="Y66" s="13"/>
    </row>
    <row r="67" spans="2:26" x14ac:dyDescent="0.25">
      <c r="B67" s="171" t="s">
        <v>32</v>
      </c>
      <c r="C67" s="172"/>
      <c r="D67" s="173">
        <f>1-((D61/D62)*(1-D66))</f>
        <v>0.93090970763882464</v>
      </c>
      <c r="E67" s="173"/>
      <c r="F67" s="173"/>
      <c r="G67" s="173">
        <f t="shared" ref="G67:W67" si="44">1-((G61/G62)*(1-G66))</f>
        <v>0.90125056524378733</v>
      </c>
      <c r="H67" s="173">
        <f t="shared" si="44"/>
        <v>0.94605350847668634</v>
      </c>
      <c r="I67" s="173">
        <f t="shared" si="44"/>
        <v>0.93090970763882464</v>
      </c>
      <c r="J67" s="173">
        <f t="shared" si="44"/>
        <v>0.93090970763882464</v>
      </c>
      <c r="K67" s="173">
        <f t="shared" si="44"/>
        <v>0.93090970763882464</v>
      </c>
      <c r="L67" s="173">
        <f t="shared" si="44"/>
        <v>0.93090970763882464</v>
      </c>
      <c r="M67" s="173">
        <f t="shared" si="44"/>
        <v>0.93607987545523952</v>
      </c>
      <c r="N67" s="173">
        <f t="shared" si="44"/>
        <v>0.9365744218733808</v>
      </c>
      <c r="O67" s="173">
        <f t="shared" si="44"/>
        <v>0.92480410286338888</v>
      </c>
      <c r="P67" s="173">
        <f t="shared" si="44"/>
        <v>0.93090970763882464</v>
      </c>
      <c r="Q67" s="173">
        <f t="shared" si="44"/>
        <v>0.93090970763882464</v>
      </c>
      <c r="R67" s="173">
        <f t="shared" si="44"/>
        <v>0.93090970763882464</v>
      </c>
      <c r="S67" s="173">
        <f t="shared" si="44"/>
        <v>0.93090970763882464</v>
      </c>
      <c r="T67" s="173">
        <f t="shared" si="44"/>
        <v>0.93090970763882464</v>
      </c>
      <c r="U67" s="173">
        <f t="shared" si="44"/>
        <v>0.93090970763882464</v>
      </c>
      <c r="V67" s="173">
        <f t="shared" si="44"/>
        <v>0.93090970763882464</v>
      </c>
      <c r="W67" s="174">
        <f t="shared" si="44"/>
        <v>0.93090970763882464</v>
      </c>
      <c r="Y67" s="25"/>
    </row>
    <row r="68" spans="2:26" x14ac:dyDescent="0.25">
      <c r="Y68" s="25"/>
    </row>
    <row r="69" spans="2:26" x14ac:dyDescent="0.25">
      <c r="B69" s="178" t="s">
        <v>105</v>
      </c>
      <c r="C69" s="179"/>
      <c r="S69" s="27"/>
      <c r="T69" s="27"/>
      <c r="U69" s="27"/>
      <c r="V69" s="6"/>
      <c r="Y69" s="25"/>
    </row>
    <row r="70" spans="2:26" x14ac:dyDescent="0.25">
      <c r="B70" s="42" t="s">
        <v>107</v>
      </c>
      <c r="C70" s="81"/>
      <c r="D70" s="153"/>
      <c r="E70" s="34"/>
      <c r="F70" s="34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81"/>
      <c r="W70" s="15"/>
      <c r="Y70" s="25"/>
    </row>
    <row r="71" spans="2:26" x14ac:dyDescent="0.25">
      <c r="B71" s="164" t="s">
        <v>101</v>
      </c>
      <c r="C71" s="56"/>
      <c r="D71" s="165">
        <v>4.8787037836172061E-2</v>
      </c>
      <c r="E71" s="56"/>
      <c r="F71" s="56"/>
      <c r="G71" s="165">
        <v>6.5359545079047357E-2</v>
      </c>
      <c r="H71" s="165">
        <v>4.4192109207274323E-2</v>
      </c>
      <c r="I71" s="165">
        <v>4.8787037836172061E-2</v>
      </c>
      <c r="J71" s="165">
        <v>4.8787037836172061E-2</v>
      </c>
      <c r="K71" s="165">
        <v>4.8787037836172061E-2</v>
      </c>
      <c r="L71" s="165">
        <v>4.8787037836172061E-2</v>
      </c>
      <c r="M71" s="165">
        <v>4.8787037836172061E-2</v>
      </c>
      <c r="N71" s="165">
        <v>4.8787037836172061E-2</v>
      </c>
      <c r="O71" s="165">
        <v>5.4959569874563872E-2</v>
      </c>
      <c r="P71" s="165">
        <v>4.8787037836172061E-2</v>
      </c>
      <c r="Q71" s="165">
        <v>4.8787037836172061E-2</v>
      </c>
      <c r="R71" s="165">
        <v>4.8787037836172061E-2</v>
      </c>
      <c r="S71" s="165">
        <v>5.3665709161191212E-2</v>
      </c>
      <c r="T71" s="165">
        <v>4.33076080422247E-2</v>
      </c>
      <c r="U71" s="165">
        <v>4.6516617445327556E-2</v>
      </c>
      <c r="V71" s="165">
        <v>4.7593867988565602E-2</v>
      </c>
      <c r="W71" s="166">
        <v>4.4260105064682767E-2</v>
      </c>
      <c r="Y71" s="77"/>
      <c r="Z71" s="11"/>
    </row>
    <row r="72" spans="2:26" x14ac:dyDescent="0.25">
      <c r="B72" s="36" t="s">
        <v>104</v>
      </c>
      <c r="C72" s="20"/>
      <c r="D72" s="154">
        <f>D12</f>
        <v>100</v>
      </c>
      <c r="E72" s="154"/>
      <c r="F72" s="20"/>
      <c r="G72" s="154">
        <f t="shared" ref="G72:W72" si="45">G12</f>
        <v>100</v>
      </c>
      <c r="H72" s="154">
        <f t="shared" si="45"/>
        <v>100</v>
      </c>
      <c r="I72" s="154">
        <f t="shared" si="45"/>
        <v>100</v>
      </c>
      <c r="J72" s="154">
        <f t="shared" si="45"/>
        <v>100</v>
      </c>
      <c r="K72" s="154">
        <f t="shared" si="45"/>
        <v>100</v>
      </c>
      <c r="L72" s="154">
        <f t="shared" si="45"/>
        <v>100</v>
      </c>
      <c r="M72" s="154">
        <f t="shared" si="45"/>
        <v>100</v>
      </c>
      <c r="N72" s="154">
        <f t="shared" si="45"/>
        <v>100</v>
      </c>
      <c r="O72" s="154">
        <f t="shared" si="45"/>
        <v>110.00000000000001</v>
      </c>
      <c r="P72" s="154">
        <f t="shared" si="45"/>
        <v>100</v>
      </c>
      <c r="Q72" s="154">
        <f t="shared" si="45"/>
        <v>100</v>
      </c>
      <c r="R72" s="154">
        <f t="shared" si="45"/>
        <v>100</v>
      </c>
      <c r="S72" s="154">
        <f t="shared" si="45"/>
        <v>100</v>
      </c>
      <c r="T72" s="154">
        <f t="shared" si="45"/>
        <v>100</v>
      </c>
      <c r="U72" s="154">
        <f t="shared" si="45"/>
        <v>100</v>
      </c>
      <c r="V72" s="154">
        <f t="shared" si="45"/>
        <v>100</v>
      </c>
      <c r="W72" s="155">
        <f t="shared" si="45"/>
        <v>100</v>
      </c>
      <c r="Y72" s="25"/>
      <c r="Z72" s="7"/>
    </row>
    <row r="73" spans="2:26" x14ac:dyDescent="0.25">
      <c r="B73" s="36" t="s">
        <v>90</v>
      </c>
      <c r="C73" s="20"/>
      <c r="D73" s="58">
        <f>D17</f>
        <v>5.7299999999999997E-2</v>
      </c>
      <c r="E73" s="154"/>
      <c r="F73" s="20"/>
      <c r="G73" s="58">
        <f t="shared" ref="G73:W73" si="46">G17</f>
        <v>5.7299999999999997E-2</v>
      </c>
      <c r="H73" s="58">
        <f t="shared" si="46"/>
        <v>5.7299999999999997E-2</v>
      </c>
      <c r="I73" s="58">
        <f t="shared" si="46"/>
        <v>5.7299999999999997E-2</v>
      </c>
      <c r="J73" s="58">
        <f t="shared" si="46"/>
        <v>5.7299999999999997E-2</v>
      </c>
      <c r="K73" s="58">
        <f t="shared" si="46"/>
        <v>5.7299999999999997E-2</v>
      </c>
      <c r="L73" s="58">
        <f t="shared" si="46"/>
        <v>5.7299999999999997E-2</v>
      </c>
      <c r="M73" s="58">
        <f t="shared" si="46"/>
        <v>5.7299999999999997E-2</v>
      </c>
      <c r="N73" s="58">
        <f t="shared" si="46"/>
        <v>5.7299999999999997E-2</v>
      </c>
      <c r="O73" s="58">
        <f t="shared" si="46"/>
        <v>5.7299999999999997E-2</v>
      </c>
      <c r="P73" s="58">
        <f t="shared" si="46"/>
        <v>5.7299999999999997E-2</v>
      </c>
      <c r="Q73" s="58">
        <f t="shared" si="46"/>
        <v>5.7299999999999997E-2</v>
      </c>
      <c r="R73" s="58">
        <f t="shared" si="46"/>
        <v>5.7299999999999997E-2</v>
      </c>
      <c r="S73" s="58">
        <f t="shared" si="46"/>
        <v>5.7299999999999997E-2</v>
      </c>
      <c r="T73" s="58">
        <f t="shared" si="46"/>
        <v>6.3030000000000003E-2</v>
      </c>
      <c r="U73" s="58">
        <f t="shared" si="46"/>
        <v>5.7299999999999997E-2</v>
      </c>
      <c r="V73" s="58">
        <f t="shared" si="46"/>
        <v>5.7299999999999997E-2</v>
      </c>
      <c r="W73" s="156">
        <f t="shared" si="46"/>
        <v>5.7299999999999997E-2</v>
      </c>
      <c r="Z73" s="3"/>
    </row>
    <row r="74" spans="2:26" x14ac:dyDescent="0.25">
      <c r="B74" s="37" t="s">
        <v>99</v>
      </c>
      <c r="C74" s="20"/>
      <c r="D74" s="157">
        <f>D4-D5</f>
        <v>0.03</v>
      </c>
      <c r="E74" s="154"/>
      <c r="F74" s="20"/>
      <c r="G74" s="157">
        <f t="shared" ref="G74:W74" si="47">G4-G5</f>
        <v>3.6000000000000004E-2</v>
      </c>
      <c r="H74" s="157">
        <f t="shared" si="47"/>
        <v>2.6999999999999996E-2</v>
      </c>
      <c r="I74" s="157">
        <f t="shared" si="47"/>
        <v>0.03</v>
      </c>
      <c r="J74" s="157">
        <f t="shared" si="47"/>
        <v>0.03</v>
      </c>
      <c r="K74" s="157">
        <f t="shared" si="47"/>
        <v>0.03</v>
      </c>
      <c r="L74" s="157">
        <f t="shared" si="47"/>
        <v>0.03</v>
      </c>
      <c r="M74" s="157">
        <f t="shared" si="47"/>
        <v>0.03</v>
      </c>
      <c r="N74" s="157">
        <f t="shared" si="47"/>
        <v>0.03</v>
      </c>
      <c r="O74" s="157">
        <f t="shared" si="47"/>
        <v>0.03</v>
      </c>
      <c r="P74" s="157">
        <f t="shared" si="47"/>
        <v>0.03</v>
      </c>
      <c r="Q74" s="157">
        <f t="shared" si="47"/>
        <v>0.03</v>
      </c>
      <c r="R74" s="157">
        <f t="shared" si="47"/>
        <v>0.03</v>
      </c>
      <c r="S74" s="157">
        <f t="shared" si="47"/>
        <v>0.03</v>
      </c>
      <c r="T74" s="157">
        <f t="shared" si="47"/>
        <v>0.03</v>
      </c>
      <c r="U74" s="157">
        <f t="shared" si="47"/>
        <v>0.03</v>
      </c>
      <c r="V74" s="157">
        <f t="shared" si="47"/>
        <v>0.03</v>
      </c>
      <c r="W74" s="158">
        <f t="shared" si="47"/>
        <v>0.03</v>
      </c>
      <c r="Z74" s="5"/>
    </row>
    <row r="75" spans="2:26" x14ac:dyDescent="0.25">
      <c r="B75" s="37" t="s">
        <v>100</v>
      </c>
      <c r="C75" s="20"/>
      <c r="D75" s="159">
        <f>(4*D71)/(3.14*(D4+D5)*D16)</f>
        <v>18673.485002383437</v>
      </c>
      <c r="E75" s="154"/>
      <c r="F75" s="20"/>
      <c r="G75" s="159">
        <f t="shared" ref="G75:W75" si="48">(4*G71)/(3.14*(G4+G5)*G16)</f>
        <v>23453.152317603588</v>
      </c>
      <c r="H75" s="159">
        <f t="shared" si="48"/>
        <v>16369.115685555338</v>
      </c>
      <c r="I75" s="159">
        <f t="shared" si="48"/>
        <v>18673.485002383437</v>
      </c>
      <c r="J75" s="159">
        <f t="shared" si="48"/>
        <v>18673.485002383437</v>
      </c>
      <c r="K75" s="159">
        <f t="shared" si="48"/>
        <v>18673.485002383437</v>
      </c>
      <c r="L75" s="159">
        <f t="shared" si="48"/>
        <v>18673.485002383437</v>
      </c>
      <c r="M75" s="159">
        <f t="shared" si="48"/>
        <v>18673.485002383437</v>
      </c>
      <c r="N75" s="159">
        <f t="shared" si="48"/>
        <v>18673.485002383437</v>
      </c>
      <c r="O75" s="159">
        <f t="shared" si="48"/>
        <v>21036.052798212637</v>
      </c>
      <c r="P75" s="159">
        <f t="shared" si="48"/>
        <v>18673.485002383437</v>
      </c>
      <c r="Q75" s="159">
        <f t="shared" si="48"/>
        <v>18673.485002383437</v>
      </c>
      <c r="R75" s="159">
        <f t="shared" si="48"/>
        <v>18673.485002383437</v>
      </c>
      <c r="S75" s="159">
        <f t="shared" si="48"/>
        <v>18673.473708117752</v>
      </c>
      <c r="T75" s="159">
        <f t="shared" si="48"/>
        <v>16576.205589304867</v>
      </c>
      <c r="U75" s="159">
        <f t="shared" si="48"/>
        <v>17804.470137002405</v>
      </c>
      <c r="V75" s="159">
        <f t="shared" si="48"/>
        <v>18216.793220246669</v>
      </c>
      <c r="W75" s="160">
        <f t="shared" si="48"/>
        <v>16940.77863273113</v>
      </c>
      <c r="Y75" s="13"/>
      <c r="Z75" s="3"/>
    </row>
    <row r="76" spans="2:26" x14ac:dyDescent="0.25">
      <c r="B76" s="37" t="s">
        <v>102</v>
      </c>
      <c r="C76" s="20"/>
      <c r="D76" s="154">
        <f>((D73/D74)*D19*(D75^D20)*(D18^0.4))</f>
        <v>99.999999790937082</v>
      </c>
      <c r="E76" s="154"/>
      <c r="F76" s="154"/>
      <c r="G76" s="154">
        <f t="shared" ref="G76:W76" si="49">((G73/G74)*G19*(G75^G20)*(G18^0.4))</f>
        <v>99.999868886821503</v>
      </c>
      <c r="H76" s="154">
        <f t="shared" si="49"/>
        <v>99.999392649427506</v>
      </c>
      <c r="I76" s="154">
        <f t="shared" si="49"/>
        <v>99.999999790937082</v>
      </c>
      <c r="J76" s="154">
        <f t="shared" si="49"/>
        <v>99.999999790937082</v>
      </c>
      <c r="K76" s="154">
        <f t="shared" si="49"/>
        <v>99.999999790937082</v>
      </c>
      <c r="L76" s="154">
        <f t="shared" si="49"/>
        <v>99.999999790937082</v>
      </c>
      <c r="M76" s="154">
        <f t="shared" si="49"/>
        <v>99.999999790937082</v>
      </c>
      <c r="N76" s="154">
        <f t="shared" si="49"/>
        <v>99.999999790937082</v>
      </c>
      <c r="O76" s="154">
        <f t="shared" si="49"/>
        <v>109.9995982715304</v>
      </c>
      <c r="P76" s="154">
        <f t="shared" si="49"/>
        <v>99.999999790937082</v>
      </c>
      <c r="Q76" s="154">
        <f t="shared" si="49"/>
        <v>99.999999790937082</v>
      </c>
      <c r="R76" s="154">
        <f t="shared" si="49"/>
        <v>99.999999790937082</v>
      </c>
      <c r="S76" s="154">
        <f t="shared" si="49"/>
        <v>99.999951404612432</v>
      </c>
      <c r="T76" s="154">
        <f t="shared" si="49"/>
        <v>100.00011100919824</v>
      </c>
      <c r="U76" s="154">
        <f t="shared" si="49"/>
        <v>100.00000327945968</v>
      </c>
      <c r="V76" s="154">
        <f t="shared" si="49"/>
        <v>99.999404098659824</v>
      </c>
      <c r="W76" s="155">
        <f t="shared" si="49"/>
        <v>99.999506854123183</v>
      </c>
      <c r="Y76" s="3"/>
      <c r="Z76" s="7"/>
    </row>
    <row r="77" spans="2:26" x14ac:dyDescent="0.25">
      <c r="B77" s="47" t="s">
        <v>103</v>
      </c>
      <c r="C77" s="48"/>
      <c r="D77" s="161">
        <f>D72-D76</f>
        <v>2.090629180884207E-7</v>
      </c>
      <c r="E77" s="161"/>
      <c r="F77" s="48"/>
      <c r="G77" s="161">
        <f>G72-G76</f>
        <v>1.3111317849734405E-4</v>
      </c>
      <c r="H77" s="161">
        <f t="shared" ref="H77:W77" si="50">H72-H76</f>
        <v>6.0735057249416968E-4</v>
      </c>
      <c r="I77" s="161">
        <f t="shared" si="50"/>
        <v>2.090629180884207E-7</v>
      </c>
      <c r="J77" s="161">
        <f t="shared" si="50"/>
        <v>2.090629180884207E-7</v>
      </c>
      <c r="K77" s="161">
        <f t="shared" si="50"/>
        <v>2.090629180884207E-7</v>
      </c>
      <c r="L77" s="161">
        <f t="shared" si="50"/>
        <v>2.090629180884207E-7</v>
      </c>
      <c r="M77" s="161">
        <f t="shared" si="50"/>
        <v>2.090629180884207E-7</v>
      </c>
      <c r="N77" s="161">
        <f t="shared" si="50"/>
        <v>2.090629180884207E-7</v>
      </c>
      <c r="O77" s="161">
        <f t="shared" si="50"/>
        <v>4.017284696118395E-4</v>
      </c>
      <c r="P77" s="161">
        <f t="shared" si="50"/>
        <v>2.090629180884207E-7</v>
      </c>
      <c r="Q77" s="161">
        <f t="shared" si="50"/>
        <v>2.090629180884207E-7</v>
      </c>
      <c r="R77" s="161">
        <f t="shared" si="50"/>
        <v>2.090629180884207E-7</v>
      </c>
      <c r="S77" s="161">
        <f t="shared" si="50"/>
        <v>4.8595387568184378E-5</v>
      </c>
      <c r="T77" s="161">
        <f t="shared" si="50"/>
        <v>-1.1100919823547883E-4</v>
      </c>
      <c r="U77" s="161">
        <f t="shared" si="50"/>
        <v>-3.2794596762641959E-6</v>
      </c>
      <c r="V77" s="161">
        <f t="shared" si="50"/>
        <v>5.9590134017639684E-4</v>
      </c>
      <c r="W77" s="162">
        <f t="shared" si="50"/>
        <v>4.9314587681692501E-4</v>
      </c>
      <c r="Z77" s="3"/>
    </row>
    <row r="78" spans="2:26" x14ac:dyDescent="0.25">
      <c r="B78" s="6"/>
      <c r="C78" s="6"/>
      <c r="D78" s="10"/>
      <c r="E78" s="6"/>
      <c r="F78" s="6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7"/>
      <c r="W78" s="97"/>
      <c r="Z78" s="7"/>
    </row>
    <row r="79" spans="2:26" x14ac:dyDescent="0.25">
      <c r="B79" s="6"/>
      <c r="C79" s="6"/>
      <c r="D79" s="22"/>
      <c r="E79" s="6"/>
      <c r="F79" s="6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Z79" s="3"/>
    </row>
    <row r="80" spans="2:26" x14ac:dyDescent="0.25">
      <c r="B80" s="6"/>
      <c r="C80" s="6"/>
      <c r="D80" s="26"/>
      <c r="E80" s="6"/>
      <c r="F80" s="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Y80" s="7"/>
      <c r="Z80" s="28"/>
    </row>
    <row r="81" spans="2:26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7"/>
      <c r="Z81" s="25"/>
    </row>
    <row r="82" spans="2:26" x14ac:dyDescent="0.25">
      <c r="B82" s="6"/>
      <c r="C82" s="6"/>
      <c r="D82" s="23"/>
      <c r="E82" s="6"/>
      <c r="F82" s="6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Y82" s="5"/>
      <c r="Z82" s="28"/>
    </row>
    <row r="83" spans="2:26" x14ac:dyDescent="0.25">
      <c r="B83" s="6"/>
      <c r="C83" s="6"/>
      <c r="D83" s="10"/>
      <c r="E83" s="6"/>
      <c r="F83" s="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Y83" s="9"/>
      <c r="Z83" s="28"/>
    </row>
    <row r="84" spans="2:26" x14ac:dyDescent="0.25">
      <c r="B84" s="6"/>
      <c r="C84" s="6"/>
      <c r="D84" s="10"/>
      <c r="E84" s="6"/>
      <c r="F84" s="6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Z84" s="57"/>
    </row>
    <row r="85" spans="2:26" x14ac:dyDescent="0.25">
      <c r="B85" s="6"/>
      <c r="C85" s="6"/>
      <c r="D85" s="10"/>
      <c r="E85" s="6"/>
      <c r="F85" s="6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6" x14ac:dyDescent="0.25">
      <c r="B86" s="6"/>
      <c r="C86" s="6"/>
      <c r="D86" s="22"/>
      <c r="E86" s="6"/>
      <c r="F86" s="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spans="2:26" x14ac:dyDescent="0.25">
      <c r="B87" s="6"/>
      <c r="C87" s="6"/>
      <c r="D87" s="26"/>
      <c r="E87" s="6"/>
      <c r="F87" s="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2:26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2:26" x14ac:dyDescent="0.25">
      <c r="B89" s="6"/>
      <c r="C89" s="6"/>
      <c r="D89" s="23"/>
      <c r="E89" s="6"/>
      <c r="F89" s="6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6" x14ac:dyDescent="0.25">
      <c r="B90" s="25"/>
      <c r="C90" s="25"/>
      <c r="D90" s="27"/>
      <c r="E90" s="25"/>
      <c r="F90" s="25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</sheetData>
  <mergeCells count="2">
    <mergeCell ref="E2:F2"/>
    <mergeCell ref="E25:F25"/>
  </mergeCells>
  <pageMargins left="0.7" right="0.7" top="0.75" bottom="0.75" header="0.3" footer="0.3"/>
  <pageSetup orientation="portrait" r:id="rId1"/>
  <ignoredErrors>
    <ignoredError sqref="F28:W32 F39:F40 G39:W40 F38 F50:W56 G41:W41 F33:W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Uncertainity</vt:lpstr>
    </vt:vector>
  </TitlesOfParts>
  <Company>University of Texas at San Antonio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Manteufel</dc:creator>
  <cp:lastModifiedBy>Admin</cp:lastModifiedBy>
  <dcterms:created xsi:type="dcterms:W3CDTF">2015-11-04T23:23:27Z</dcterms:created>
  <dcterms:modified xsi:type="dcterms:W3CDTF">2015-11-29T02:43:08Z</dcterms:modified>
</cp:coreProperties>
</file>