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patovKA\Desktop\_Project Arstotzka\"/>
    </mc:Choice>
  </mc:AlternateContent>
  <xr:revisionPtr revIDLastSave="0" documentId="13_ncr:1_{8D3AD8E3-2F62-4CBE-84F7-8935E817C99C}" xr6:coauthVersionLast="47" xr6:coauthVersionMax="47" xr10:uidLastSave="{00000000-0000-0000-0000-000000000000}"/>
  <bookViews>
    <workbookView xWindow="-120" yWindow="-120" windowWidth="29040" windowHeight="18240" activeTab="2" xr2:uid="{00000000-000D-0000-FFFF-FFFF00000000}"/>
  </bookViews>
  <sheets>
    <sheet name="База" sheetId="1" r:id="rId1"/>
    <sheet name="Провиант" sheetId="4" r:id="rId2"/>
    <sheet name="Энергия" sheetId="7" r:id="rId3"/>
    <sheet name="Лист2" sheetId="2" r:id="rId4"/>
    <sheet name="Список" sheetId="5" r:id="rId5"/>
  </sheets>
  <definedNames>
    <definedName name="страны">Список!$A$1:$A$9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7" l="1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T3" i="7"/>
  <c r="S3" i="7"/>
  <c r="E4" i="7"/>
  <c r="F4" i="7"/>
  <c r="G4" i="7"/>
  <c r="E5" i="7"/>
  <c r="F5" i="7"/>
  <c r="G5" i="7"/>
  <c r="E6" i="7"/>
  <c r="F6" i="7"/>
  <c r="G6" i="7"/>
  <c r="E7" i="7"/>
  <c r="F7" i="7"/>
  <c r="G7" i="7"/>
  <c r="E8" i="7"/>
  <c r="F8" i="7"/>
  <c r="G8" i="7"/>
  <c r="E9" i="7"/>
  <c r="F9" i="7"/>
  <c r="G9" i="7"/>
  <c r="E10" i="7"/>
  <c r="F10" i="7"/>
  <c r="G10" i="7"/>
  <c r="E11" i="7"/>
  <c r="F11" i="7"/>
  <c r="G11" i="7"/>
  <c r="F3" i="7"/>
  <c r="G3" i="7"/>
  <c r="E3" i="7"/>
  <c r="E11" i="4"/>
  <c r="E3" i="4"/>
  <c r="E4" i="4"/>
  <c r="N3" i="1"/>
  <c r="N4" i="1"/>
  <c r="N5" i="1"/>
  <c r="N6" i="1"/>
  <c r="N7" i="1"/>
  <c r="N8" i="1"/>
  <c r="N9" i="1"/>
  <c r="N10" i="1"/>
  <c r="N11" i="1"/>
  <c r="M11" i="1"/>
  <c r="M10" i="1"/>
  <c r="M9" i="1"/>
  <c r="M8" i="1"/>
  <c r="M7" i="1"/>
  <c r="M6" i="1"/>
  <c r="M5" i="1"/>
  <c r="M4" i="1"/>
  <c r="M3" i="1"/>
  <c r="L3" i="4"/>
  <c r="L17" i="4"/>
  <c r="A17" i="4" s="1"/>
  <c r="L18" i="4"/>
  <c r="A18" i="4" s="1"/>
  <c r="L19" i="4"/>
  <c r="A19" i="4" s="1"/>
  <c r="L20" i="4"/>
  <c r="A20" i="4" s="1"/>
  <c r="L21" i="4"/>
  <c r="A21" i="4" s="1"/>
  <c r="L22" i="4"/>
  <c r="A22" i="4" s="1"/>
  <c r="L23" i="4"/>
  <c r="A23" i="4" s="1"/>
  <c r="L24" i="4"/>
  <c r="M24" i="4" s="1"/>
  <c r="L25" i="4"/>
  <c r="A25" i="4" s="1"/>
  <c r="L26" i="4"/>
  <c r="A26" i="4" s="1"/>
  <c r="L27" i="4"/>
  <c r="A27" i="4" s="1"/>
  <c r="L28" i="4"/>
  <c r="M28" i="4" s="1"/>
  <c r="L29" i="4"/>
  <c r="A29" i="4" s="1"/>
  <c r="L30" i="4"/>
  <c r="A30" i="4" s="1"/>
  <c r="L31" i="4"/>
  <c r="A31" i="4" s="1"/>
  <c r="L32" i="4"/>
  <c r="J32" i="4" s="1"/>
  <c r="K32" i="4" s="1"/>
  <c r="L33" i="4"/>
  <c r="A33" i="4" s="1"/>
  <c r="L34" i="4"/>
  <c r="A34" i="4" s="1"/>
  <c r="L35" i="4"/>
  <c r="A35" i="4" s="1"/>
  <c r="L36" i="4"/>
  <c r="J36" i="4" s="1"/>
  <c r="K36" i="4" s="1"/>
  <c r="L37" i="4"/>
  <c r="A37" i="4" s="1"/>
  <c r="L38" i="4"/>
  <c r="A38" i="4" s="1"/>
  <c r="L39" i="4"/>
  <c r="A39" i="4" s="1"/>
  <c r="L40" i="4"/>
  <c r="J40" i="4" s="1"/>
  <c r="K40" i="4" s="1"/>
  <c r="L41" i="4"/>
  <c r="A41" i="4" s="1"/>
  <c r="L42" i="4"/>
  <c r="M42" i="4" s="1"/>
  <c r="L43" i="4"/>
  <c r="M43" i="4" s="1"/>
  <c r="L44" i="4"/>
  <c r="J44" i="4" s="1"/>
  <c r="K44" i="4" s="1"/>
  <c r="L45" i="4"/>
  <c r="A45" i="4" s="1"/>
  <c r="L46" i="4"/>
  <c r="M46" i="4" s="1"/>
  <c r="L47" i="4"/>
  <c r="A47" i="4" s="1"/>
  <c r="L48" i="4"/>
  <c r="J48" i="4" s="1"/>
  <c r="K48" i="4" s="1"/>
  <c r="L49" i="4"/>
  <c r="A49" i="4" s="1"/>
  <c r="L50" i="4"/>
  <c r="A50" i="4" s="1"/>
  <c r="L51" i="4"/>
  <c r="M51" i="4" s="1"/>
  <c r="L52" i="4"/>
  <c r="J52" i="4" s="1"/>
  <c r="K52" i="4" s="1"/>
  <c r="I52" i="4" s="1"/>
  <c r="L53" i="4"/>
  <c r="A53" i="4" s="1"/>
  <c r="L54" i="4"/>
  <c r="A54" i="4" s="1"/>
  <c r="L55" i="4"/>
  <c r="L56" i="4"/>
  <c r="M56" i="4" s="1"/>
  <c r="L57" i="4"/>
  <c r="A57" i="4" s="1"/>
  <c r="L58" i="4"/>
  <c r="A58" i="4" s="1"/>
  <c r="L59" i="4"/>
  <c r="J59" i="4" s="1"/>
  <c r="K59" i="4" s="1"/>
  <c r="I59" i="4" s="1"/>
  <c r="L60" i="4"/>
  <c r="M60" i="4" s="1"/>
  <c r="L61" i="4"/>
  <c r="A61" i="4" s="1"/>
  <c r="L62" i="4"/>
  <c r="A62" i="4" s="1"/>
  <c r="L63" i="4"/>
  <c r="J63" i="4" s="1"/>
  <c r="L16" i="4"/>
  <c r="A16" i="4" s="1"/>
  <c r="F4" i="4"/>
  <c r="G4" i="4"/>
  <c r="H4" i="4"/>
  <c r="F5" i="4"/>
  <c r="G5" i="4"/>
  <c r="H5" i="4"/>
  <c r="G6" i="4"/>
  <c r="H6" i="4"/>
  <c r="F7" i="4"/>
  <c r="G7" i="4"/>
  <c r="H7" i="4"/>
  <c r="F8" i="4"/>
  <c r="G8" i="4"/>
  <c r="E8" i="4" s="1"/>
  <c r="H8" i="4"/>
  <c r="F9" i="4"/>
  <c r="G9" i="4"/>
  <c r="E9" i="4" s="1"/>
  <c r="H9" i="4"/>
  <c r="F10" i="4"/>
  <c r="G10" i="4"/>
  <c r="H10" i="4"/>
  <c r="F11" i="4"/>
  <c r="G11" i="4"/>
  <c r="H11" i="4"/>
  <c r="I11" i="4" s="1"/>
  <c r="D6" i="4"/>
  <c r="F6" i="4" s="1"/>
  <c r="V7" i="7" l="1"/>
  <c r="U8" i="7"/>
  <c r="U4" i="7"/>
  <c r="V5" i="7"/>
  <c r="U6" i="7"/>
  <c r="U10" i="7"/>
  <c r="V10" i="7"/>
  <c r="V6" i="7"/>
  <c r="U11" i="7"/>
  <c r="U5" i="7"/>
  <c r="V3" i="7"/>
  <c r="E10" i="4"/>
  <c r="E7" i="4"/>
  <c r="E6" i="4"/>
  <c r="E5" i="4"/>
  <c r="M3" i="4" s="1"/>
  <c r="M59" i="4"/>
  <c r="J62" i="4"/>
  <c r="K62" i="4" s="1"/>
  <c r="I62" i="4" s="1"/>
  <c r="J47" i="4"/>
  <c r="K47" i="4" s="1"/>
  <c r="M54" i="4"/>
  <c r="J58" i="4"/>
  <c r="K58" i="4" s="1"/>
  <c r="I58" i="4" s="1"/>
  <c r="J43" i="4"/>
  <c r="K43" i="4" s="1"/>
  <c r="M50" i="4"/>
  <c r="J55" i="4"/>
  <c r="K55" i="4" s="1"/>
  <c r="I55" i="4" s="1"/>
  <c r="J39" i="4"/>
  <c r="K39" i="4" s="1"/>
  <c r="M27" i="4"/>
  <c r="J51" i="4"/>
  <c r="K51" i="4" s="1"/>
  <c r="J35" i="4"/>
  <c r="K35" i="4" s="1"/>
  <c r="I10" i="4"/>
  <c r="M41" i="4"/>
  <c r="M32" i="4"/>
  <c r="A60" i="4"/>
  <c r="A48" i="4"/>
  <c r="A36" i="4"/>
  <c r="A28" i="4"/>
  <c r="A24" i="4"/>
  <c r="M62" i="4"/>
  <c r="M58" i="4"/>
  <c r="M53" i="4"/>
  <c r="M49" i="4"/>
  <c r="M44" i="4"/>
  <c r="M40" i="4"/>
  <c r="M35" i="4"/>
  <c r="M30" i="4"/>
  <c r="M26" i="4"/>
  <c r="J61" i="4"/>
  <c r="K61" i="4" s="1"/>
  <c r="J57" i="4"/>
  <c r="K57" i="4" s="1"/>
  <c r="I57" i="4" s="1"/>
  <c r="J54" i="4"/>
  <c r="K54" i="4" s="1"/>
  <c r="I54" i="4" s="1"/>
  <c r="J50" i="4"/>
  <c r="K50" i="4" s="1"/>
  <c r="J46" i="4"/>
  <c r="K46" i="4" s="1"/>
  <c r="J42" i="4"/>
  <c r="K42" i="4" s="1"/>
  <c r="J38" i="4"/>
  <c r="K38" i="4" s="1"/>
  <c r="J34" i="4"/>
  <c r="K34" i="4" s="1"/>
  <c r="A63" i="4"/>
  <c r="A59" i="4"/>
  <c r="A55" i="4"/>
  <c r="A51" i="4"/>
  <c r="A43" i="4"/>
  <c r="M45" i="4"/>
  <c r="M36" i="4"/>
  <c r="A56" i="4"/>
  <c r="A52" i="4"/>
  <c r="A44" i="4"/>
  <c r="A40" i="4"/>
  <c r="A32" i="4"/>
  <c r="I9" i="4"/>
  <c r="M61" i="4"/>
  <c r="M57" i="4"/>
  <c r="M52" i="4"/>
  <c r="M48" i="4"/>
  <c r="M38" i="4"/>
  <c r="M34" i="4"/>
  <c r="M29" i="4"/>
  <c r="M25" i="4"/>
  <c r="J60" i="4"/>
  <c r="K60" i="4" s="1"/>
  <c r="I60" i="4" s="1"/>
  <c r="J56" i="4"/>
  <c r="K56" i="4" s="1"/>
  <c r="I56" i="4" s="1"/>
  <c r="J53" i="4"/>
  <c r="K53" i="4" s="1"/>
  <c r="J49" i="4"/>
  <c r="K49" i="4" s="1"/>
  <c r="J45" i="4"/>
  <c r="K45" i="4" s="1"/>
  <c r="J41" i="4"/>
  <c r="K41" i="4" s="1"/>
  <c r="J37" i="4"/>
  <c r="K37" i="4" s="1"/>
  <c r="J33" i="4"/>
  <c r="K33" i="4" s="1"/>
  <c r="A46" i="4"/>
  <c r="A42" i="4"/>
  <c r="M37" i="4"/>
  <c r="M33" i="4"/>
  <c r="K63" i="4"/>
  <c r="I63" i="4" s="1"/>
  <c r="I7" i="4"/>
  <c r="I4" i="4"/>
  <c r="I6" i="4"/>
  <c r="I5" i="4"/>
  <c r="I8" i="4"/>
  <c r="U9" i="7" l="1"/>
  <c r="V9" i="7"/>
  <c r="V8" i="7"/>
  <c r="U7" i="7"/>
  <c r="V4" i="7"/>
  <c r="V11" i="7"/>
  <c r="U3" i="7"/>
  <c r="I53" i="4"/>
  <c r="I61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16" i="4"/>
  <c r="K16" i="4" s="1"/>
  <c r="F3" i="4"/>
  <c r="G3" i="4"/>
  <c r="O3" i="4" s="1"/>
  <c r="H3" i="4"/>
  <c r="P3" i="4" s="1"/>
  <c r="V4" i="1"/>
  <c r="V5" i="1"/>
  <c r="V7" i="1"/>
  <c r="V8" i="1"/>
  <c r="V9" i="1"/>
  <c r="V10" i="1"/>
  <c r="V11" i="1"/>
  <c r="V3" i="1"/>
  <c r="U12" i="7" l="1"/>
  <c r="N3" i="4"/>
  <c r="F16" i="4" s="1"/>
  <c r="F12" i="4"/>
  <c r="I33" i="4"/>
  <c r="I34" i="4"/>
  <c r="I49" i="4"/>
  <c r="K18" i="4"/>
  <c r="I18" i="4" s="1"/>
  <c r="K17" i="4"/>
  <c r="I17" i="4" s="1"/>
  <c r="I16" i="4"/>
  <c r="I38" i="4"/>
  <c r="I47" i="4"/>
  <c r="I46" i="4"/>
  <c r="I45" i="4"/>
  <c r="K31" i="4"/>
  <c r="I31" i="4" s="1"/>
  <c r="K30" i="4"/>
  <c r="I30" i="4" s="1"/>
  <c r="I48" i="4"/>
  <c r="K29" i="4"/>
  <c r="I29" i="4" s="1"/>
  <c r="K22" i="4"/>
  <c r="I22" i="4" s="1"/>
  <c r="I32" i="4"/>
  <c r="K21" i="4"/>
  <c r="I21" i="4" s="1"/>
  <c r="I44" i="4"/>
  <c r="K28" i="4"/>
  <c r="I28" i="4" s="1"/>
  <c r="I43" i="4"/>
  <c r="K27" i="4"/>
  <c r="I27" i="4" s="1"/>
  <c r="I42" i="4"/>
  <c r="K26" i="4"/>
  <c r="I26" i="4" s="1"/>
  <c r="I41" i="4"/>
  <c r="K25" i="4"/>
  <c r="I25" i="4" s="1"/>
  <c r="I40" i="4"/>
  <c r="K24" i="4"/>
  <c r="I24" i="4" s="1"/>
  <c r="K23" i="4"/>
  <c r="I23" i="4" s="1"/>
  <c r="K20" i="4"/>
  <c r="I20" i="4" s="1"/>
  <c r="I35" i="4"/>
  <c r="K19" i="4"/>
  <c r="I19" i="4" s="1"/>
  <c r="I36" i="4"/>
  <c r="I50" i="4"/>
  <c r="I37" i="4"/>
  <c r="I3" i="4"/>
  <c r="I12" i="4" s="1"/>
  <c r="F17" i="4" l="1" a="1"/>
  <c r="F17" i="4" s="1"/>
  <c r="H16" i="4"/>
  <c r="M31" i="4"/>
  <c r="M39" i="4" s="1"/>
  <c r="G16" i="4"/>
  <c r="W4" i="1"/>
  <c r="W5" i="1"/>
  <c r="W6" i="1"/>
  <c r="W7" i="1"/>
  <c r="W8" i="1"/>
  <c r="W9" i="1"/>
  <c r="W10" i="1"/>
  <c r="W11" i="1"/>
  <c r="W3" i="1"/>
  <c r="L21" i="1"/>
  <c r="M21" i="1" s="1"/>
  <c r="O21" i="1" s="1"/>
  <c r="F1" i="2"/>
  <c r="U6" i="1"/>
  <c r="V6" i="1" s="1"/>
  <c r="T7" i="1"/>
  <c r="E2" i="2"/>
  <c r="H17" i="4" l="1"/>
  <c r="F18" i="4" a="1"/>
  <c r="F18" i="4" s="1"/>
  <c r="G17" i="4"/>
  <c r="V12" i="1"/>
  <c r="O5" i="1"/>
  <c r="R9" i="1"/>
  <c r="O3" i="1"/>
  <c r="R3" i="1"/>
  <c r="P3" i="1"/>
  <c r="Q3" i="1"/>
  <c r="AI4" i="1"/>
  <c r="AI5" i="1"/>
  <c r="AI6" i="1"/>
  <c r="AI7" i="1"/>
  <c r="AI8" i="1"/>
  <c r="AI9" i="1"/>
  <c r="AI10" i="1"/>
  <c r="AI11" i="1"/>
  <c r="AI3" i="1"/>
  <c r="F4" i="1"/>
  <c r="F5" i="1"/>
  <c r="F6" i="1"/>
  <c r="F7" i="1"/>
  <c r="F8" i="1"/>
  <c r="F9" i="1"/>
  <c r="F10" i="1"/>
  <c r="F11" i="1"/>
  <c r="F3" i="1"/>
  <c r="T3" i="1"/>
  <c r="L4" i="1"/>
  <c r="L5" i="1"/>
  <c r="L6" i="1"/>
  <c r="L7" i="1"/>
  <c r="L8" i="1"/>
  <c r="L9" i="1"/>
  <c r="L10" i="1"/>
  <c r="L11" i="1"/>
  <c r="L3" i="1"/>
  <c r="R11" i="1"/>
  <c r="O11" i="1"/>
  <c r="Q9" i="1"/>
  <c r="O9" i="1"/>
  <c r="Q8" i="1"/>
  <c r="R8" i="1"/>
  <c r="O8" i="1"/>
  <c r="P8" i="1"/>
  <c r="R7" i="1"/>
  <c r="O7" i="1"/>
  <c r="Q7" i="1"/>
  <c r="O6" i="1"/>
  <c r="T6" i="1"/>
  <c r="P6" i="1"/>
  <c r="R6" i="1"/>
  <c r="Q6" i="1"/>
  <c r="T5" i="1"/>
  <c r="R5" i="1"/>
  <c r="P5" i="1"/>
  <c r="S5" i="1"/>
  <c r="Q5" i="1"/>
  <c r="O4" i="1"/>
  <c r="P4" i="1"/>
  <c r="Q4" i="1"/>
  <c r="T4" i="1"/>
  <c r="R4" i="1"/>
  <c r="E3" i="2"/>
  <c r="F19" i="4" l="1" a="1"/>
  <c r="F19" i="4" s="1"/>
  <c r="H18" i="4"/>
  <c r="I39" i="4"/>
  <c r="G18" i="4"/>
  <c r="F20" i="4" l="1" a="1"/>
  <c r="F20" i="4" s="1"/>
  <c r="H19" i="4"/>
  <c r="M47" i="4"/>
  <c r="M55" i="4" s="1"/>
  <c r="M63" i="4" s="1"/>
  <c r="G19" i="4"/>
  <c r="F21" i="4" l="1" a="1"/>
  <c r="F21" i="4" s="1"/>
  <c r="H20" i="4"/>
  <c r="I51" i="4"/>
  <c r="G20" i="4"/>
  <c r="F22" i="4" l="1" a="1"/>
  <c r="F22" i="4" s="1"/>
  <c r="H21" i="4"/>
  <c r="G21" i="4"/>
  <c r="H22" i="4" l="1"/>
  <c r="F23" i="4" a="1"/>
  <c r="F23" i="4" s="1"/>
  <c r="G22" i="4"/>
  <c r="H23" i="4" l="1"/>
  <c r="F24" i="4" a="1"/>
  <c r="F24" i="4" s="1"/>
  <c r="G23" i="4"/>
  <c r="F25" i="4" l="1" a="1"/>
  <c r="F25" i="4" s="1"/>
  <c r="H24" i="4"/>
  <c r="G24" i="4"/>
  <c r="F26" i="4" l="1" a="1"/>
  <c r="F26" i="4" s="1"/>
  <c r="H25" i="4"/>
  <c r="G25" i="4"/>
  <c r="F27" i="4" l="1" a="1"/>
  <c r="F27" i="4" s="1"/>
  <c r="H26" i="4"/>
  <c r="G26" i="4"/>
  <c r="F28" i="4" l="1" a="1"/>
  <c r="F28" i="4" s="1"/>
  <c r="H27" i="4"/>
  <c r="G27" i="4"/>
  <c r="F29" i="4" l="1" a="1"/>
  <c r="F29" i="4" s="1"/>
  <c r="H28" i="4"/>
  <c r="G28" i="4"/>
  <c r="H29" i="4" l="1"/>
  <c r="F30" i="4" a="1"/>
  <c r="F30" i="4" s="1"/>
  <c r="G29" i="4"/>
  <c r="F31" i="4" l="1" a="1"/>
  <c r="F31" i="4" s="1"/>
  <c r="H30" i="4"/>
  <c r="G30" i="4"/>
  <c r="F32" i="4" l="1" a="1"/>
  <c r="F32" i="4" s="1"/>
  <c r="H31" i="4"/>
  <c r="G31" i="4"/>
  <c r="F33" i="4" l="1" a="1"/>
  <c r="F33" i="4" s="1"/>
  <c r="H32" i="4"/>
  <c r="G32" i="4"/>
  <c r="F34" i="4" l="1" a="1"/>
  <c r="F34" i="4" s="1"/>
  <c r="H33" i="4"/>
  <c r="G33" i="4"/>
  <c r="F35" i="4" l="1" a="1"/>
  <c r="F35" i="4" s="1"/>
  <c r="H34" i="4"/>
  <c r="G34" i="4"/>
  <c r="F36" i="4" l="1" a="1"/>
  <c r="F36" i="4" s="1"/>
  <c r="H35" i="4"/>
  <c r="G35" i="4"/>
  <c r="F37" i="4" l="1" a="1"/>
  <c r="F37" i="4" s="1"/>
  <c r="H36" i="4"/>
  <c r="G36" i="4"/>
  <c r="F38" i="4" l="1" a="1"/>
  <c r="F38" i="4" s="1"/>
  <c r="H37" i="4"/>
  <c r="G37" i="4"/>
  <c r="H38" i="4" l="1"/>
  <c r="F39" i="4" a="1"/>
  <c r="F39" i="4" s="1"/>
  <c r="G38" i="4"/>
  <c r="F40" i="4" l="1" a="1"/>
  <c r="F40" i="4" s="1"/>
  <c r="H39" i="4"/>
  <c r="G39" i="4"/>
  <c r="F41" i="4" l="1" a="1"/>
  <c r="F41" i="4" s="1"/>
  <c r="H40" i="4"/>
  <c r="G40" i="4"/>
  <c r="F42" i="4" l="1" a="1"/>
  <c r="F42" i="4" s="1"/>
  <c r="H41" i="4"/>
  <c r="G41" i="4"/>
  <c r="F43" i="4" l="1" a="1"/>
  <c r="F43" i="4" s="1"/>
  <c r="H42" i="4"/>
  <c r="G42" i="4"/>
  <c r="F44" i="4" l="1" a="1"/>
  <c r="F44" i="4" s="1"/>
  <c r="H43" i="4"/>
  <c r="G43" i="4"/>
  <c r="F45" i="4" l="1" a="1"/>
  <c r="F45" i="4" s="1"/>
  <c r="H44" i="4"/>
  <c r="G44" i="4"/>
  <c r="F46" i="4" l="1" a="1"/>
  <c r="F46" i="4" s="1"/>
  <c r="H45" i="4"/>
  <c r="G45" i="4"/>
  <c r="F47" i="4" l="1" a="1"/>
  <c r="F47" i="4" s="1"/>
  <c r="H46" i="4"/>
  <c r="G46" i="4"/>
  <c r="F48" i="4" l="1" a="1"/>
  <c r="F48" i="4" s="1"/>
  <c r="H47" i="4"/>
  <c r="G47" i="4"/>
  <c r="F49" i="4" l="1" a="1"/>
  <c r="F49" i="4" s="1"/>
  <c r="H48" i="4"/>
  <c r="G48" i="4"/>
  <c r="F50" i="4" l="1" a="1"/>
  <c r="F50" i="4" s="1"/>
  <c r="H49" i="4"/>
  <c r="G49" i="4"/>
  <c r="F51" i="4" l="1" a="1"/>
  <c r="F51" i="4" s="1"/>
  <c r="H50" i="4"/>
  <c r="G50" i="4"/>
  <c r="F52" i="4" l="1" a="1"/>
  <c r="F52" i="4" s="1"/>
  <c r="H51" i="4"/>
  <c r="G51" i="4"/>
  <c r="F53" i="4" l="1" a="1"/>
  <c r="F53" i="4" s="1"/>
  <c r="H52" i="4"/>
  <c r="G52" i="4"/>
  <c r="F54" i="4" l="1" a="1"/>
  <c r="F54" i="4" s="1"/>
  <c r="H53" i="4"/>
  <c r="G53" i="4"/>
  <c r="F55" i="4" l="1" a="1"/>
  <c r="F55" i="4" s="1"/>
  <c r="H54" i="4"/>
  <c r="G54" i="4"/>
  <c r="F56" i="4" l="1" a="1"/>
  <c r="F56" i="4" s="1"/>
  <c r="H55" i="4"/>
  <c r="G55" i="4"/>
  <c r="F57" i="4" l="1" a="1"/>
  <c r="F57" i="4" s="1"/>
  <c r="H56" i="4"/>
  <c r="G56" i="4"/>
  <c r="F58" i="4" l="1" a="1"/>
  <c r="F58" i="4" s="1"/>
  <c r="H57" i="4"/>
  <c r="G57" i="4"/>
  <c r="F59" i="4" l="1" a="1"/>
  <c r="F59" i="4" s="1"/>
  <c r="H58" i="4"/>
  <c r="G58" i="4"/>
  <c r="F60" i="4" l="1" a="1"/>
  <c r="F60" i="4" s="1"/>
  <c r="H59" i="4"/>
  <c r="G59" i="4"/>
  <c r="F61" i="4" l="1" a="1"/>
  <c r="F61" i="4" s="1"/>
  <c r="H60" i="4"/>
  <c r="G60" i="4"/>
  <c r="F62" i="4" l="1" a="1"/>
  <c r="F62" i="4" s="1"/>
  <c r="H61" i="4"/>
  <c r="G61" i="4"/>
  <c r="F63" i="4" l="1" a="1"/>
  <c r="F63" i="4" s="1"/>
  <c r="H63" i="4" s="1"/>
  <c r="H62" i="4"/>
  <c r="G62" i="4"/>
  <c r="G6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<sst xmlns="http://schemas.openxmlformats.org/spreadsheetml/2006/main" count="128" uniqueCount="87">
  <si>
    <t>Арстотцка</t>
  </si>
  <si>
    <t>Колечия</t>
  </si>
  <si>
    <t>Орбистан</t>
  </si>
  <si>
    <t>Скоатия</t>
  </si>
  <si>
    <t>Импор</t>
  </si>
  <si>
    <t>Антегрия</t>
  </si>
  <si>
    <t>Республия</t>
  </si>
  <si>
    <t>Объединенная Федерация</t>
  </si>
  <si>
    <t>Семистан</t>
  </si>
  <si>
    <t>Страна</t>
  </si>
  <si>
    <t>Флот</t>
  </si>
  <si>
    <t>Авиация</t>
  </si>
  <si>
    <t>Фабрики</t>
  </si>
  <si>
    <t>Заводы</t>
  </si>
  <si>
    <t>Верфи</t>
  </si>
  <si>
    <t>-</t>
  </si>
  <si>
    <t>Тэг</t>
  </si>
  <si>
    <t>ANT</t>
  </si>
  <si>
    <t>ARS</t>
  </si>
  <si>
    <t>IMP</t>
  </si>
  <si>
    <t>KOL</t>
  </si>
  <si>
    <t>UNF</t>
  </si>
  <si>
    <t>OBR</t>
  </si>
  <si>
    <t>REP</t>
  </si>
  <si>
    <t>SEM</t>
  </si>
  <si>
    <t>SKO</t>
  </si>
  <si>
    <t>Сталь</t>
  </si>
  <si>
    <t>Хром</t>
  </si>
  <si>
    <t>Вольфрам</t>
  </si>
  <si>
    <t>Нефть</t>
  </si>
  <si>
    <t>Алюминий</t>
  </si>
  <si>
    <t>Резина</t>
  </si>
  <si>
    <t>ИТОГО ФАБРИКИ</t>
  </si>
  <si>
    <t>Пеха</t>
  </si>
  <si>
    <t>Арта</t>
  </si>
  <si>
    <t>Моторка</t>
  </si>
  <si>
    <t>ВСЕГО</t>
  </si>
  <si>
    <t>ПОЛИТИКА</t>
  </si>
  <si>
    <t>РЕСУРСЫ</t>
  </si>
  <si>
    <t>АРМИЯ</t>
  </si>
  <si>
    <t>Правительство</t>
  </si>
  <si>
    <t>ОСТАТОК</t>
  </si>
  <si>
    <t>ЗДАНИЯ</t>
  </si>
  <si>
    <t>Население</t>
  </si>
  <si>
    <t>*</t>
  </si>
  <si>
    <t>Продукты</t>
  </si>
  <si>
    <t>Производство, тонн в год</t>
  </si>
  <si>
    <t>Необходимо в год, тонн</t>
  </si>
  <si>
    <t>Агрокомплекс</t>
  </si>
  <si>
    <t>Производство, тонн в месяц</t>
  </si>
  <si>
    <t>Необходимо в месяц, тонн</t>
  </si>
  <si>
    <t>ТЕКУЩЕЕ КОЛИЧЕСТВО</t>
  </si>
  <si>
    <t>МЕСЯЦ</t>
  </si>
  <si>
    <t>ПОКАЗАТЕЛЬ</t>
  </si>
  <si>
    <t>НЕУРОЖАЙ</t>
  </si>
  <si>
    <t>РЕКОРД</t>
  </si>
  <si>
    <t>НЕУРОЖАЙ ИЛИ РЕКОРД</t>
  </si>
  <si>
    <t>ЧЬЯ ПРОВЕРКА</t>
  </si>
  <si>
    <t>Элеватор</t>
  </si>
  <si>
    <t>На сколько хватит</t>
  </si>
  <si>
    <t>Элеваторы</t>
  </si>
  <si>
    <t>Базовый % сохранения провианта</t>
  </si>
  <si>
    <t>Стартовые запасы</t>
  </si>
  <si>
    <t>ГЭС</t>
  </si>
  <si>
    <t>АЭС</t>
  </si>
  <si>
    <t>Потребители энергии</t>
  </si>
  <si>
    <t>Производители энергии</t>
  </si>
  <si>
    <t>Фабрика</t>
  </si>
  <si>
    <t>Завод</t>
  </si>
  <si>
    <t>Верфь</t>
  </si>
  <si>
    <t>ТЭС</t>
  </si>
  <si>
    <t>МВт</t>
  </si>
  <si>
    <t>Инфра</t>
  </si>
  <si>
    <t>Узлы</t>
  </si>
  <si>
    <t>Удовлетворенность, %</t>
  </si>
  <si>
    <t>Аэродром</t>
  </si>
  <si>
    <t>Морбаза</t>
  </si>
  <si>
    <t>ПВО</t>
  </si>
  <si>
    <t>НПЗ</t>
  </si>
  <si>
    <t>Хранилище</t>
  </si>
  <si>
    <t>Радар</t>
  </si>
  <si>
    <t>Ракеты</t>
  </si>
  <si>
    <t>Ядерный реактор</t>
  </si>
  <si>
    <t>Бункер/Мор</t>
  </si>
  <si>
    <t>Баланс, МВт в месяц</t>
  </si>
  <si>
    <t>Производство, МВт в месяц</t>
  </si>
  <si>
    <t>Необходимо в месяц,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</si>
</sst>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  <numFmt numFmtId="167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5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9" fontId="0" fillId="2" borderId="11" xfId="1" applyFont="1" applyFill="1" applyBorder="1" applyAlignment="1">
      <alignment horizontal="center" vertical="center"/>
    </xf>
    <xf numFmtId="9" fontId="0" fillId="3" borderId="26" xfId="1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9" fontId="0" fillId="2" borderId="8" xfId="1" applyFont="1" applyFill="1" applyBorder="1" applyAlignment="1">
      <alignment horizontal="center" vertical="center"/>
    </xf>
    <xf numFmtId="9" fontId="0" fillId="2" borderId="22" xfId="1" applyFont="1" applyFill="1" applyBorder="1" applyAlignment="1">
      <alignment horizontal="center" vertical="center"/>
    </xf>
    <xf numFmtId="9" fontId="0" fillId="0" borderId="4" xfId="1" applyFont="1" applyFill="1" applyBorder="1" applyAlignment="1">
      <alignment horizontal="center" vertical="center"/>
    </xf>
    <xf numFmtId="9" fontId="0" fillId="2" borderId="4" xfId="1" applyFont="1" applyFill="1" applyBorder="1" applyAlignment="1">
      <alignment horizontal="center" vertical="center"/>
    </xf>
    <xf numFmtId="9" fontId="0" fillId="2" borderId="23" xfId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164" fontId="0" fillId="0" borderId="0" xfId="2" applyNumberFormat="1" applyFont="1" applyAlignment="1">
      <alignment horizontal="center" vertical="center"/>
    </xf>
    <xf numFmtId="164" fontId="0" fillId="0" borderId="0" xfId="0" applyNumberFormat="1"/>
    <xf numFmtId="0" fontId="2" fillId="0" borderId="14" xfId="0" applyFont="1" applyFill="1" applyBorder="1" applyAlignment="1">
      <alignment horizontal="center" vertical="center"/>
    </xf>
    <xf numFmtId="164" fontId="0" fillId="2" borderId="27" xfId="2" applyNumberFormat="1" applyFont="1" applyFill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165" fontId="0" fillId="0" borderId="0" xfId="2" applyNumberFormat="1" applyFont="1"/>
    <xf numFmtId="164" fontId="0" fillId="0" borderId="27" xfId="2" applyNumberFormat="1" applyFont="1" applyFill="1" applyBorder="1" applyAlignment="1">
      <alignment horizontal="center" vertical="center"/>
    </xf>
    <xf numFmtId="164" fontId="0" fillId="2" borderId="28" xfId="2" applyNumberFormat="1" applyFont="1" applyFill="1" applyBorder="1" applyAlignment="1">
      <alignment horizontal="center" vertical="center"/>
    </xf>
    <xf numFmtId="164" fontId="0" fillId="0" borderId="0" xfId="2" applyNumberFormat="1" applyFont="1"/>
    <xf numFmtId="49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0" fillId="2" borderId="26" xfId="2" applyNumberFormat="1" applyFont="1" applyFill="1" applyBorder="1" applyAlignment="1">
      <alignment horizontal="center" vertical="center"/>
    </xf>
    <xf numFmtId="164" fontId="0" fillId="2" borderId="21" xfId="2" applyNumberFormat="1" applyFont="1" applyFill="1" applyBorder="1" applyAlignment="1">
      <alignment horizontal="center" vertical="center"/>
    </xf>
    <xf numFmtId="164" fontId="0" fillId="2" borderId="34" xfId="2" applyNumberFormat="1" applyFont="1" applyFill="1" applyBorder="1" applyAlignment="1">
      <alignment horizontal="center" vertical="center"/>
    </xf>
    <xf numFmtId="164" fontId="0" fillId="0" borderId="26" xfId="2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64" fontId="0" fillId="3" borderId="0" xfId="0" applyNumberFormat="1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right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7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2" borderId="3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166" fontId="0" fillId="0" borderId="0" xfId="1" applyNumberFormat="1" applyFont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 wrapText="1"/>
    </xf>
    <xf numFmtId="164" fontId="0" fillId="2" borderId="35" xfId="2" applyNumberFormat="1" applyFont="1" applyFill="1" applyBorder="1" applyAlignment="1">
      <alignment horizontal="center" vertical="center"/>
    </xf>
    <xf numFmtId="164" fontId="0" fillId="0" borderId="36" xfId="2" applyNumberFormat="1" applyFont="1" applyFill="1" applyBorder="1" applyAlignment="1">
      <alignment horizontal="center" vertical="center"/>
    </xf>
    <xf numFmtId="164" fontId="0" fillId="2" borderId="36" xfId="2" applyNumberFormat="1" applyFont="1" applyFill="1" applyBorder="1" applyAlignment="1">
      <alignment horizontal="center" vertical="center"/>
    </xf>
    <xf numFmtId="164" fontId="0" fillId="2" borderId="37" xfId="2" applyNumberFormat="1" applyFont="1" applyFill="1" applyBorder="1" applyAlignment="1">
      <alignment horizontal="center" vertical="center"/>
    </xf>
    <xf numFmtId="164" fontId="0" fillId="2" borderId="39" xfId="2" applyNumberFormat="1" applyFont="1" applyFill="1" applyBorder="1" applyAlignment="1">
      <alignment horizontal="center" vertical="center"/>
    </xf>
    <xf numFmtId="164" fontId="0" fillId="0" borderId="33" xfId="2" applyNumberFormat="1" applyFont="1" applyFill="1" applyBorder="1" applyAlignment="1">
      <alignment horizontal="center" vertical="center"/>
    </xf>
    <xf numFmtId="164" fontId="0" fillId="2" borderId="33" xfId="2" applyNumberFormat="1" applyFont="1" applyFill="1" applyBorder="1" applyAlignment="1">
      <alignment horizontal="center" vertical="center"/>
    </xf>
    <xf numFmtId="164" fontId="0" fillId="2" borderId="18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164" fontId="0" fillId="4" borderId="1" xfId="2" applyNumberFormat="1" applyFont="1" applyFill="1" applyBorder="1" applyAlignment="1">
      <alignment horizontal="center" vertical="center"/>
    </xf>
    <xf numFmtId="9" fontId="0" fillId="4" borderId="1" xfId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164" fontId="0" fillId="2" borderId="1" xfId="2" applyNumberFormat="1" applyFont="1" applyFill="1" applyBorder="1" applyAlignment="1">
      <alignment horizontal="center" vertical="center"/>
    </xf>
    <xf numFmtId="164" fontId="0" fillId="0" borderId="1" xfId="2" applyNumberFormat="1" applyFont="1" applyFill="1" applyBorder="1" applyAlignment="1">
      <alignment horizontal="center" vertical="center"/>
    </xf>
    <xf numFmtId="164" fontId="0" fillId="0" borderId="5" xfId="2" applyNumberFormat="1" applyFont="1" applyFill="1" applyBorder="1" applyAlignment="1">
      <alignment horizontal="center" vertical="center"/>
    </xf>
    <xf numFmtId="164" fontId="0" fillId="2" borderId="6" xfId="2" applyNumberFormat="1" applyFont="1" applyFill="1" applyBorder="1" applyAlignment="1">
      <alignment horizontal="center" vertical="center"/>
    </xf>
    <xf numFmtId="164" fontId="0" fillId="2" borderId="5" xfId="2" applyNumberFormat="1" applyFont="1" applyFill="1" applyBorder="1" applyAlignment="1">
      <alignment horizontal="center" vertical="center"/>
    </xf>
    <xf numFmtId="164" fontId="0" fillId="2" borderId="7" xfId="2" applyNumberFormat="1" applyFont="1" applyFill="1" applyBorder="1" applyAlignment="1">
      <alignment horizontal="center" vertical="center"/>
    </xf>
    <xf numFmtId="164" fontId="0" fillId="2" borderId="9" xfId="2" applyNumberFormat="1" applyFont="1" applyFill="1" applyBorder="1" applyAlignment="1">
      <alignment horizontal="center" vertical="center"/>
    </xf>
    <xf numFmtId="164" fontId="0" fillId="0" borderId="6" xfId="2" applyNumberFormat="1" applyFont="1" applyFill="1" applyBorder="1" applyAlignment="1">
      <alignment horizontal="center" vertical="center"/>
    </xf>
    <xf numFmtId="164" fontId="0" fillId="0" borderId="24" xfId="2" applyNumberFormat="1" applyFont="1" applyFill="1" applyBorder="1" applyAlignment="1">
      <alignment horizontal="center" vertical="center"/>
    </xf>
    <xf numFmtId="164" fontId="0" fillId="2" borderId="24" xfId="2" applyNumberFormat="1" applyFont="1" applyFill="1" applyBorder="1" applyAlignment="1">
      <alignment horizontal="center" vertical="center"/>
    </xf>
    <xf numFmtId="164" fontId="0" fillId="2" borderId="25" xfId="2" applyNumberFormat="1" applyFont="1" applyFill="1" applyBorder="1" applyAlignment="1">
      <alignment horizontal="center" vertical="center"/>
    </xf>
    <xf numFmtId="164" fontId="0" fillId="2" borderId="8" xfId="2" applyNumberFormat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2" borderId="36" xfId="0" applyFill="1" applyBorder="1" applyAlignment="1">
      <alignment horizontal="left" vertical="center" wrapText="1"/>
    </xf>
    <xf numFmtId="0" fontId="0" fillId="2" borderId="37" xfId="0" applyFill="1" applyBorder="1" applyAlignment="1">
      <alignment horizontal="left" vertical="center" wrapText="1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164" fontId="0" fillId="2" borderId="43" xfId="2" applyNumberFormat="1" applyFont="1" applyFill="1" applyBorder="1" applyAlignment="1">
      <alignment horizontal="center" vertical="center"/>
    </xf>
    <xf numFmtId="164" fontId="0" fillId="0" borderId="4" xfId="2" applyNumberFormat="1" applyFont="1" applyFill="1" applyBorder="1" applyAlignment="1">
      <alignment horizontal="center" vertical="center"/>
    </xf>
    <xf numFmtId="164" fontId="0" fillId="2" borderId="4" xfId="2" applyNumberFormat="1" applyFont="1" applyFill="1" applyBorder="1" applyAlignment="1">
      <alignment horizontal="center" vertical="center"/>
    </xf>
    <xf numFmtId="164" fontId="0" fillId="2" borderId="23" xfId="2" applyNumberFormat="1" applyFont="1" applyFill="1" applyBorder="1" applyAlignment="1">
      <alignment horizontal="center" vertical="center"/>
    </xf>
    <xf numFmtId="9" fontId="0" fillId="2" borderId="6" xfId="1" applyFont="1" applyFill="1" applyBorder="1" applyAlignment="1">
      <alignment horizontal="center" vertical="center"/>
    </xf>
    <xf numFmtId="9" fontId="0" fillId="2" borderId="9" xfId="1" applyFont="1" applyFill="1" applyBorder="1" applyAlignment="1">
      <alignment horizontal="center" vertical="center"/>
    </xf>
    <xf numFmtId="164" fontId="0" fillId="2" borderId="11" xfId="2" applyNumberFormat="1" applyFont="1" applyFill="1" applyBorder="1" applyAlignment="1">
      <alignment horizontal="center" vertical="center"/>
    </xf>
    <xf numFmtId="9" fontId="0" fillId="2" borderId="12" xfId="1" applyFont="1" applyFill="1" applyBorder="1" applyAlignment="1">
      <alignment horizontal="center" vertical="center"/>
    </xf>
    <xf numFmtId="9" fontId="0" fillId="0" borderId="6" xfId="1" applyFont="1" applyFill="1" applyBorder="1" applyAlignment="1">
      <alignment horizontal="center" vertical="center"/>
    </xf>
    <xf numFmtId="164" fontId="0" fillId="2" borderId="2" xfId="2" applyNumberFormat="1" applyFont="1" applyFill="1" applyBorder="1" applyAlignment="1">
      <alignment horizontal="center" vertical="center"/>
    </xf>
    <xf numFmtId="167" fontId="0" fillId="0" borderId="0" xfId="1" applyNumberFormat="1" applyFont="1"/>
    <xf numFmtId="0" fontId="1" fillId="0" borderId="15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0" fillId="2" borderId="2" xfId="2" applyNumberFormat="1" applyFont="1" applyFill="1" applyBorder="1" applyAlignment="1">
      <alignment horizontal="center" vertical="center"/>
    </xf>
    <xf numFmtId="0" fontId="0" fillId="2" borderId="24" xfId="2" applyNumberFormat="1" applyFont="1" applyFill="1" applyBorder="1" applyAlignment="1">
      <alignment horizontal="center" vertical="center"/>
    </xf>
    <xf numFmtId="0" fontId="0" fillId="2" borderId="25" xfId="2" applyNumberFormat="1" applyFont="1" applyFill="1" applyBorder="1" applyAlignment="1">
      <alignment horizontal="center" vertical="center"/>
    </xf>
    <xf numFmtId="0" fontId="0" fillId="0" borderId="24" xfId="2" applyNumberFormat="1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219075</xdr:colOff>
      <xdr:row>1</xdr:row>
      <xdr:rowOff>16094</xdr:rowOff>
    </xdr:from>
    <xdr:to>
      <xdr:col>24</xdr:col>
      <xdr:colOff>457200</xdr:colOff>
      <xdr:row>1</xdr:row>
      <xdr:rowOff>265058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DC06816-519B-4825-AED6-EBB955458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3903" y="226301"/>
          <a:ext cx="238125" cy="248964"/>
        </a:xfrm>
        <a:prstGeom prst="rect">
          <a:avLst/>
        </a:prstGeom>
      </xdr:spPr>
    </xdr:pic>
    <xdr:clientData/>
  </xdr:twoCellAnchor>
  <xdr:twoCellAnchor editAs="oneCell">
    <xdr:from>
      <xdr:col>25</xdr:col>
      <xdr:colOff>142875</xdr:colOff>
      <xdr:row>1</xdr:row>
      <xdr:rowOff>16094</xdr:rowOff>
    </xdr:from>
    <xdr:to>
      <xdr:col>25</xdr:col>
      <xdr:colOff>381000</xdr:colOff>
      <xdr:row>1</xdr:row>
      <xdr:rowOff>265058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E8C615F-4E66-4186-8E0C-4E7873D25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4306" y="226301"/>
          <a:ext cx="238125" cy="248964"/>
        </a:xfrm>
        <a:prstGeom prst="rect">
          <a:avLst/>
        </a:prstGeom>
      </xdr:spPr>
    </xdr:pic>
    <xdr:clientData/>
  </xdr:twoCellAnchor>
  <xdr:twoCellAnchor editAs="oneCell">
    <xdr:from>
      <xdr:col>31</xdr:col>
      <xdr:colOff>170793</xdr:colOff>
      <xdr:row>1</xdr:row>
      <xdr:rowOff>6569</xdr:rowOff>
    </xdr:from>
    <xdr:to>
      <xdr:col>31</xdr:col>
      <xdr:colOff>408918</xdr:colOff>
      <xdr:row>1</xdr:row>
      <xdr:rowOff>254219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B909941-B675-4826-B8B5-0A137A677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48586" y="216776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29</xdr:col>
      <xdr:colOff>210207</xdr:colOff>
      <xdr:row>1</xdr:row>
      <xdr:rowOff>6569</xdr:rowOff>
    </xdr:from>
    <xdr:to>
      <xdr:col>29</xdr:col>
      <xdr:colOff>448332</xdr:colOff>
      <xdr:row>1</xdr:row>
      <xdr:rowOff>254219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04D8B76-D121-4621-8BAA-78BF02F3B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66173" y="216776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33</xdr:col>
      <xdr:colOff>177362</xdr:colOff>
      <xdr:row>1</xdr:row>
      <xdr:rowOff>19707</xdr:rowOff>
    </xdr:from>
    <xdr:to>
      <xdr:col>33</xdr:col>
      <xdr:colOff>415487</xdr:colOff>
      <xdr:row>1</xdr:row>
      <xdr:rowOff>267357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1450CEF-F5BF-4D6A-B110-5CF7D8A51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6983" y="22991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32</xdr:col>
      <xdr:colOff>183930</xdr:colOff>
      <xdr:row>1</xdr:row>
      <xdr:rowOff>0</xdr:rowOff>
    </xdr:from>
    <xdr:to>
      <xdr:col>32</xdr:col>
      <xdr:colOff>422055</xdr:colOff>
      <xdr:row>1</xdr:row>
      <xdr:rowOff>247650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AD078C52-8436-416A-AC43-8D8E9A74F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72637" y="21020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26</xdr:col>
      <xdr:colOff>170794</xdr:colOff>
      <xdr:row>1</xdr:row>
      <xdr:rowOff>0</xdr:rowOff>
    </xdr:from>
    <xdr:to>
      <xdr:col>26</xdr:col>
      <xdr:colOff>408919</xdr:colOff>
      <xdr:row>1</xdr:row>
      <xdr:rowOff>247650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945EC781-9DA0-4D60-9087-1B7704616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94018" y="21020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30</xdr:col>
      <xdr:colOff>197070</xdr:colOff>
      <xdr:row>1</xdr:row>
      <xdr:rowOff>13138</xdr:rowOff>
    </xdr:from>
    <xdr:to>
      <xdr:col>30</xdr:col>
      <xdr:colOff>435195</xdr:colOff>
      <xdr:row>1</xdr:row>
      <xdr:rowOff>260788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320D6626-6EC8-4003-9DBB-690EB8764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3949" y="223345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27</xdr:col>
      <xdr:colOff>197068</xdr:colOff>
      <xdr:row>0</xdr:row>
      <xdr:rowOff>203638</xdr:rowOff>
    </xdr:from>
    <xdr:to>
      <xdr:col>27</xdr:col>
      <xdr:colOff>435193</xdr:colOff>
      <xdr:row>1</xdr:row>
      <xdr:rowOff>241081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2BE10B6D-9C3B-4DB5-BEB1-58C3A44DB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1206" y="203638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28</xdr:col>
      <xdr:colOff>203638</xdr:colOff>
      <xdr:row>1</xdr:row>
      <xdr:rowOff>19707</xdr:rowOff>
    </xdr:from>
    <xdr:to>
      <xdr:col>28</xdr:col>
      <xdr:colOff>441763</xdr:colOff>
      <xdr:row>1</xdr:row>
      <xdr:rowOff>267357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0B8D923C-A3AD-42B4-B551-CF738AA0C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8690" y="22991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23</xdr:col>
      <xdr:colOff>426326</xdr:colOff>
      <xdr:row>2</xdr:row>
      <xdr:rowOff>22336</xdr:rowOff>
    </xdr:from>
    <xdr:to>
      <xdr:col>23</xdr:col>
      <xdr:colOff>664451</xdr:colOff>
      <xdr:row>3</xdr:row>
      <xdr:rowOff>657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C7F343A6-C893-4AC9-846F-A2735713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6981" y="52157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23</xdr:col>
      <xdr:colOff>420413</xdr:colOff>
      <xdr:row>5</xdr:row>
      <xdr:rowOff>0</xdr:rowOff>
    </xdr:from>
    <xdr:to>
      <xdr:col>23</xdr:col>
      <xdr:colOff>658538</xdr:colOff>
      <xdr:row>5</xdr:row>
      <xdr:rowOff>247650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E1979C0-EF88-4D60-A04A-8F15D3F26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1068" y="130722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23</xdr:col>
      <xdr:colOff>426983</xdr:colOff>
      <xdr:row>6</xdr:row>
      <xdr:rowOff>52552</xdr:rowOff>
    </xdr:from>
    <xdr:to>
      <xdr:col>23</xdr:col>
      <xdr:colOff>665108</xdr:colOff>
      <xdr:row>6</xdr:row>
      <xdr:rowOff>300202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46D7601A-0E9A-4349-8C2A-822FCB751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7638" y="162910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23</xdr:col>
      <xdr:colOff>441435</xdr:colOff>
      <xdr:row>10</xdr:row>
      <xdr:rowOff>1315</xdr:rowOff>
    </xdr:from>
    <xdr:to>
      <xdr:col>23</xdr:col>
      <xdr:colOff>679560</xdr:colOff>
      <xdr:row>10</xdr:row>
      <xdr:rowOff>248965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10128356-8CE7-41E7-9DE5-4823E036B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2090" y="2576349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23</xdr:col>
      <xdr:colOff>428296</xdr:colOff>
      <xdr:row>6</xdr:row>
      <xdr:rowOff>375745</xdr:rowOff>
    </xdr:from>
    <xdr:to>
      <xdr:col>23</xdr:col>
      <xdr:colOff>666421</xdr:colOff>
      <xdr:row>7</xdr:row>
      <xdr:rowOff>242395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D9361265-6A48-4B47-8ABA-DFA6AED3E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8951" y="195229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23</xdr:col>
      <xdr:colOff>422182</xdr:colOff>
      <xdr:row>8</xdr:row>
      <xdr:rowOff>4295</xdr:rowOff>
    </xdr:from>
    <xdr:to>
      <xdr:col>23</xdr:col>
      <xdr:colOff>660307</xdr:colOff>
      <xdr:row>8</xdr:row>
      <xdr:rowOff>251945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3B3F4707-6393-4D76-A56A-43D6395D7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2932" y="2202372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23</xdr:col>
      <xdr:colOff>417635</xdr:colOff>
      <xdr:row>3</xdr:row>
      <xdr:rowOff>14654</xdr:rowOff>
    </xdr:from>
    <xdr:to>
      <xdr:col>23</xdr:col>
      <xdr:colOff>655760</xdr:colOff>
      <xdr:row>3</xdr:row>
      <xdr:rowOff>263618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E5E5FF05-C913-4B1D-B8D0-8B4AB32C3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8385" y="776654"/>
          <a:ext cx="238125" cy="248964"/>
        </a:xfrm>
        <a:prstGeom prst="rect">
          <a:avLst/>
        </a:prstGeom>
      </xdr:spPr>
    </xdr:pic>
    <xdr:clientData/>
  </xdr:twoCellAnchor>
  <xdr:twoCellAnchor editAs="oneCell">
    <xdr:from>
      <xdr:col>23</xdr:col>
      <xdr:colOff>424203</xdr:colOff>
      <xdr:row>4</xdr:row>
      <xdr:rowOff>10359</xdr:rowOff>
    </xdr:from>
    <xdr:to>
      <xdr:col>23</xdr:col>
      <xdr:colOff>662328</xdr:colOff>
      <xdr:row>4</xdr:row>
      <xdr:rowOff>258009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82CE2B0B-383F-486F-B514-CC454DCB0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4953" y="1036128"/>
          <a:ext cx="238125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zoomScale="130" zoomScaleNormal="13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K10" sqref="K10"/>
    </sheetView>
  </sheetViews>
  <sheetFormatPr defaultRowHeight="15" x14ac:dyDescent="0.25"/>
  <cols>
    <col min="1" max="1" width="17.7109375" customWidth="1"/>
    <col min="2" max="2" width="4.7109375" bestFit="1" customWidth="1"/>
    <col min="3" max="12" width="10.85546875" customWidth="1"/>
    <col min="13" max="14" width="9.7109375" customWidth="1"/>
    <col min="15" max="15" width="10.85546875" bestFit="1" customWidth="1"/>
    <col min="17" max="17" width="11.42578125" bestFit="1" customWidth="1"/>
    <col min="18" max="18" width="12" bestFit="1" customWidth="1"/>
    <col min="20" max="20" width="9.140625" customWidth="1"/>
    <col min="21" max="21" width="14.7109375" bestFit="1" customWidth="1"/>
    <col min="22" max="23" width="14.5703125" bestFit="1" customWidth="1"/>
    <col min="24" max="24" width="16" bestFit="1" customWidth="1"/>
    <col min="25" max="25" width="10.140625" customWidth="1"/>
    <col min="26" max="26" width="8.28515625" customWidth="1"/>
    <col min="34" max="34" width="9.140625" customWidth="1"/>
  </cols>
  <sheetData>
    <row r="1" spans="1:35" ht="16.5" customHeight="1" thickBot="1" x14ac:dyDescent="0.3">
      <c r="A1" s="98" t="s">
        <v>9</v>
      </c>
      <c r="B1" s="98" t="s">
        <v>16</v>
      </c>
      <c r="C1" s="101" t="s">
        <v>39</v>
      </c>
      <c r="D1" s="105"/>
      <c r="E1" s="105"/>
      <c r="F1" s="106"/>
      <c r="G1" s="98" t="s">
        <v>10</v>
      </c>
      <c r="H1" s="101" t="s">
        <v>11</v>
      </c>
      <c r="I1" s="101" t="s">
        <v>42</v>
      </c>
      <c r="J1" s="105"/>
      <c r="K1" s="105"/>
      <c r="L1" s="105"/>
      <c r="M1" s="105"/>
      <c r="N1" s="106"/>
      <c r="O1" s="107" t="s">
        <v>38</v>
      </c>
      <c r="P1" s="108"/>
      <c r="Q1" s="108"/>
      <c r="R1" s="108"/>
      <c r="S1" s="108"/>
      <c r="T1" s="109"/>
      <c r="U1" s="110" t="s">
        <v>43</v>
      </c>
      <c r="V1" s="112" t="s">
        <v>45</v>
      </c>
      <c r="W1" s="113"/>
      <c r="X1" s="103" t="s">
        <v>37</v>
      </c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</row>
    <row r="2" spans="1:35" s="1" customFormat="1" ht="32.25" thickBot="1" x14ac:dyDescent="0.3">
      <c r="A2" s="99"/>
      <c r="B2" s="99"/>
      <c r="C2" s="19" t="s">
        <v>33</v>
      </c>
      <c r="D2" s="19" t="s">
        <v>34</v>
      </c>
      <c r="E2" s="20" t="s">
        <v>35</v>
      </c>
      <c r="F2" s="27" t="s">
        <v>36</v>
      </c>
      <c r="G2" s="100"/>
      <c r="H2" s="102"/>
      <c r="I2" s="19" t="s">
        <v>12</v>
      </c>
      <c r="J2" s="19" t="s">
        <v>13</v>
      </c>
      <c r="K2" s="19" t="s">
        <v>14</v>
      </c>
      <c r="L2" s="57" t="s">
        <v>32</v>
      </c>
      <c r="M2" s="85" t="s">
        <v>48</v>
      </c>
      <c r="N2" s="62" t="s">
        <v>60</v>
      </c>
      <c r="O2" s="84" t="s">
        <v>26</v>
      </c>
      <c r="P2" s="18" t="s">
        <v>27</v>
      </c>
      <c r="Q2" s="18" t="s">
        <v>28</v>
      </c>
      <c r="R2" s="18" t="s">
        <v>30</v>
      </c>
      <c r="S2" s="18" t="s">
        <v>31</v>
      </c>
      <c r="T2" s="47" t="s">
        <v>29</v>
      </c>
      <c r="U2" s="111"/>
      <c r="V2" s="56" t="s">
        <v>47</v>
      </c>
      <c r="W2" s="56" t="s">
        <v>46</v>
      </c>
      <c r="X2" s="19" t="s">
        <v>40</v>
      </c>
      <c r="Y2" s="19"/>
      <c r="Z2" s="19"/>
      <c r="AA2" s="19"/>
      <c r="AB2" s="19"/>
      <c r="AC2" s="19"/>
      <c r="AD2" s="19"/>
      <c r="AE2" s="19"/>
      <c r="AF2" s="19"/>
      <c r="AG2" s="19"/>
      <c r="AH2" s="20"/>
      <c r="AI2" s="31" t="s">
        <v>41</v>
      </c>
    </row>
    <row r="3" spans="1:35" s="5" customFormat="1" ht="21" customHeight="1" x14ac:dyDescent="0.25">
      <c r="A3" s="41" t="s">
        <v>5</v>
      </c>
      <c r="B3" s="15" t="s">
        <v>17</v>
      </c>
      <c r="C3" s="15">
        <v>10</v>
      </c>
      <c r="D3" s="15">
        <v>5</v>
      </c>
      <c r="E3" s="21"/>
      <c r="F3" s="28">
        <f>SUM(C3:E3)</f>
        <v>15</v>
      </c>
      <c r="G3" s="23"/>
      <c r="H3" s="21"/>
      <c r="I3" s="17">
        <v>7</v>
      </c>
      <c r="J3" s="15">
        <v>7</v>
      </c>
      <c r="K3" s="16">
        <v>0</v>
      </c>
      <c r="L3" s="28">
        <f>SUM(I3:K3)</f>
        <v>14</v>
      </c>
      <c r="M3" s="23">
        <f>Провиант!B3</f>
        <v>3</v>
      </c>
      <c r="N3" s="16">
        <f>Провиант!C3</f>
        <v>0</v>
      </c>
      <c r="O3" s="23">
        <f>10+14+4+3</f>
        <v>31</v>
      </c>
      <c r="P3" s="15">
        <f>11</f>
        <v>11</v>
      </c>
      <c r="Q3" s="15">
        <f>23</f>
        <v>23</v>
      </c>
      <c r="R3" s="15">
        <f>5</f>
        <v>5</v>
      </c>
      <c r="S3" s="15"/>
      <c r="T3" s="16">
        <f>70</f>
        <v>70</v>
      </c>
      <c r="U3" s="48">
        <v>18846379</v>
      </c>
      <c r="V3" s="58">
        <f>U3*547/1000</f>
        <v>10308969.312999999</v>
      </c>
      <c r="W3" s="60">
        <f>(M3*200000)+(M3*5000000/350*1500*2.5/2000*12)</f>
        <v>1564285.7142857143</v>
      </c>
      <c r="X3" s="17"/>
      <c r="Y3" s="32"/>
      <c r="Z3" s="32"/>
      <c r="AA3" s="32">
        <v>0.05</v>
      </c>
      <c r="AB3" s="32"/>
      <c r="AC3" s="32"/>
      <c r="AD3" s="32"/>
      <c r="AE3" s="32">
        <v>0.05</v>
      </c>
      <c r="AF3" s="32">
        <v>7.0000000000000007E-2</v>
      </c>
      <c r="AG3" s="32">
        <v>0.1</v>
      </c>
      <c r="AH3" s="37">
        <v>0.73</v>
      </c>
      <c r="AI3" s="33">
        <f>1-SUM(Y3:AH3)</f>
        <v>0</v>
      </c>
    </row>
    <row r="4" spans="1:35" s="3" customFormat="1" ht="21" customHeight="1" x14ac:dyDescent="0.25">
      <c r="A4" s="42" t="s">
        <v>0</v>
      </c>
      <c r="B4" s="2" t="s">
        <v>18</v>
      </c>
      <c r="C4" s="2">
        <v>19</v>
      </c>
      <c r="D4" s="2">
        <v>5</v>
      </c>
      <c r="E4" s="7">
        <v>4</v>
      </c>
      <c r="F4" s="29">
        <f t="shared" ref="F4:F11" si="0">SUM(C4:E4)</f>
        <v>28</v>
      </c>
      <c r="G4" s="24"/>
      <c r="H4" s="7"/>
      <c r="I4" s="10">
        <v>10</v>
      </c>
      <c r="J4" s="2">
        <v>13</v>
      </c>
      <c r="K4" s="11">
        <v>5</v>
      </c>
      <c r="L4" s="29">
        <f t="shared" ref="L4:L11" si="1">SUM(I4:K4)</f>
        <v>28</v>
      </c>
      <c r="M4" s="24">
        <f>Провиант!B4</f>
        <v>15</v>
      </c>
      <c r="N4" s="11">
        <f>Провиант!C4</f>
        <v>0</v>
      </c>
      <c r="O4" s="24">
        <f>172+30+27</f>
        <v>229</v>
      </c>
      <c r="P4" s="2">
        <f>12+16</f>
        <v>28</v>
      </c>
      <c r="Q4" s="2">
        <f>16</f>
        <v>16</v>
      </c>
      <c r="R4" s="2">
        <f>92</f>
        <v>92</v>
      </c>
      <c r="S4" s="2"/>
      <c r="T4" s="11">
        <f>5</f>
        <v>5</v>
      </c>
      <c r="U4" s="51">
        <v>75685389</v>
      </c>
      <c r="V4" s="61">
        <f t="shared" ref="V4:V11" si="2">U4*547/1000</f>
        <v>41399907.783</v>
      </c>
      <c r="W4" s="61">
        <f t="shared" ref="W4:W11" si="3">(M4*200000)+(M4*5000000/350*1500*2.5/2000*12)</f>
        <v>7821428.5714285718</v>
      </c>
      <c r="X4" s="10"/>
      <c r="Y4" s="34">
        <v>0.4</v>
      </c>
      <c r="Z4" s="34">
        <v>0.25</v>
      </c>
      <c r="AA4" s="34">
        <v>0.25</v>
      </c>
      <c r="AB4" s="34">
        <v>0.1</v>
      </c>
      <c r="AC4" s="34"/>
      <c r="AD4" s="34"/>
      <c r="AE4" s="34"/>
      <c r="AF4" s="34"/>
      <c r="AG4" s="34"/>
      <c r="AH4" s="38"/>
      <c r="AI4" s="33">
        <f t="shared" ref="AI4:AI11" si="4">1-SUM(Y4:AH4)</f>
        <v>0</v>
      </c>
    </row>
    <row r="5" spans="1:35" s="5" customFormat="1" ht="21" customHeight="1" x14ac:dyDescent="0.25">
      <c r="A5" s="43" t="s">
        <v>4</v>
      </c>
      <c r="B5" s="4" t="s">
        <v>19</v>
      </c>
      <c r="C5" s="4">
        <v>6</v>
      </c>
      <c r="D5" s="4">
        <v>2</v>
      </c>
      <c r="E5" s="6">
        <v>2</v>
      </c>
      <c r="F5" s="28">
        <f t="shared" si="0"/>
        <v>10</v>
      </c>
      <c r="G5" s="25"/>
      <c r="H5" s="6"/>
      <c r="I5" s="8">
        <v>15</v>
      </c>
      <c r="J5" s="4">
        <v>7</v>
      </c>
      <c r="K5" s="9">
        <v>12</v>
      </c>
      <c r="L5" s="28">
        <f t="shared" si="1"/>
        <v>34</v>
      </c>
      <c r="M5" s="25">
        <f>Провиант!B5</f>
        <v>10</v>
      </c>
      <c r="N5" s="9">
        <f>Провиант!C5</f>
        <v>2</v>
      </c>
      <c r="O5" s="25">
        <f>20+203+108-5</f>
        <v>326</v>
      </c>
      <c r="P5" s="4">
        <f>40</f>
        <v>40</v>
      </c>
      <c r="Q5" s="4">
        <f>189</f>
        <v>189</v>
      </c>
      <c r="R5" s="4">
        <f>15+28+39</f>
        <v>82</v>
      </c>
      <c r="S5" s="4">
        <f>342+150</f>
        <v>492</v>
      </c>
      <c r="T5" s="9">
        <f>12+320</f>
        <v>332</v>
      </c>
      <c r="U5" s="48">
        <v>65982200</v>
      </c>
      <c r="V5" s="58">
        <f t="shared" si="2"/>
        <v>36092263.399999999</v>
      </c>
      <c r="W5" s="58">
        <f t="shared" si="3"/>
        <v>5214285.7142857146</v>
      </c>
      <c r="X5" s="8"/>
      <c r="Y5" s="35"/>
      <c r="Z5" s="35"/>
      <c r="AA5" s="35"/>
      <c r="AB5" s="35"/>
      <c r="AC5" s="35">
        <v>0.1</v>
      </c>
      <c r="AD5" s="35">
        <v>0.19</v>
      </c>
      <c r="AE5" s="35">
        <v>0.12</v>
      </c>
      <c r="AF5" s="35">
        <v>0.08</v>
      </c>
      <c r="AG5" s="35">
        <v>0.47</v>
      </c>
      <c r="AH5" s="39">
        <v>0.04</v>
      </c>
      <c r="AI5" s="33">
        <f t="shared" si="4"/>
        <v>0</v>
      </c>
    </row>
    <row r="6" spans="1:35" s="3" customFormat="1" ht="21" customHeight="1" x14ac:dyDescent="0.25">
      <c r="A6" s="42" t="s">
        <v>1</v>
      </c>
      <c r="B6" s="2" t="s">
        <v>20</v>
      </c>
      <c r="C6" s="2">
        <v>22</v>
      </c>
      <c r="D6" s="2">
        <v>4</v>
      </c>
      <c r="E6" s="7"/>
      <c r="F6" s="29">
        <f t="shared" si="0"/>
        <v>26</v>
      </c>
      <c r="G6" s="24"/>
      <c r="H6" s="7"/>
      <c r="I6" s="10">
        <v>12</v>
      </c>
      <c r="J6" s="2">
        <v>9</v>
      </c>
      <c r="K6" s="11">
        <v>3</v>
      </c>
      <c r="L6" s="29">
        <f t="shared" si="1"/>
        <v>24</v>
      </c>
      <c r="M6" s="24">
        <f>Провиант!B6</f>
        <v>22</v>
      </c>
      <c r="N6" s="11">
        <f>Провиант!C6</f>
        <v>0</v>
      </c>
      <c r="O6" s="24">
        <f>70+19+10</f>
        <v>99</v>
      </c>
      <c r="P6" s="2">
        <f>10+25</f>
        <v>35</v>
      </c>
      <c r="Q6" s="2">
        <f>24</f>
        <v>24</v>
      </c>
      <c r="R6" s="2">
        <f>50</f>
        <v>50</v>
      </c>
      <c r="S6" s="2"/>
      <c r="T6" s="11">
        <f>80</f>
        <v>80</v>
      </c>
      <c r="U6" s="51">
        <f>119352255+3161910</f>
        <v>122514165</v>
      </c>
      <c r="V6" s="61">
        <f t="shared" si="2"/>
        <v>67015248.255000003</v>
      </c>
      <c r="W6" s="61">
        <f t="shared" si="3"/>
        <v>11471428.571428571</v>
      </c>
      <c r="X6" s="10"/>
      <c r="Y6" s="34"/>
      <c r="Z6" s="34"/>
      <c r="AA6" s="34">
        <v>0.13</v>
      </c>
      <c r="AB6" s="34"/>
      <c r="AC6" s="34"/>
      <c r="AD6" s="34"/>
      <c r="AE6" s="34"/>
      <c r="AF6" s="34">
        <v>0.2</v>
      </c>
      <c r="AG6" s="34">
        <v>0.52</v>
      </c>
      <c r="AH6" s="38">
        <v>0.15</v>
      </c>
      <c r="AI6" s="33">
        <f t="shared" si="4"/>
        <v>0</v>
      </c>
    </row>
    <row r="7" spans="1:35" s="5" customFormat="1" ht="30" x14ac:dyDescent="0.25">
      <c r="A7" s="43" t="s">
        <v>7</v>
      </c>
      <c r="B7" s="4" t="s">
        <v>21</v>
      </c>
      <c r="C7" s="4">
        <v>19</v>
      </c>
      <c r="D7" s="4">
        <v>4</v>
      </c>
      <c r="E7" s="6">
        <v>5</v>
      </c>
      <c r="F7" s="28">
        <f t="shared" si="0"/>
        <v>28</v>
      </c>
      <c r="G7" s="25"/>
      <c r="H7" s="6"/>
      <c r="I7" s="8">
        <v>23</v>
      </c>
      <c r="J7" s="4">
        <v>12</v>
      </c>
      <c r="K7" s="9">
        <v>9</v>
      </c>
      <c r="L7" s="28">
        <f t="shared" si="1"/>
        <v>44</v>
      </c>
      <c r="M7" s="25">
        <f>Провиант!B7</f>
        <v>18</v>
      </c>
      <c r="N7" s="9">
        <f>Провиант!C7</f>
        <v>5</v>
      </c>
      <c r="O7" s="25">
        <f>21+50+209</f>
        <v>280</v>
      </c>
      <c r="P7" s="4"/>
      <c r="Q7" s="4">
        <f>128</f>
        <v>128</v>
      </c>
      <c r="R7" s="4">
        <f>204+19</f>
        <v>223</v>
      </c>
      <c r="S7" s="4"/>
      <c r="T7" s="9">
        <f>7+5+12</f>
        <v>24</v>
      </c>
      <c r="U7" s="48">
        <v>69419206</v>
      </c>
      <c r="V7" s="58">
        <f t="shared" si="2"/>
        <v>37972305.681999996</v>
      </c>
      <c r="W7" s="58">
        <f t="shared" si="3"/>
        <v>9385714.2857142854</v>
      </c>
      <c r="X7" s="8"/>
      <c r="Y7" s="35"/>
      <c r="Z7" s="35"/>
      <c r="AA7" s="35"/>
      <c r="AB7" s="35"/>
      <c r="AC7" s="35">
        <v>0.1</v>
      </c>
      <c r="AD7" s="35">
        <v>0.15</v>
      </c>
      <c r="AE7" s="35">
        <v>0.75</v>
      </c>
      <c r="AF7" s="35"/>
      <c r="AG7" s="35"/>
      <c r="AH7" s="39"/>
      <c r="AI7" s="33">
        <f t="shared" si="4"/>
        <v>0</v>
      </c>
    </row>
    <row r="8" spans="1:35" s="3" customFormat="1" ht="21" customHeight="1" x14ac:dyDescent="0.25">
      <c r="A8" s="42" t="s">
        <v>2</v>
      </c>
      <c r="B8" s="2" t="s">
        <v>22</v>
      </c>
      <c r="C8" s="2">
        <v>24</v>
      </c>
      <c r="D8" s="2">
        <v>7</v>
      </c>
      <c r="E8" s="7">
        <v>13</v>
      </c>
      <c r="F8" s="29">
        <f t="shared" si="0"/>
        <v>44</v>
      </c>
      <c r="G8" s="24"/>
      <c r="H8" s="7"/>
      <c r="I8" s="10">
        <v>20</v>
      </c>
      <c r="J8" s="2">
        <v>14</v>
      </c>
      <c r="K8" s="11">
        <v>7</v>
      </c>
      <c r="L8" s="29">
        <f t="shared" si="1"/>
        <v>41</v>
      </c>
      <c r="M8" s="24">
        <f>Провиант!B8</f>
        <v>15</v>
      </c>
      <c r="N8" s="11">
        <f>Провиант!C8</f>
        <v>3</v>
      </c>
      <c r="O8" s="24">
        <f>50+125</f>
        <v>175</v>
      </c>
      <c r="P8" s="2">
        <f>12+35</f>
        <v>47</v>
      </c>
      <c r="Q8" s="2">
        <f>19+44+77</f>
        <v>140</v>
      </c>
      <c r="R8" s="2">
        <f>44</f>
        <v>44</v>
      </c>
      <c r="S8" s="2"/>
      <c r="T8" s="11">
        <v>5</v>
      </c>
      <c r="U8" s="51">
        <v>63388546</v>
      </c>
      <c r="V8" s="61">
        <f t="shared" si="2"/>
        <v>34673534.662</v>
      </c>
      <c r="W8" s="61">
        <f t="shared" si="3"/>
        <v>7821428.5714285718</v>
      </c>
      <c r="X8" s="10"/>
      <c r="Y8" s="34"/>
      <c r="Z8" s="34"/>
      <c r="AA8" s="34">
        <v>0.11</v>
      </c>
      <c r="AB8" s="34">
        <v>0.4</v>
      </c>
      <c r="AC8" s="34">
        <v>0.17</v>
      </c>
      <c r="AD8" s="34">
        <v>7.0000000000000007E-2</v>
      </c>
      <c r="AE8" s="34">
        <v>0.15</v>
      </c>
      <c r="AF8" s="34">
        <v>0.1</v>
      </c>
      <c r="AG8" s="34"/>
      <c r="AH8" s="38"/>
      <c r="AI8" s="33">
        <f t="shared" si="4"/>
        <v>0</v>
      </c>
    </row>
    <row r="9" spans="1:35" s="5" customFormat="1" ht="21" customHeight="1" x14ac:dyDescent="0.25">
      <c r="A9" s="43" t="s">
        <v>6</v>
      </c>
      <c r="B9" s="4" t="s">
        <v>23</v>
      </c>
      <c r="C9" s="4">
        <v>9</v>
      </c>
      <c r="D9" s="4">
        <v>3</v>
      </c>
      <c r="E9" s="6"/>
      <c r="F9" s="28">
        <f t="shared" si="0"/>
        <v>12</v>
      </c>
      <c r="G9" s="25"/>
      <c r="H9" s="6"/>
      <c r="I9" s="8">
        <v>6</v>
      </c>
      <c r="J9" s="4">
        <v>6</v>
      </c>
      <c r="K9" s="9">
        <v>0</v>
      </c>
      <c r="L9" s="28">
        <f t="shared" si="1"/>
        <v>12</v>
      </c>
      <c r="M9" s="25">
        <f>Провиант!B9</f>
        <v>4</v>
      </c>
      <c r="N9" s="9">
        <f>Провиант!C9</f>
        <v>0</v>
      </c>
      <c r="O9" s="25">
        <f>30</f>
        <v>30</v>
      </c>
      <c r="P9" s="4"/>
      <c r="Q9" s="4">
        <f>77</f>
        <v>77</v>
      </c>
      <c r="R9" s="4">
        <f>10+3</f>
        <v>13</v>
      </c>
      <c r="S9" s="4"/>
      <c r="T9" s="9">
        <v>8</v>
      </c>
      <c r="U9" s="48">
        <v>22382937</v>
      </c>
      <c r="V9" s="58">
        <f t="shared" si="2"/>
        <v>12243466.539000001</v>
      </c>
      <c r="W9" s="58">
        <f t="shared" si="3"/>
        <v>2085714.2857142857</v>
      </c>
      <c r="X9" s="8"/>
      <c r="Y9" s="35"/>
      <c r="Z9" s="35"/>
      <c r="AA9" s="35"/>
      <c r="AB9" s="35">
        <v>0.08</v>
      </c>
      <c r="AC9" s="35">
        <v>0.13</v>
      </c>
      <c r="AD9" s="35">
        <v>0.05</v>
      </c>
      <c r="AE9" s="35">
        <v>0.22</v>
      </c>
      <c r="AF9" s="35">
        <v>0.42</v>
      </c>
      <c r="AG9" s="35">
        <v>0.1</v>
      </c>
      <c r="AH9" s="39"/>
      <c r="AI9" s="33">
        <f t="shared" si="4"/>
        <v>0</v>
      </c>
    </row>
    <row r="10" spans="1:35" s="3" customFormat="1" ht="21" customHeight="1" x14ac:dyDescent="0.25">
      <c r="A10" s="42" t="s">
        <v>8</v>
      </c>
      <c r="B10" s="2" t="s">
        <v>24</v>
      </c>
      <c r="C10" s="2"/>
      <c r="D10" s="2"/>
      <c r="E10" s="7"/>
      <c r="F10" s="29">
        <f t="shared" si="0"/>
        <v>0</v>
      </c>
      <c r="G10" s="24"/>
      <c r="H10" s="7"/>
      <c r="I10" s="10">
        <v>3</v>
      </c>
      <c r="J10" s="2">
        <v>2</v>
      </c>
      <c r="K10" s="11">
        <v>1</v>
      </c>
      <c r="L10" s="29">
        <f t="shared" si="1"/>
        <v>6</v>
      </c>
      <c r="M10" s="24">
        <f>Провиант!B10</f>
        <v>0</v>
      </c>
      <c r="N10" s="11">
        <f>Провиант!C10</f>
        <v>0</v>
      </c>
      <c r="O10" s="24"/>
      <c r="P10" s="2"/>
      <c r="Q10" s="2"/>
      <c r="R10" s="2"/>
      <c r="S10" s="2"/>
      <c r="T10" s="11"/>
      <c r="U10" s="51"/>
      <c r="V10" s="61">
        <f t="shared" si="2"/>
        <v>0</v>
      </c>
      <c r="W10" s="61">
        <f t="shared" si="3"/>
        <v>0</v>
      </c>
      <c r="X10" s="10"/>
      <c r="Y10" s="34"/>
      <c r="Z10" s="34"/>
      <c r="AA10" s="34"/>
      <c r="AB10" s="34"/>
      <c r="AC10" s="34"/>
      <c r="AD10" s="34"/>
      <c r="AE10" s="34"/>
      <c r="AF10" s="34"/>
      <c r="AG10" s="34"/>
      <c r="AH10" s="38"/>
      <c r="AI10" s="33">
        <f t="shared" si="4"/>
        <v>1</v>
      </c>
    </row>
    <row r="11" spans="1:35" s="5" customFormat="1" ht="21" customHeight="1" thickBot="1" x14ac:dyDescent="0.3">
      <c r="A11" s="44" t="s">
        <v>3</v>
      </c>
      <c r="B11" s="13" t="s">
        <v>25</v>
      </c>
      <c r="C11" s="13">
        <v>9</v>
      </c>
      <c r="D11" s="13"/>
      <c r="E11" s="22"/>
      <c r="F11" s="30">
        <f t="shared" si="0"/>
        <v>9</v>
      </c>
      <c r="G11" s="26"/>
      <c r="H11" s="22"/>
      <c r="I11" s="12">
        <v>2</v>
      </c>
      <c r="J11" s="13">
        <v>3</v>
      </c>
      <c r="K11" s="14">
        <v>0</v>
      </c>
      <c r="L11" s="30">
        <f t="shared" si="1"/>
        <v>5</v>
      </c>
      <c r="M11" s="26">
        <f>Провиант!B11</f>
        <v>15</v>
      </c>
      <c r="N11" s="14">
        <f>Провиант!C11</f>
        <v>5</v>
      </c>
      <c r="O11" s="26">
        <f>105</f>
        <v>105</v>
      </c>
      <c r="P11" s="13"/>
      <c r="Q11" s="13"/>
      <c r="R11" s="13">
        <f>18</f>
        <v>18</v>
      </c>
      <c r="S11" s="13"/>
      <c r="T11" s="14"/>
      <c r="U11" s="52">
        <v>17932651</v>
      </c>
      <c r="V11" s="52">
        <f t="shared" si="2"/>
        <v>9809160.0969999991</v>
      </c>
      <c r="W11" s="59">
        <f t="shared" si="3"/>
        <v>7821428.5714285718</v>
      </c>
      <c r="X11" s="12"/>
      <c r="Y11" s="36"/>
      <c r="Z11" s="36"/>
      <c r="AA11" s="36"/>
      <c r="AB11" s="36"/>
      <c r="AC11" s="36"/>
      <c r="AD11" s="36"/>
      <c r="AE11" s="36">
        <v>0.7</v>
      </c>
      <c r="AF11" s="36">
        <v>0.05</v>
      </c>
      <c r="AG11" s="36">
        <v>0.1</v>
      </c>
      <c r="AH11" s="40">
        <v>0.15</v>
      </c>
      <c r="AI11" s="33">
        <f t="shared" si="4"/>
        <v>0</v>
      </c>
    </row>
    <row r="12" spans="1:35" x14ac:dyDescent="0.25">
      <c r="U12" s="46"/>
      <c r="V12" s="46">
        <f>SUM(V3:V11)</f>
        <v>249514855.73099998</v>
      </c>
      <c r="W12" s="46"/>
    </row>
    <row r="13" spans="1:35" x14ac:dyDescent="0.25">
      <c r="U13" s="46"/>
    </row>
    <row r="21" spans="12:15" x14ac:dyDescent="0.25">
      <c r="L21">
        <f>5000000/350</f>
        <v>14285.714285714286</v>
      </c>
      <c r="M21" s="53">
        <f>L21*1500*2.5/2000</f>
        <v>26785.714285714286</v>
      </c>
      <c r="N21" s="53"/>
      <c r="O21" s="46">
        <f>M21*12</f>
        <v>321428.57142857142</v>
      </c>
    </row>
  </sheetData>
  <sortState xmlns:xlrd2="http://schemas.microsoft.com/office/spreadsheetml/2017/richdata2" ref="A3:K11">
    <sortCondition ref="A3:A11"/>
  </sortState>
  <mergeCells count="10">
    <mergeCell ref="A1:A2"/>
    <mergeCell ref="G1:G2"/>
    <mergeCell ref="H1:H2"/>
    <mergeCell ref="X1:AI1"/>
    <mergeCell ref="C1:F1"/>
    <mergeCell ref="O1:T1"/>
    <mergeCell ref="B1:B2"/>
    <mergeCell ref="U1:U2"/>
    <mergeCell ref="V1:W1"/>
    <mergeCell ref="I1:N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E65-EAF7-411E-AD3B-DE11540F6651}">
  <dimension ref="A1:Q63"/>
  <sheetViews>
    <sheetView zoomScale="85" zoomScaleNormal="85" workbookViewId="0">
      <selection activeCell="J5" sqref="J5"/>
    </sheetView>
  </sheetViews>
  <sheetFormatPr defaultRowHeight="15" x14ac:dyDescent="0.25"/>
  <cols>
    <col min="1" max="1" width="14" customWidth="1"/>
    <col min="2" max="2" width="9.7109375" customWidth="1"/>
    <col min="3" max="3" width="10.7109375" bestFit="1" customWidth="1"/>
    <col min="4" max="4" width="14.7109375" bestFit="1" customWidth="1"/>
    <col min="5" max="6" width="14.7109375" customWidth="1"/>
    <col min="7" max="8" width="14.5703125" bestFit="1" customWidth="1"/>
    <col min="9" max="9" width="11.5703125" bestFit="1" customWidth="1"/>
    <col min="10" max="10" width="17.5703125" customWidth="1"/>
    <col min="11" max="11" width="13.7109375" customWidth="1"/>
    <col min="12" max="12" width="8.5703125" bestFit="1" customWidth="1"/>
    <col min="13" max="13" width="13" customWidth="1"/>
    <col min="14" max="14" width="12.7109375" bestFit="1" customWidth="1"/>
    <col min="15" max="15" width="10.5703125" bestFit="1" customWidth="1"/>
    <col min="16" max="16" width="17.140625" bestFit="1" customWidth="1"/>
    <col min="17" max="17" width="10.5703125" bestFit="1" customWidth="1"/>
  </cols>
  <sheetData>
    <row r="1" spans="1:17" ht="15.75" thickBot="1" x14ac:dyDescent="0.3">
      <c r="A1" s="117" t="s">
        <v>9</v>
      </c>
      <c r="B1" s="115" t="s">
        <v>48</v>
      </c>
      <c r="C1" s="115" t="s">
        <v>58</v>
      </c>
      <c r="D1" s="110" t="s">
        <v>43</v>
      </c>
      <c r="E1" s="112" t="s">
        <v>45</v>
      </c>
      <c r="F1" s="114"/>
      <c r="G1" s="114"/>
      <c r="H1" s="113"/>
    </row>
    <row r="2" spans="1:17" ht="39" thickBot="1" x14ac:dyDescent="0.3">
      <c r="A2" s="118"/>
      <c r="B2" s="116"/>
      <c r="C2" s="116"/>
      <c r="D2" s="111"/>
      <c r="E2" s="70" t="s">
        <v>62</v>
      </c>
      <c r="F2" s="71" t="s">
        <v>50</v>
      </c>
      <c r="G2" s="71" t="s">
        <v>46</v>
      </c>
      <c r="H2" s="71" t="s">
        <v>49</v>
      </c>
      <c r="K2" s="94" t="s">
        <v>57</v>
      </c>
      <c r="L2" s="94" t="s">
        <v>58</v>
      </c>
      <c r="M2" s="94" t="s">
        <v>62</v>
      </c>
      <c r="N2" s="94" t="s">
        <v>50</v>
      </c>
      <c r="O2" s="94" t="s">
        <v>46</v>
      </c>
      <c r="P2" s="94" t="s">
        <v>49</v>
      </c>
      <c r="Q2" s="94" t="s">
        <v>61</v>
      </c>
    </row>
    <row r="3" spans="1:17" ht="15.75" customHeight="1" x14ac:dyDescent="0.25">
      <c r="A3" s="75" t="s">
        <v>5</v>
      </c>
      <c r="B3" s="76">
        <v>3</v>
      </c>
      <c r="C3" s="76"/>
      <c r="D3" s="86">
        <v>18846379</v>
      </c>
      <c r="E3" s="60">
        <f>(G3+H3)*2</f>
        <v>1360714.2857142857</v>
      </c>
      <c r="F3" s="90">
        <f t="shared" ref="F3:F11" si="0">D3*127/12000</f>
        <v>199457.51108333335</v>
      </c>
      <c r="G3" s="60">
        <f t="shared" ref="G3:G11" si="1">(B3*200000)</f>
        <v>600000</v>
      </c>
      <c r="H3" s="60">
        <f t="shared" ref="H3:H11" si="2">B3*5000000/350*1500*2.5/2000</f>
        <v>80357.142857142855</v>
      </c>
      <c r="I3" s="63">
        <f>G3+H3*12</f>
        <v>1564285.7142857143</v>
      </c>
      <c r="K3" s="95" t="s">
        <v>5</v>
      </c>
      <c r="L3" s="96">
        <f>SUMIF($A$3:$A$11,$K$3,C$3:C$11)</f>
        <v>0</v>
      </c>
      <c r="M3" s="96">
        <f>SUMIF($A$3:$A$11,$K$3,E$3:E$11)</f>
        <v>1360714.2857142857</v>
      </c>
      <c r="N3" s="96">
        <f>SUMIF($A$3:$A$11,$K$3,F$3:F$11)</f>
        <v>199457.51108333335</v>
      </c>
      <c r="O3" s="96">
        <f>SUMIF($A$3:$A$11,$K$3,G$3:G$11)</f>
        <v>600000</v>
      </c>
      <c r="P3" s="96">
        <f>SUMIF($A$3:$A$11,$K$3,H$3:H$11)</f>
        <v>80357.142857142855</v>
      </c>
      <c r="Q3" s="97">
        <v>0.7</v>
      </c>
    </row>
    <row r="4" spans="1:17" x14ac:dyDescent="0.25">
      <c r="A4" s="72" t="s">
        <v>0</v>
      </c>
      <c r="B4" s="77">
        <v>15</v>
      </c>
      <c r="C4" s="77"/>
      <c r="D4" s="87">
        <v>75685389</v>
      </c>
      <c r="E4" s="51">
        <f>(G4+H4)*2</f>
        <v>6803571.4285714291</v>
      </c>
      <c r="F4" s="91">
        <f t="shared" si="0"/>
        <v>801003.70024999999</v>
      </c>
      <c r="G4" s="61">
        <f t="shared" si="1"/>
        <v>3000000</v>
      </c>
      <c r="H4" s="61">
        <f t="shared" si="2"/>
        <v>401785.71428571432</v>
      </c>
      <c r="I4" s="63">
        <f t="shared" ref="I4:I11" si="3">G4+H4*12</f>
        <v>7821428.5714285718</v>
      </c>
    </row>
    <row r="5" spans="1:17" x14ac:dyDescent="0.25">
      <c r="A5" s="73" t="s">
        <v>4</v>
      </c>
      <c r="B5" s="78">
        <v>10</v>
      </c>
      <c r="C5" s="78">
        <v>2</v>
      </c>
      <c r="D5" s="88">
        <v>65982200</v>
      </c>
      <c r="E5" s="48">
        <f>(G5+H5)*2</f>
        <v>4535714.2857142854</v>
      </c>
      <c r="F5" s="92">
        <f t="shared" si="0"/>
        <v>698311.6166666667</v>
      </c>
      <c r="G5" s="58">
        <f t="shared" si="1"/>
        <v>2000000</v>
      </c>
      <c r="H5" s="58">
        <f t="shared" si="2"/>
        <v>267857.14285714284</v>
      </c>
      <c r="I5" s="63">
        <f t="shared" si="3"/>
        <v>5214285.7142857146</v>
      </c>
    </row>
    <row r="6" spans="1:17" x14ac:dyDescent="0.25">
      <c r="A6" s="72" t="s">
        <v>1</v>
      </c>
      <c r="B6" s="77">
        <v>22</v>
      </c>
      <c r="C6" s="77"/>
      <c r="D6" s="87">
        <f>119352255+3161910</f>
        <v>122514165</v>
      </c>
      <c r="E6" s="51">
        <f t="shared" ref="E6:E11" si="4">(G6+H6)*2</f>
        <v>9978571.4285714291</v>
      </c>
      <c r="F6" s="91">
        <f t="shared" si="0"/>
        <v>1296608.2462500001</v>
      </c>
      <c r="G6" s="61">
        <f t="shared" si="1"/>
        <v>4400000</v>
      </c>
      <c r="H6" s="61">
        <f t="shared" si="2"/>
        <v>589285.71428571432</v>
      </c>
      <c r="I6" s="63">
        <f t="shared" si="3"/>
        <v>11471428.571428571</v>
      </c>
    </row>
    <row r="7" spans="1:17" ht="30" x14ac:dyDescent="0.25">
      <c r="A7" s="73" t="s">
        <v>7</v>
      </c>
      <c r="B7" s="78">
        <v>18</v>
      </c>
      <c r="C7" s="78">
        <v>5</v>
      </c>
      <c r="D7" s="88">
        <v>69419206</v>
      </c>
      <c r="E7" s="48">
        <f t="shared" si="4"/>
        <v>8164285.7142857146</v>
      </c>
      <c r="F7" s="92">
        <f t="shared" si="0"/>
        <v>734686.59683333337</v>
      </c>
      <c r="G7" s="58">
        <f t="shared" si="1"/>
        <v>3600000</v>
      </c>
      <c r="H7" s="58">
        <f t="shared" si="2"/>
        <v>482142.8571428571</v>
      </c>
      <c r="I7" s="63">
        <f t="shared" si="3"/>
        <v>9385714.2857142854</v>
      </c>
    </row>
    <row r="8" spans="1:17" x14ac:dyDescent="0.25">
      <c r="A8" s="72" t="s">
        <v>2</v>
      </c>
      <c r="B8" s="77">
        <v>15</v>
      </c>
      <c r="C8" s="77">
        <v>3</v>
      </c>
      <c r="D8" s="87">
        <v>63388546</v>
      </c>
      <c r="E8" s="51">
        <f t="shared" si="4"/>
        <v>6803571.4285714291</v>
      </c>
      <c r="F8" s="91">
        <f t="shared" si="0"/>
        <v>670862.11183333339</v>
      </c>
      <c r="G8" s="61">
        <f t="shared" si="1"/>
        <v>3000000</v>
      </c>
      <c r="H8" s="61">
        <f t="shared" si="2"/>
        <v>401785.71428571432</v>
      </c>
      <c r="I8" s="63">
        <f t="shared" si="3"/>
        <v>7821428.5714285718</v>
      </c>
    </row>
    <row r="9" spans="1:17" x14ac:dyDescent="0.25">
      <c r="A9" s="73" t="s">
        <v>6</v>
      </c>
      <c r="B9" s="78">
        <v>4</v>
      </c>
      <c r="C9" s="78"/>
      <c r="D9" s="88">
        <v>22382937</v>
      </c>
      <c r="E9" s="48">
        <f t="shared" si="4"/>
        <v>1814285.7142857143</v>
      </c>
      <c r="F9" s="92">
        <f t="shared" si="0"/>
        <v>236886.08325</v>
      </c>
      <c r="G9" s="58">
        <f t="shared" si="1"/>
        <v>800000</v>
      </c>
      <c r="H9" s="58">
        <f t="shared" si="2"/>
        <v>107142.85714285714</v>
      </c>
      <c r="I9" s="63">
        <f t="shared" si="3"/>
        <v>2085714.2857142857</v>
      </c>
    </row>
    <row r="10" spans="1:17" x14ac:dyDescent="0.25">
      <c r="A10" s="72" t="s">
        <v>8</v>
      </c>
      <c r="B10" s="77"/>
      <c r="C10" s="77"/>
      <c r="D10" s="87"/>
      <c r="E10" s="51">
        <f t="shared" si="4"/>
        <v>0</v>
      </c>
      <c r="F10" s="91">
        <f t="shared" si="0"/>
        <v>0</v>
      </c>
      <c r="G10" s="61">
        <f t="shared" si="1"/>
        <v>0</v>
      </c>
      <c r="H10" s="61">
        <f t="shared" si="2"/>
        <v>0</v>
      </c>
      <c r="I10" s="63">
        <f t="shared" si="3"/>
        <v>0</v>
      </c>
    </row>
    <row r="11" spans="1:17" ht="15.75" thickBot="1" x14ac:dyDescent="0.3">
      <c r="A11" s="74" t="s">
        <v>3</v>
      </c>
      <c r="B11" s="79">
        <v>15</v>
      </c>
      <c r="C11" s="79">
        <v>5</v>
      </c>
      <c r="D11" s="89">
        <v>17932651</v>
      </c>
      <c r="E11" s="52">
        <f t="shared" si="4"/>
        <v>6803571.4285714291</v>
      </c>
      <c r="F11" s="93">
        <f t="shared" si="0"/>
        <v>189787.22308333335</v>
      </c>
      <c r="G11" s="59">
        <f t="shared" si="1"/>
        <v>3000000</v>
      </c>
      <c r="H11" s="59">
        <f t="shared" si="2"/>
        <v>401785.71428571432</v>
      </c>
      <c r="I11" s="63">
        <f t="shared" si="3"/>
        <v>7821428.5714285718</v>
      </c>
    </row>
    <row r="12" spans="1:17" x14ac:dyDescent="0.25">
      <c r="F12" s="46">
        <f>SUM(F3:F11)*12</f>
        <v>57931237.071000002</v>
      </c>
      <c r="I12" s="46">
        <f>SUM(I3:I11)</f>
        <v>53185714.285714291</v>
      </c>
    </row>
    <row r="15" spans="1:17" ht="45" x14ac:dyDescent="0.25">
      <c r="B15" s="65" t="s">
        <v>52</v>
      </c>
      <c r="C15" s="65"/>
      <c r="D15" s="65"/>
      <c r="E15" s="65"/>
      <c r="F15" s="64" t="s">
        <v>51</v>
      </c>
      <c r="G15" s="64" t="s">
        <v>53</v>
      </c>
      <c r="H15" s="64" t="s">
        <v>59</v>
      </c>
      <c r="I15" s="64" t="s">
        <v>56</v>
      </c>
      <c r="J15" s="64" t="s">
        <v>54</v>
      </c>
      <c r="K15" s="64" t="s">
        <v>55</v>
      </c>
    </row>
    <row r="16" spans="1:17" x14ac:dyDescent="0.25">
      <c r="A16" t="str">
        <f>IF(L16=0,"АВГУСТ","")</f>
        <v/>
      </c>
      <c r="B16" s="65">
        <v>1</v>
      </c>
      <c r="C16" s="65"/>
      <c r="D16" s="66"/>
      <c r="E16" s="66"/>
      <c r="F16" s="67">
        <f>P3+M3-N3</f>
        <v>1241613.9174880954</v>
      </c>
      <c r="G16" s="68">
        <f t="shared" ref="G16:G63" si="5">F16/$N$3</f>
        <v>6.2249544313693406</v>
      </c>
      <c r="H16" s="83">
        <f>F16/$N$3*IF(SUM($Q$3,0.01*$L$3)&gt;0.99,0.99,$Q$3+0.01*$L$3)</f>
        <v>4.3574681019585384</v>
      </c>
      <c r="I16" s="65" t="str">
        <f ca="1">_xlfn.IFS(AND(J16&gt;0,J16&lt;34),"НЕУРОЖАЙ",AND(K16&gt;0,K16&lt;11),"РЕКОРД",NOT(L16=0),"",AND(J16&gt;33,K16&gt;10),"ОБЫЧНЫЙ")</f>
        <v/>
      </c>
      <c r="J16" s="65" t="str">
        <f ca="1">IF(L16=0,RANDBETWEEN(1,100),"")</f>
        <v/>
      </c>
      <c r="K16" t="str">
        <f ca="1">IF(AND(L16=0,J16&gt;33),RANDBETWEEN(1,100),"")</f>
        <v/>
      </c>
      <c r="L16" s="69">
        <f>MOD(B16,8)</f>
        <v>1</v>
      </c>
    </row>
    <row r="17" spans="1:13" x14ac:dyDescent="0.25">
      <c r="A17" t="str">
        <f t="shared" ref="A17:A63" si="6">IF(L17=0,"АВГУСТ","")</f>
        <v/>
      </c>
      <c r="B17" s="65">
        <v>2</v>
      </c>
      <c r="C17" s="65"/>
      <c r="D17" s="66"/>
      <c r="E17" s="66"/>
      <c r="F17" s="67" cm="1">
        <f t="array" ref="F17">IF(F16&gt;0,F16*(IF(SUM($Q$3,0.01*$L$3)&gt;0.99,0.99,$Q$3+0.01*$L$3)),F16)+($P$3+IF(L17=0,$O$3*_xlfn.IFS(I17="НЕУРОЖАЙ",0.25,I17="ОБЫЧНЫЙ",1,I17="РЕКОРД",1.25,I17="",1),0))-$N$3</f>
        <v>750029.37401547609</v>
      </c>
      <c r="G17" s="68">
        <f t="shared" si="5"/>
        <v>3.7603466018490215</v>
      </c>
      <c r="H17" s="83">
        <f t="shared" ref="H17:H63" si="7">F17/$N$3*IF(SUM($Q$3,0.01*$L$3)&gt;0.99,0.99,$Q$3+0.01*$L$3)</f>
        <v>2.6322426212943149</v>
      </c>
      <c r="I17" s="65" t="str">
        <f t="shared" ref="I17:I62" ca="1" si="8">_xlfn.IFS(AND(J17&gt;0,J17&lt;34),"НЕУРОЖАЙ",AND(K17&gt;0,K17&lt;11),"РЕКОРД",NOT(L17=0),"",AND(J17&gt;33,K17&gt;10),"ОБЫЧНЫЙ")</f>
        <v/>
      </c>
      <c r="J17" s="65" t="str">
        <f t="shared" ref="J17:J31" ca="1" si="9">IF(L17=0,RANDBETWEEN(1,100),"")</f>
        <v/>
      </c>
      <c r="K17" t="str">
        <f t="shared" ref="K17:K31" ca="1" si="10">IF(AND(L17=0,J17&gt;33),RANDBETWEEN(1,100),"")</f>
        <v/>
      </c>
      <c r="L17" s="69">
        <f t="shared" ref="L17:L63" si="11">MOD(B17,8)</f>
        <v>2</v>
      </c>
    </row>
    <row r="18" spans="1:13" x14ac:dyDescent="0.25">
      <c r="A18" t="str">
        <f t="shared" si="6"/>
        <v/>
      </c>
      <c r="B18" s="65">
        <v>3</v>
      </c>
      <c r="C18" s="65"/>
      <c r="D18" s="66"/>
      <c r="E18" s="66"/>
      <c r="F18" s="67" cm="1">
        <f t="array" ref="F18">IF(F17&gt;0,F17*(IF(SUM($Q$3,0.01*$L$3)&gt;0.99,0.99,$Q$3+0.01*$L$3)),F17)+($P$3+IF(L18=0,$O$3*_xlfn.IFS(I18="НЕУРОЖАЙ",0.25,I18="ОБЫЧНЫЙ",1,I18="РЕКОРД",1.25,I18="",1),0))-$N$3</f>
        <v>405920.19358464278</v>
      </c>
      <c r="G18" s="68">
        <f t="shared" si="5"/>
        <v>2.0351211211847988</v>
      </c>
      <c r="H18" s="83">
        <f t="shared" si="7"/>
        <v>1.4245847848293591</v>
      </c>
      <c r="I18" s="65" t="str">
        <f t="shared" ca="1" si="8"/>
        <v/>
      </c>
      <c r="J18" s="65" t="str">
        <f t="shared" ca="1" si="9"/>
        <v/>
      </c>
      <c r="K18" t="str">
        <f t="shared" ca="1" si="10"/>
        <v/>
      </c>
      <c r="L18" s="69">
        <f t="shared" si="11"/>
        <v>3</v>
      </c>
    </row>
    <row r="19" spans="1:13" x14ac:dyDescent="0.25">
      <c r="A19" t="str">
        <f t="shared" si="6"/>
        <v/>
      </c>
      <c r="B19" s="65">
        <v>4</v>
      </c>
      <c r="C19" s="65"/>
      <c r="D19" s="66"/>
      <c r="E19" s="66"/>
      <c r="F19" s="67" cm="1">
        <f t="array" ref="F19">IF(F18&gt;0,F18*(IF(SUM($Q$3,0.01*$L$3)&gt;0.99,0.99,$Q$3+0.01*$L$3)),F18)+($P$3+IF(L19=0,$O$3*_xlfn.IFS(I19="НЕУРОЖАЙ",0.25,I19="ОБЫЧНЫЙ",1,I19="РЕКОРД",1.25,I19="",1),0))-$N$3</f>
        <v>165043.76728305942</v>
      </c>
      <c r="G19" s="68">
        <f t="shared" si="5"/>
        <v>0.82746328471984265</v>
      </c>
      <c r="H19" s="83">
        <f t="shared" si="7"/>
        <v>0.57922429930388986</v>
      </c>
      <c r="I19" s="65" t="str">
        <f t="shared" ca="1" si="8"/>
        <v/>
      </c>
      <c r="J19" s="65" t="str">
        <f t="shared" ca="1" si="9"/>
        <v/>
      </c>
      <c r="K19" t="str">
        <f t="shared" ca="1" si="10"/>
        <v/>
      </c>
      <c r="L19" s="69">
        <f t="shared" si="11"/>
        <v>4</v>
      </c>
    </row>
    <row r="20" spans="1:13" x14ac:dyDescent="0.25">
      <c r="A20" t="str">
        <f t="shared" si="6"/>
        <v/>
      </c>
      <c r="B20" s="65">
        <v>5</v>
      </c>
      <c r="C20" s="65"/>
      <c r="D20" s="66"/>
      <c r="E20" s="66"/>
      <c r="F20" s="67" cm="1">
        <f t="array" ref="F20">IF(F19&gt;0,F19*(IF(SUM($Q$3,0.01*$L$3)&gt;0.99,0.99,$Q$3+0.01*$L$3)),F19)+($P$3+IF(L20=0,$O$3*_xlfn.IFS(I20="НЕУРОЖАЙ",0.25,I20="ОБЫЧНЫЙ",1,I20="РЕКОРД",1.25,I20="",1),0))-$N$3</f>
        <v>-3569.7311280489084</v>
      </c>
      <c r="G20" s="68">
        <f t="shared" si="5"/>
        <v>-1.7897200805626592E-2</v>
      </c>
      <c r="H20" s="83">
        <f t="shared" si="7"/>
        <v>-1.2528040563938614E-2</v>
      </c>
      <c r="I20" s="65" t="str">
        <f t="shared" ca="1" si="8"/>
        <v/>
      </c>
      <c r="J20" s="65" t="str">
        <f t="shared" ca="1" si="9"/>
        <v/>
      </c>
      <c r="K20" t="str">
        <f t="shared" ca="1" si="10"/>
        <v/>
      </c>
      <c r="L20" s="69">
        <f t="shared" si="11"/>
        <v>5</v>
      </c>
    </row>
    <row r="21" spans="1:13" x14ac:dyDescent="0.25">
      <c r="A21" t="str">
        <f t="shared" si="6"/>
        <v/>
      </c>
      <c r="B21" s="65">
        <v>6</v>
      </c>
      <c r="C21" s="65"/>
      <c r="D21" s="66"/>
      <c r="E21" s="66"/>
      <c r="F21" s="67" cm="1">
        <f t="array" ref="F21">IF(F20&gt;0,F20*(IF(SUM($Q$3,0.01*$L$3)&gt;0.99,0.99,$Q$3+0.01*$L$3)),F20)+($P$3+IF(L21=0,$O$3*_xlfn.IFS(I21="НЕУРОЖАЙ",0.25,I21="ОБЫЧНЫЙ",1,I21="РЕКОРД",1.25,I21="",1),0))-$N$3</f>
        <v>-122670.0993542394</v>
      </c>
      <c r="G21" s="68">
        <f t="shared" si="5"/>
        <v>-0.61501870091514299</v>
      </c>
      <c r="H21" s="83">
        <f t="shared" si="7"/>
        <v>-0.43051309064060006</v>
      </c>
      <c r="I21" s="65" t="str">
        <f t="shared" ca="1" si="8"/>
        <v/>
      </c>
      <c r="J21" s="65" t="str">
        <f t="shared" ca="1" si="9"/>
        <v/>
      </c>
      <c r="K21" t="str">
        <f t="shared" ca="1" si="10"/>
        <v/>
      </c>
      <c r="L21" s="69">
        <f t="shared" si="11"/>
        <v>6</v>
      </c>
    </row>
    <row r="22" spans="1:13" x14ac:dyDescent="0.25">
      <c r="A22" t="str">
        <f t="shared" si="6"/>
        <v/>
      </c>
      <c r="B22" s="65">
        <v>7</v>
      </c>
      <c r="C22" s="65"/>
      <c r="D22" s="66"/>
      <c r="E22" s="66"/>
      <c r="F22" s="67" cm="1">
        <f t="array" ref="F22">IF(F21&gt;0,F21*(IF(SUM($Q$3,0.01*$L$3)&gt;0.99,0.99,$Q$3+0.01*$L$3)),F21)+($P$3+IF(L22=0,$O$3*_xlfn.IFS(I22="НЕУРОЖАЙ",0.25,I22="ОБЫЧНЫЙ",1,I22="РЕКОРД",1.25,I22="",1),0))-$N$3</f>
        <v>-241770.46758042989</v>
      </c>
      <c r="G22" s="68">
        <f t="shared" si="5"/>
        <v>-1.2121402010246594</v>
      </c>
      <c r="H22" s="83">
        <f t="shared" si="7"/>
        <v>-0.84849814071726148</v>
      </c>
      <c r="I22" s="65" t="str">
        <f t="shared" ca="1" si="8"/>
        <v/>
      </c>
      <c r="J22" s="65" t="str">
        <f t="shared" ca="1" si="9"/>
        <v/>
      </c>
      <c r="K22" t="str">
        <f t="shared" ca="1" si="10"/>
        <v/>
      </c>
      <c r="L22" s="69">
        <f t="shared" si="11"/>
        <v>7</v>
      </c>
    </row>
    <row r="23" spans="1:13" x14ac:dyDescent="0.25">
      <c r="A23" t="str">
        <f t="shared" si="6"/>
        <v>АВГУСТ</v>
      </c>
      <c r="B23" s="65">
        <v>8</v>
      </c>
      <c r="C23" s="65"/>
      <c r="D23" s="66"/>
      <c r="E23" s="66"/>
      <c r="F23" s="67" cm="1">
        <f t="array" aca="1" ref="F23" ca="1">IF(F22&gt;0,F22*(IF(SUM($Q$3,0.01*$L$3)&gt;0.99,0.99,$Q$3+0.01*$L$3)),F22)+($P$3+IF(L23=0,$O$3*_xlfn.IFS(I23="НЕУРОЖАЙ",0.25,I23="ОБЫЧНЫЙ",1,I23="РЕКОРД",1.25,I23="",1),0))-$N$3</f>
        <v>239129.16419337963</v>
      </c>
      <c r="G23" s="68">
        <f t="shared" ca="1" si="5"/>
        <v>1.1988977647147692</v>
      </c>
      <c r="H23" s="83">
        <f t="shared" ca="1" si="7"/>
        <v>0.83922843530033842</v>
      </c>
      <c r="I23" s="65" t="str">
        <f t="shared" ca="1" si="8"/>
        <v>ОБЫЧНЫЙ</v>
      </c>
      <c r="J23" s="65">
        <f t="shared" ca="1" si="9"/>
        <v>50</v>
      </c>
      <c r="K23">
        <f t="shared" ca="1" si="10"/>
        <v>62</v>
      </c>
      <c r="L23" s="69">
        <f t="shared" si="11"/>
        <v>0</v>
      </c>
      <c r="M23">
        <v>34</v>
      </c>
    </row>
    <row r="24" spans="1:13" x14ac:dyDescent="0.25">
      <c r="A24" t="str">
        <f t="shared" si="6"/>
        <v/>
      </c>
      <c r="B24" s="65">
        <v>9</v>
      </c>
      <c r="C24" s="65"/>
      <c r="D24" s="66"/>
      <c r="E24" s="66"/>
      <c r="F24" s="67" cm="1">
        <f t="array" aca="1" ref="F24" ca="1">IF(F23&gt;0,F23*(IF(SUM($Q$3,0.01*$L$3)&gt;0.99,0.99,$Q$3+0.01*$L$3)),F23)+($P$3+IF(L24=0,$O$3*_xlfn.IFS(I24="НЕУРОЖАЙ",0.25,I24="ОБЫЧНЫЙ",1,I24="РЕКОРД",1.25,I24="",1),0))-$N$3</f>
        <v>48290.046709175222</v>
      </c>
      <c r="G24" s="68">
        <f t="shared" ca="1" si="5"/>
        <v>0.24210693519082188</v>
      </c>
      <c r="H24" s="83">
        <f t="shared" ca="1" si="7"/>
        <v>0.16947485463357531</v>
      </c>
      <c r="I24" s="65" t="str">
        <f t="shared" ca="1" si="8"/>
        <v/>
      </c>
      <c r="J24" s="65" t="str">
        <f t="shared" ca="1" si="9"/>
        <v/>
      </c>
      <c r="K24" t="str">
        <f t="shared" ca="1" si="10"/>
        <v/>
      </c>
      <c r="L24" s="69">
        <f t="shared" si="11"/>
        <v>1</v>
      </c>
      <c r="M24" t="str">
        <f>IF(L24=0,IF(I16="НЕУРОЖАЙ",1,M16+33),"")</f>
        <v/>
      </c>
    </row>
    <row r="25" spans="1:13" x14ac:dyDescent="0.25">
      <c r="A25" t="str">
        <f t="shared" si="6"/>
        <v/>
      </c>
      <c r="B25" s="65">
        <v>10</v>
      </c>
      <c r="C25" s="65"/>
      <c r="D25" s="66"/>
      <c r="E25" s="66"/>
      <c r="F25" s="67" cm="1">
        <f t="array" aca="1" ref="F25" ca="1">IF(F24&gt;0,F24*(IF(SUM($Q$3,0.01*$L$3)&gt;0.99,0.99,$Q$3+0.01*$L$3)),F24)+($P$3+IF(L25=0,$O$3*_xlfn.IFS(I25="НЕУРОЖАЙ",0.25,I25="ОБЫЧНЫЙ",1,I25="РЕКОРД",1.25,I25="",1),0))-$N$3</f>
        <v>-85297.335529767835</v>
      </c>
      <c r="G25" s="68">
        <f t="shared" ca="1" si="5"/>
        <v>-0.42764664547594106</v>
      </c>
      <c r="H25" s="83">
        <f t="shared" ca="1" si="7"/>
        <v>-0.29935265183315873</v>
      </c>
      <c r="I25" s="65" t="str">
        <f t="shared" ca="1" si="8"/>
        <v/>
      </c>
      <c r="J25" s="65" t="str">
        <f t="shared" ca="1" si="9"/>
        <v/>
      </c>
      <c r="K25" t="str">
        <f t="shared" ca="1" si="10"/>
        <v/>
      </c>
      <c r="L25" s="69">
        <f t="shared" si="11"/>
        <v>2</v>
      </c>
      <c r="M25" t="str">
        <f t="shared" ref="M25:M62" si="12">IF(L25=0,IF(I17="НЕУРОЖАЙ",1,M17+33),"")</f>
        <v/>
      </c>
    </row>
    <row r="26" spans="1:13" x14ac:dyDescent="0.25">
      <c r="A26" t="str">
        <f t="shared" si="6"/>
        <v/>
      </c>
      <c r="B26" s="65">
        <v>11</v>
      </c>
      <c r="C26" s="65"/>
      <c r="D26" s="66"/>
      <c r="E26" s="66"/>
      <c r="F26" s="67" cm="1">
        <f t="array" aca="1" ref="F26" ca="1">IF(F25&gt;0,F25*(IF(SUM($Q$3,0.01*$L$3)&gt;0.99,0.99,$Q$3+0.01*$L$3)),F25)+($P$3+IF(L26=0,$O$3*_xlfn.IFS(I26="НЕУРОЖАЙ",0.25,I26="ОБЫЧНЫЙ",1,I26="РЕКОРД",1.25,I26="",1),0))-$N$3</f>
        <v>-204397.70375595833</v>
      </c>
      <c r="G26" s="68">
        <f t="shared" ca="1" si="5"/>
        <v>-1.0247681455854574</v>
      </c>
      <c r="H26" s="83">
        <f t="shared" ca="1" si="7"/>
        <v>-0.71733770190982016</v>
      </c>
      <c r="I26" s="65" t="str">
        <f t="shared" ca="1" si="8"/>
        <v/>
      </c>
      <c r="J26" s="65" t="str">
        <f t="shared" ca="1" si="9"/>
        <v/>
      </c>
      <c r="K26" t="str">
        <f t="shared" ca="1" si="10"/>
        <v/>
      </c>
      <c r="L26" s="69">
        <f t="shared" si="11"/>
        <v>3</v>
      </c>
      <c r="M26" t="str">
        <f t="shared" si="12"/>
        <v/>
      </c>
    </row>
    <row r="27" spans="1:13" x14ac:dyDescent="0.25">
      <c r="A27" t="str">
        <f t="shared" si="6"/>
        <v/>
      </c>
      <c r="B27" s="65">
        <v>12</v>
      </c>
      <c r="C27" s="65"/>
      <c r="D27" s="66"/>
      <c r="E27" s="66"/>
      <c r="F27" s="67" cm="1">
        <f t="array" aca="1" ref="F27" ca="1">IF(F26&gt;0,F26*(IF(SUM($Q$3,0.01*$L$3)&gt;0.99,0.99,$Q$3+0.01*$L$3)),F26)+($P$3+IF(L27=0,$O$3*_xlfn.IFS(I27="НЕУРОЖАЙ",0.25,I27="ОБЫЧНЫЙ",1,I27="РЕКОРД",1.25,I27="",1),0))-$N$3</f>
        <v>-323498.0719821488</v>
      </c>
      <c r="G27" s="68">
        <f t="shared" ca="1" si="5"/>
        <v>-1.6218896456949736</v>
      </c>
      <c r="H27" s="83">
        <f t="shared" ca="1" si="7"/>
        <v>-1.1353227519864815</v>
      </c>
      <c r="I27" s="65" t="str">
        <f t="shared" ca="1" si="8"/>
        <v/>
      </c>
      <c r="J27" s="65" t="str">
        <f t="shared" ca="1" si="9"/>
        <v/>
      </c>
      <c r="K27" t="str">
        <f t="shared" ca="1" si="10"/>
        <v/>
      </c>
      <c r="L27" s="69">
        <f t="shared" si="11"/>
        <v>4</v>
      </c>
      <c r="M27" t="str">
        <f t="shared" si="12"/>
        <v/>
      </c>
    </row>
    <row r="28" spans="1:13" x14ac:dyDescent="0.25">
      <c r="A28" t="str">
        <f t="shared" si="6"/>
        <v/>
      </c>
      <c r="B28" s="65">
        <v>13</v>
      </c>
      <c r="C28" s="65"/>
      <c r="D28" s="66"/>
      <c r="E28" s="66"/>
      <c r="F28" s="67" cm="1">
        <f t="array" aca="1" ref="F28" ca="1">IF(F27&gt;0,F27*(IF(SUM($Q$3,0.01*$L$3)&gt;0.99,0.99,$Q$3+0.01*$L$3)),F27)+($P$3+IF(L28=0,$O$3*_xlfn.IFS(I28="НЕУРОЖАЙ",0.25,I28="ОБЫЧНЫЙ",1,I28="РЕКОРД",1.25,I28="",1),0))-$N$3</f>
        <v>-442598.44020833931</v>
      </c>
      <c r="G28" s="68">
        <f t="shared" ca="1" si="5"/>
        <v>-2.2190111458044899</v>
      </c>
      <c r="H28" s="83">
        <f t="shared" ca="1" si="7"/>
        <v>-1.5533078020631428</v>
      </c>
      <c r="I28" s="65" t="str">
        <f t="shared" ca="1" si="8"/>
        <v/>
      </c>
      <c r="J28" s="65" t="str">
        <f t="shared" ca="1" si="9"/>
        <v/>
      </c>
      <c r="K28" t="str">
        <f t="shared" ca="1" si="10"/>
        <v/>
      </c>
      <c r="L28" s="69">
        <f t="shared" si="11"/>
        <v>5</v>
      </c>
      <c r="M28" t="str">
        <f t="shared" si="12"/>
        <v/>
      </c>
    </row>
    <row r="29" spans="1:13" x14ac:dyDescent="0.25">
      <c r="A29" t="str">
        <f t="shared" si="6"/>
        <v/>
      </c>
      <c r="B29" s="65">
        <v>14</v>
      </c>
      <c r="C29" s="65"/>
      <c r="D29" s="66"/>
      <c r="E29" s="66"/>
      <c r="F29" s="67" cm="1">
        <f t="array" aca="1" ref="F29" ca="1">IF(F28&gt;0,F28*(IF(SUM($Q$3,0.01*$L$3)&gt;0.99,0.99,$Q$3+0.01*$L$3)),F28)+($P$3+IF(L29=0,$O$3*_xlfn.IFS(I29="НЕУРОЖАЙ",0.25,I29="ОБЫЧНЫЙ",1,I29="РЕКОРД",1.25,I29="",1),0))-$N$3</f>
        <v>-561698.80843452981</v>
      </c>
      <c r="G29" s="68">
        <f t="shared" ca="1" si="5"/>
        <v>-2.8161326459140064</v>
      </c>
      <c r="H29" s="83">
        <f t="shared" ca="1" si="7"/>
        <v>-1.9712928521398043</v>
      </c>
      <c r="I29" s="65" t="str">
        <f t="shared" ca="1" si="8"/>
        <v/>
      </c>
      <c r="J29" s="65" t="str">
        <f t="shared" ca="1" si="9"/>
        <v/>
      </c>
      <c r="K29" t="str">
        <f t="shared" ca="1" si="10"/>
        <v/>
      </c>
      <c r="L29" s="69">
        <f t="shared" si="11"/>
        <v>6</v>
      </c>
      <c r="M29" t="str">
        <f t="shared" si="12"/>
        <v/>
      </c>
    </row>
    <row r="30" spans="1:13" x14ac:dyDescent="0.25">
      <c r="A30" t="str">
        <f t="shared" si="6"/>
        <v/>
      </c>
      <c r="B30" s="65">
        <v>15</v>
      </c>
      <c r="C30" s="65"/>
      <c r="D30" s="66"/>
      <c r="E30" s="66"/>
      <c r="F30" s="67" cm="1">
        <f t="array" aca="1" ref="F30" ca="1">IF(F29&gt;0,F29*(IF(SUM($Q$3,0.01*$L$3)&gt;0.99,0.99,$Q$3+0.01*$L$3)),F29)+($P$3+IF(L30=0,$O$3*_xlfn.IFS(I30="НЕУРОЖАЙ",0.25,I30="ОБЫЧНЫЙ",1,I30="РЕКОРД",1.25,I30="",1),0))-$N$3</f>
        <v>-680799.17666072026</v>
      </c>
      <c r="G30" s="68">
        <f t="shared" ca="1" si="5"/>
        <v>-3.4132541460235228</v>
      </c>
      <c r="H30" s="83">
        <f t="shared" ca="1" si="7"/>
        <v>-2.3892779022164659</v>
      </c>
      <c r="I30" s="65" t="str">
        <f t="shared" ca="1" si="8"/>
        <v/>
      </c>
      <c r="J30" s="65" t="str">
        <f t="shared" ca="1" si="9"/>
        <v/>
      </c>
      <c r="K30" t="str">
        <f t="shared" ca="1" si="10"/>
        <v/>
      </c>
      <c r="L30" s="69">
        <f t="shared" si="11"/>
        <v>7</v>
      </c>
      <c r="M30" t="str">
        <f t="shared" si="12"/>
        <v/>
      </c>
    </row>
    <row r="31" spans="1:13" x14ac:dyDescent="0.25">
      <c r="A31" t="str">
        <f t="shared" si="6"/>
        <v>АВГУСТ</v>
      </c>
      <c r="B31" s="65">
        <v>16</v>
      </c>
      <c r="C31" s="65"/>
      <c r="D31" s="66"/>
      <c r="E31" s="66"/>
      <c r="F31" s="67" cm="1">
        <f t="array" aca="1" ref="F31" ca="1">IF(F30&gt;0,F30*(IF(SUM($Q$3,0.01*$L$3)&gt;0.99,0.99,$Q$3+0.01*$L$3)),F30)+($P$3+IF(L31=0,$O$3*_xlfn.IFS(I31="НЕУРОЖАЙ",0.25,I31="ОБЫЧНЫЙ",1,I31="РЕКОРД",1.25,I31="",1),0))-$N$3</f>
        <v>-199899.54488691076</v>
      </c>
      <c r="G31" s="68">
        <f t="shared" ca="1" si="5"/>
        <v>-1.0022161802840943</v>
      </c>
      <c r="H31" s="83">
        <f t="shared" ca="1" si="7"/>
        <v>-0.70155132619886595</v>
      </c>
      <c r="I31" s="65" t="str">
        <f t="shared" ca="1" si="8"/>
        <v>ОБЫЧНЫЙ</v>
      </c>
      <c r="J31" s="65">
        <f t="shared" ca="1" si="9"/>
        <v>76</v>
      </c>
      <c r="K31">
        <f t="shared" ca="1" si="10"/>
        <v>80</v>
      </c>
      <c r="L31" s="69">
        <f t="shared" si="11"/>
        <v>0</v>
      </c>
      <c r="M31">
        <f t="shared" ca="1" si="12"/>
        <v>67</v>
      </c>
    </row>
    <row r="32" spans="1:13" x14ac:dyDescent="0.25">
      <c r="A32" t="str">
        <f t="shared" si="6"/>
        <v/>
      </c>
      <c r="B32" s="65">
        <v>17</v>
      </c>
      <c r="C32" s="65"/>
      <c r="D32" s="66"/>
      <c r="E32" s="66"/>
      <c r="F32" s="67" cm="1">
        <f t="array" aca="1" ref="F32" ca="1">IF(F31&gt;0,F31*(IF(SUM($Q$3,0.01*$L$3)&gt;0.99,0.99,$Q$3+0.01*$L$3)),F31)+($P$3+IF(L32=0,$O$3*_xlfn.IFS(I32="НЕУРОЖАЙ",0.25,I32="ОБЫЧНЫЙ",1,I32="РЕКОРД",1.25,I32="",1),0))-$N$3</f>
        <v>-318999.91311310127</v>
      </c>
      <c r="G32" s="68">
        <f t="shared" ca="1" si="5"/>
        <v>-1.5993376803936108</v>
      </c>
      <c r="H32" s="83">
        <f t="shared" ca="1" si="7"/>
        <v>-1.1195363762755275</v>
      </c>
      <c r="I32" s="65" t="str">
        <f t="shared" ca="1" si="8"/>
        <v/>
      </c>
      <c r="J32" s="65" t="str">
        <f t="shared" ref="J32:J63" ca="1" si="13">IF(L32=0,RANDBETWEEN(1,100),"")</f>
        <v/>
      </c>
      <c r="K32" t="str">
        <f t="shared" ref="K32:K63" ca="1" si="14">IF(AND(L32=0,J32&gt;33),RANDBETWEEN(1,100),"")</f>
        <v/>
      </c>
      <c r="L32" s="69">
        <f t="shared" si="11"/>
        <v>1</v>
      </c>
      <c r="M32" t="str">
        <f t="shared" si="12"/>
        <v/>
      </c>
    </row>
    <row r="33" spans="1:13" x14ac:dyDescent="0.25">
      <c r="A33" t="str">
        <f t="shared" si="6"/>
        <v/>
      </c>
      <c r="B33" s="65">
        <v>18</v>
      </c>
      <c r="C33" s="65"/>
      <c r="D33" s="66"/>
      <c r="E33" s="66"/>
      <c r="F33" s="67" cm="1">
        <f t="array" aca="1" ref="F33" ca="1">IF(F32&gt;0,F32*(IF(SUM($Q$3,0.01*$L$3)&gt;0.99,0.99,$Q$3+0.01*$L$3)),F32)+($P$3+IF(L33=0,$O$3*_xlfn.IFS(I33="НЕУРОЖАЙ",0.25,I33="ОБЫЧНЫЙ",1,I33="РЕКОРД",1.25,I33="",1),0))-$N$3</f>
        <v>-438100.28133929177</v>
      </c>
      <c r="G33" s="68">
        <f t="shared" ca="1" si="5"/>
        <v>-2.1964591805031271</v>
      </c>
      <c r="H33" s="83">
        <f t="shared" ca="1" si="7"/>
        <v>-1.5375214263521888</v>
      </c>
      <c r="I33" s="65" t="str">
        <f t="shared" ca="1" si="8"/>
        <v/>
      </c>
      <c r="J33" s="65" t="str">
        <f t="shared" ca="1" si="13"/>
        <v/>
      </c>
      <c r="K33" t="str">
        <f t="shared" ca="1" si="14"/>
        <v/>
      </c>
      <c r="L33" s="69">
        <f t="shared" si="11"/>
        <v>2</v>
      </c>
      <c r="M33" t="str">
        <f t="shared" si="12"/>
        <v/>
      </c>
    </row>
    <row r="34" spans="1:13" x14ac:dyDescent="0.25">
      <c r="A34" t="str">
        <f t="shared" si="6"/>
        <v/>
      </c>
      <c r="B34" s="65">
        <v>19</v>
      </c>
      <c r="C34" s="65"/>
      <c r="D34" s="66"/>
      <c r="E34" s="66"/>
      <c r="F34" s="67" cm="1">
        <f t="array" aca="1" ref="F34" ca="1">IF(F33&gt;0,F33*(IF(SUM($Q$3,0.01*$L$3)&gt;0.99,0.99,$Q$3+0.01*$L$3)),F33)+($P$3+IF(L34=0,$O$3*_xlfn.IFS(I34="НЕУРОЖАЙ",0.25,I34="ОБЫЧНЫЙ",1,I34="РЕКОРД",1.25,I34="",1),0))-$N$3</f>
        <v>-557200.64956548228</v>
      </c>
      <c r="G34" s="68">
        <f t="shared" ca="1" si="5"/>
        <v>-2.7935806806126435</v>
      </c>
      <c r="H34" s="83">
        <f t="shared" ca="1" si="7"/>
        <v>-1.9555064764288503</v>
      </c>
      <c r="I34" s="65" t="str">
        <f t="shared" ca="1" si="8"/>
        <v/>
      </c>
      <c r="J34" s="65" t="str">
        <f t="shared" ca="1" si="13"/>
        <v/>
      </c>
      <c r="K34" t="str">
        <f t="shared" ca="1" si="14"/>
        <v/>
      </c>
      <c r="L34" s="69">
        <f t="shared" si="11"/>
        <v>3</v>
      </c>
      <c r="M34" t="str">
        <f t="shared" si="12"/>
        <v/>
      </c>
    </row>
    <row r="35" spans="1:13" x14ac:dyDescent="0.25">
      <c r="A35" t="str">
        <f t="shared" si="6"/>
        <v/>
      </c>
      <c r="B35" s="65">
        <v>20</v>
      </c>
      <c r="C35" s="65"/>
      <c r="D35" s="66"/>
      <c r="E35" s="66"/>
      <c r="F35" s="67" cm="1">
        <f t="array" aca="1" ref="F35" ca="1">IF(F34&gt;0,F34*(IF(SUM($Q$3,0.01*$L$3)&gt;0.99,0.99,$Q$3+0.01*$L$3)),F34)+($P$3+IF(L35=0,$O$3*_xlfn.IFS(I35="НЕУРОЖАЙ",0.25,I35="ОБЫЧНЫЙ",1,I35="РЕКОРД",1.25,I35="",1),0))-$N$3</f>
        <v>-676301.01779167284</v>
      </c>
      <c r="G35" s="68">
        <f t="shared" ca="1" si="5"/>
        <v>-3.3907021807221605</v>
      </c>
      <c r="H35" s="83">
        <f t="shared" ca="1" si="7"/>
        <v>-2.3734915265055121</v>
      </c>
      <c r="I35" s="65" t="str">
        <f t="shared" ca="1" si="8"/>
        <v/>
      </c>
      <c r="J35" s="65" t="str">
        <f t="shared" ca="1" si="13"/>
        <v/>
      </c>
      <c r="K35" t="str">
        <f t="shared" ca="1" si="14"/>
        <v/>
      </c>
      <c r="L35" s="69">
        <f t="shared" si="11"/>
        <v>4</v>
      </c>
      <c r="M35" t="str">
        <f t="shared" si="12"/>
        <v/>
      </c>
    </row>
    <row r="36" spans="1:13" x14ac:dyDescent="0.25">
      <c r="A36" t="str">
        <f t="shared" si="6"/>
        <v/>
      </c>
      <c r="B36" s="65">
        <v>21</v>
      </c>
      <c r="C36" s="65"/>
      <c r="D36" s="66"/>
      <c r="E36" s="66"/>
      <c r="F36" s="67" cm="1">
        <f t="array" aca="1" ref="F36" ca="1">IF(F35&gt;0,F35*(IF(SUM($Q$3,0.01*$L$3)&gt;0.99,0.99,$Q$3+0.01*$L$3)),F35)+($P$3+IF(L36=0,$O$3*_xlfn.IFS(I36="НЕУРОЖАЙ",0.25,I36="ОБЫЧНЫЙ",1,I36="РЕКОРД",1.25,I36="",1),0))-$N$3</f>
        <v>-795401.38601786341</v>
      </c>
      <c r="G36" s="68">
        <f t="shared" ca="1" si="5"/>
        <v>-3.9878236808316769</v>
      </c>
      <c r="H36" s="83">
        <f t="shared" ca="1" si="7"/>
        <v>-2.7914765765821739</v>
      </c>
      <c r="I36" s="65" t="str">
        <f t="shared" ca="1" si="8"/>
        <v/>
      </c>
      <c r="J36" s="65" t="str">
        <f t="shared" ca="1" si="13"/>
        <v/>
      </c>
      <c r="K36" t="str">
        <f t="shared" ca="1" si="14"/>
        <v/>
      </c>
      <c r="L36" s="69">
        <f t="shared" si="11"/>
        <v>5</v>
      </c>
      <c r="M36" t="str">
        <f t="shared" si="12"/>
        <v/>
      </c>
    </row>
    <row r="37" spans="1:13" x14ac:dyDescent="0.25">
      <c r="A37" t="str">
        <f t="shared" si="6"/>
        <v/>
      </c>
      <c r="B37" s="65">
        <v>22</v>
      </c>
      <c r="C37" s="65"/>
      <c r="D37" s="66"/>
      <c r="E37" s="66"/>
      <c r="F37" s="67" cm="1">
        <f t="array" aca="1" ref="F37" ca="1">IF(F36&gt;0,F36*(IF(SUM($Q$3,0.01*$L$3)&gt;0.99,0.99,$Q$3+0.01*$L$3)),F36)+($P$3+IF(L37=0,$O$3*_xlfn.IFS(I37="НЕУРОЖАЙ",0.25,I37="ОБЫЧНЫЙ",1,I37="РЕКОРД",1.25,I37="",1),0))-$N$3</f>
        <v>-914501.75424405397</v>
      </c>
      <c r="G37" s="68">
        <f t="shared" ca="1" si="5"/>
        <v>-4.5849451809411939</v>
      </c>
      <c r="H37" s="83">
        <f t="shared" ca="1" si="7"/>
        <v>-3.2094616266588356</v>
      </c>
      <c r="I37" s="65" t="str">
        <f t="shared" ca="1" si="8"/>
        <v/>
      </c>
      <c r="J37" s="65" t="str">
        <f t="shared" ca="1" si="13"/>
        <v/>
      </c>
      <c r="K37" t="str">
        <f t="shared" ca="1" si="14"/>
        <v/>
      </c>
      <c r="L37" s="69">
        <f t="shared" si="11"/>
        <v>6</v>
      </c>
      <c r="M37" t="str">
        <f t="shared" si="12"/>
        <v/>
      </c>
    </row>
    <row r="38" spans="1:13" x14ac:dyDescent="0.25">
      <c r="A38" t="str">
        <f t="shared" si="6"/>
        <v/>
      </c>
      <c r="B38" s="65">
        <v>23</v>
      </c>
      <c r="C38" s="65"/>
      <c r="D38" s="66"/>
      <c r="E38" s="66"/>
      <c r="F38" s="67" cm="1">
        <f t="array" aca="1" ref="F38" ca="1">IF(F37&gt;0,F37*(IF(SUM($Q$3,0.01*$L$3)&gt;0.99,0.99,$Q$3+0.01*$L$3)),F37)+($P$3+IF(L38=0,$O$3*_xlfn.IFS(I38="НЕУРОЖАЙ",0.25,I38="ОБЫЧНЫЙ",1,I38="РЕКОРД",1.25,I38="",1),0))-$N$3</f>
        <v>-1033602.1224702445</v>
      </c>
      <c r="G38" s="68">
        <f t="shared" ca="1" si="5"/>
        <v>-5.1820666810507108</v>
      </c>
      <c r="H38" s="83">
        <f t="shared" ca="1" si="7"/>
        <v>-3.6274466767354974</v>
      </c>
      <c r="I38" s="65" t="str">
        <f t="shared" ca="1" si="8"/>
        <v/>
      </c>
      <c r="J38" s="65" t="str">
        <f t="shared" ca="1" si="13"/>
        <v/>
      </c>
      <c r="K38" t="str">
        <f t="shared" ca="1" si="14"/>
        <v/>
      </c>
      <c r="L38" s="69">
        <f t="shared" si="11"/>
        <v>7</v>
      </c>
      <c r="M38" t="str">
        <f t="shared" si="12"/>
        <v/>
      </c>
    </row>
    <row r="39" spans="1:13" x14ac:dyDescent="0.25">
      <c r="A39" t="str">
        <f t="shared" si="6"/>
        <v>АВГУСТ</v>
      </c>
      <c r="B39" s="65">
        <v>24</v>
      </c>
      <c r="C39" s="65"/>
      <c r="D39" s="66"/>
      <c r="E39" s="66"/>
      <c r="F39" s="67" cm="1">
        <f t="array" aca="1" ref="F39" ca="1">IF(F38&gt;0,F38*(IF(SUM($Q$3,0.01*$L$3)&gt;0.99,0.99,$Q$3+0.01*$L$3)),F38)+($P$3+IF(L39=0,$O$3*_xlfn.IFS(I39="НЕУРОЖАЙ",0.25,I39="ОБЫЧНЫЙ",1,I39="РЕКОРД",1.25,I39="",1),0))-$N$3</f>
        <v>-552702.4906964351</v>
      </c>
      <c r="G39" s="68">
        <f t="shared" ca="1" si="5"/>
        <v>-2.7710287153112825</v>
      </c>
      <c r="H39" s="83">
        <f t="shared" ca="1" si="7"/>
        <v>-1.9397201007178977</v>
      </c>
      <c r="I39" s="65" t="str">
        <f t="shared" ca="1" si="8"/>
        <v>ОБЫЧНЫЙ</v>
      </c>
      <c r="J39" s="65">
        <f t="shared" ca="1" si="13"/>
        <v>74</v>
      </c>
      <c r="K39">
        <f t="shared" ca="1" si="14"/>
        <v>48</v>
      </c>
      <c r="L39" s="69">
        <f t="shared" si="11"/>
        <v>0</v>
      </c>
      <c r="M39">
        <f t="shared" ca="1" si="12"/>
        <v>100</v>
      </c>
    </row>
    <row r="40" spans="1:13" x14ac:dyDescent="0.25">
      <c r="A40" t="str">
        <f t="shared" si="6"/>
        <v/>
      </c>
      <c r="B40" s="65">
        <v>25</v>
      </c>
      <c r="C40" s="65"/>
      <c r="D40" s="66"/>
      <c r="E40" s="66"/>
      <c r="F40" s="67" cm="1">
        <f t="array" aca="1" ref="F40" ca="1">IF(F39&gt;0,F39*(IF(SUM($Q$3,0.01*$L$3)&gt;0.99,0.99,$Q$3+0.01*$L$3)),F39)+($P$3+IF(L40=0,$O$3*_xlfn.IFS(I40="НЕУРОЖАЙ",0.25,I40="ОБЫЧНЫЙ",1,I40="РЕКОРД",1.25,I40="",1),0))-$N$3</f>
        <v>-671802.85892262566</v>
      </c>
      <c r="G40" s="68">
        <f t="shared" ca="1" si="5"/>
        <v>-3.3681502154207994</v>
      </c>
      <c r="H40" s="83">
        <f t="shared" ca="1" si="7"/>
        <v>-2.3577051507945592</v>
      </c>
      <c r="I40" s="65" t="str">
        <f t="shared" ca="1" si="8"/>
        <v/>
      </c>
      <c r="J40" s="65" t="str">
        <f t="shared" ca="1" si="13"/>
        <v/>
      </c>
      <c r="K40" t="str">
        <f t="shared" ca="1" si="14"/>
        <v/>
      </c>
      <c r="L40" s="69">
        <f t="shared" si="11"/>
        <v>1</v>
      </c>
      <c r="M40" t="str">
        <f t="shared" si="12"/>
        <v/>
      </c>
    </row>
    <row r="41" spans="1:13" x14ac:dyDescent="0.25">
      <c r="A41" t="str">
        <f t="shared" si="6"/>
        <v/>
      </c>
      <c r="B41" s="65">
        <v>26</v>
      </c>
      <c r="C41" s="65"/>
      <c r="D41" s="66"/>
      <c r="E41" s="66"/>
      <c r="F41" s="67" cm="1">
        <f t="array" aca="1" ref="F41" ca="1">IF(F40&gt;0,F40*(IF(SUM($Q$3,0.01*$L$3)&gt;0.99,0.99,$Q$3+0.01*$L$3)),F40)+($P$3+IF(L41=0,$O$3*_xlfn.IFS(I41="НЕУРОЖАЙ",0.25,I41="ОБЫЧНЫЙ",1,I41="РЕКОРД",1.25,I41="",1),0))-$N$3</f>
        <v>-790903.22714881622</v>
      </c>
      <c r="G41" s="68">
        <f t="shared" ca="1" si="5"/>
        <v>-3.9652717155303159</v>
      </c>
      <c r="H41" s="83">
        <f t="shared" ca="1" si="7"/>
        <v>-2.775690200871221</v>
      </c>
      <c r="I41" s="65" t="str">
        <f t="shared" ca="1" si="8"/>
        <v/>
      </c>
      <c r="J41" s="65" t="str">
        <f t="shared" ca="1" si="13"/>
        <v/>
      </c>
      <c r="K41" t="str">
        <f t="shared" ca="1" si="14"/>
        <v/>
      </c>
      <c r="L41" s="69">
        <f t="shared" si="11"/>
        <v>2</v>
      </c>
      <c r="M41" t="str">
        <f t="shared" si="12"/>
        <v/>
      </c>
    </row>
    <row r="42" spans="1:13" x14ac:dyDescent="0.25">
      <c r="A42" t="str">
        <f t="shared" si="6"/>
        <v/>
      </c>
      <c r="B42" s="65">
        <v>27</v>
      </c>
      <c r="C42" s="65"/>
      <c r="D42" s="66"/>
      <c r="E42" s="66"/>
      <c r="F42" s="67" cm="1">
        <f t="array" aca="1" ref="F42" ca="1">IF(F41&gt;0,F41*(IF(SUM($Q$3,0.01*$L$3)&gt;0.99,0.99,$Q$3+0.01*$L$3)),F41)+($P$3+IF(L42=0,$O$3*_xlfn.IFS(I42="НЕУРОЖАЙ",0.25,I42="ОБЫЧНЫЙ",1,I42="РЕКОРД",1.25,I42="",1),0))-$N$3</f>
        <v>-910003.59537500679</v>
      </c>
      <c r="G42" s="68">
        <f t="shared" ca="1" si="5"/>
        <v>-4.5623932156398324</v>
      </c>
      <c r="H42" s="83">
        <f t="shared" ca="1" si="7"/>
        <v>-3.1936752509478823</v>
      </c>
      <c r="I42" s="65" t="str">
        <f t="shared" ca="1" si="8"/>
        <v/>
      </c>
      <c r="J42" s="65" t="str">
        <f t="shared" ca="1" si="13"/>
        <v/>
      </c>
      <c r="K42" t="str">
        <f t="shared" ca="1" si="14"/>
        <v/>
      </c>
      <c r="L42" s="69">
        <f t="shared" si="11"/>
        <v>3</v>
      </c>
      <c r="M42" t="str">
        <f t="shared" si="12"/>
        <v/>
      </c>
    </row>
    <row r="43" spans="1:13" x14ac:dyDescent="0.25">
      <c r="A43" t="str">
        <f t="shared" si="6"/>
        <v/>
      </c>
      <c r="B43" s="65">
        <v>28</v>
      </c>
      <c r="C43" s="65"/>
      <c r="D43" s="66"/>
      <c r="E43" s="66"/>
      <c r="F43" s="67" cm="1">
        <f t="array" aca="1" ref="F43" ca="1">IF(F42&gt;0,F42*(IF(SUM($Q$3,0.01*$L$3)&gt;0.99,0.99,$Q$3+0.01*$L$3)),F42)+($P$3+IF(L43=0,$O$3*_xlfn.IFS(I43="НЕУРОЖАЙ",0.25,I43="ОБЫЧНЫЙ",1,I43="РЕКОРД",1.25,I43="",1),0))-$N$3</f>
        <v>-1029103.9636011973</v>
      </c>
      <c r="G43" s="68">
        <f t="shared" ca="1" si="5"/>
        <v>-5.1595147157493493</v>
      </c>
      <c r="H43" s="83">
        <f t="shared" ca="1" si="7"/>
        <v>-3.6116603010245441</v>
      </c>
      <c r="I43" s="65" t="str">
        <f t="shared" ca="1" si="8"/>
        <v/>
      </c>
      <c r="J43" s="65" t="str">
        <f t="shared" ca="1" si="13"/>
        <v/>
      </c>
      <c r="K43" t="str">
        <f t="shared" ca="1" si="14"/>
        <v/>
      </c>
      <c r="L43" s="69">
        <f t="shared" si="11"/>
        <v>4</v>
      </c>
      <c r="M43" t="str">
        <f t="shared" si="12"/>
        <v/>
      </c>
    </row>
    <row r="44" spans="1:13" x14ac:dyDescent="0.25">
      <c r="A44" t="str">
        <f t="shared" si="6"/>
        <v/>
      </c>
      <c r="B44" s="65">
        <v>29</v>
      </c>
      <c r="C44" s="65"/>
      <c r="D44" s="66"/>
      <c r="E44" s="66"/>
      <c r="F44" s="67" cm="1">
        <f t="array" aca="1" ref="F44" ca="1">IF(F43&gt;0,F43*(IF(SUM($Q$3,0.01*$L$3)&gt;0.99,0.99,$Q$3+0.01*$L$3)),F43)+($P$3+IF(L44=0,$O$3*_xlfn.IFS(I44="НЕУРОЖАЙ",0.25,I44="ОБЫЧНЫЙ",1,I44="РЕКОРД",1.25,I44="",1),0))-$N$3</f>
        <v>-1148204.3318273879</v>
      </c>
      <c r="G44" s="68">
        <f t="shared" ca="1" si="5"/>
        <v>-5.7566362158588662</v>
      </c>
      <c r="H44" s="83">
        <f t="shared" ca="1" si="7"/>
        <v>-4.0296453511012063</v>
      </c>
      <c r="I44" s="65" t="str">
        <f t="shared" ca="1" si="8"/>
        <v/>
      </c>
      <c r="J44" s="65" t="str">
        <f t="shared" ca="1" si="13"/>
        <v/>
      </c>
      <c r="K44" t="str">
        <f t="shared" ca="1" si="14"/>
        <v/>
      </c>
      <c r="L44" s="69">
        <f t="shared" si="11"/>
        <v>5</v>
      </c>
      <c r="M44" t="str">
        <f t="shared" si="12"/>
        <v/>
      </c>
    </row>
    <row r="45" spans="1:13" x14ac:dyDescent="0.25">
      <c r="A45" t="str">
        <f t="shared" si="6"/>
        <v/>
      </c>
      <c r="B45" s="65">
        <v>30</v>
      </c>
      <c r="C45" s="65"/>
      <c r="D45" s="66"/>
      <c r="E45" s="66"/>
      <c r="F45" s="67" cm="1">
        <f t="array" aca="1" ref="F45" ca="1">IF(F44&gt;0,F44*(IF(SUM($Q$3,0.01*$L$3)&gt;0.99,0.99,$Q$3+0.01*$L$3)),F44)+($P$3+IF(L45=0,$O$3*_xlfn.IFS(I45="НЕУРОЖАЙ",0.25,I45="ОБЫЧНЫЙ",1,I45="РЕКОРД",1.25,I45="",1),0))-$N$3</f>
        <v>-1267304.7000535782</v>
      </c>
      <c r="G45" s="68">
        <f t="shared" ca="1" si="5"/>
        <v>-6.3537577159683813</v>
      </c>
      <c r="H45" s="83">
        <f t="shared" ca="1" si="7"/>
        <v>-4.4476304011778662</v>
      </c>
      <c r="I45" s="65" t="str">
        <f t="shared" ca="1" si="8"/>
        <v/>
      </c>
      <c r="J45" s="65" t="str">
        <f t="shared" ca="1" si="13"/>
        <v/>
      </c>
      <c r="K45" t="str">
        <f t="shared" ca="1" si="14"/>
        <v/>
      </c>
      <c r="L45" s="69">
        <f t="shared" si="11"/>
        <v>6</v>
      </c>
      <c r="M45" t="str">
        <f t="shared" si="12"/>
        <v/>
      </c>
    </row>
    <row r="46" spans="1:13" x14ac:dyDescent="0.25">
      <c r="A46" t="str">
        <f t="shared" si="6"/>
        <v/>
      </c>
      <c r="B46" s="65">
        <v>31</v>
      </c>
      <c r="C46" s="65"/>
      <c r="D46" s="66"/>
      <c r="E46" s="66"/>
      <c r="F46" s="67" cm="1">
        <f t="array" aca="1" ref="F46" ca="1">IF(F45&gt;0,F45*(IF(SUM($Q$3,0.01*$L$3)&gt;0.99,0.99,$Q$3+0.01*$L$3)),F45)+($P$3+IF(L46=0,$O$3*_xlfn.IFS(I46="НЕУРОЖАЙ",0.25,I46="ОБЫЧНЫЙ",1,I46="РЕКОРД",1.25,I46="",1),0))-$N$3</f>
        <v>-1386405.0682797686</v>
      </c>
      <c r="G46" s="68">
        <f t="shared" ca="1" si="5"/>
        <v>-6.9508792160778974</v>
      </c>
      <c r="H46" s="83">
        <f t="shared" ca="1" si="7"/>
        <v>-4.865615451254528</v>
      </c>
      <c r="I46" s="65" t="str">
        <f t="shared" ca="1" si="8"/>
        <v/>
      </c>
      <c r="J46" s="65" t="str">
        <f t="shared" ca="1" si="13"/>
        <v/>
      </c>
      <c r="K46" t="str">
        <f t="shared" ca="1" si="14"/>
        <v/>
      </c>
      <c r="L46" s="69">
        <f t="shared" si="11"/>
        <v>7</v>
      </c>
      <c r="M46" t="str">
        <f t="shared" si="12"/>
        <v/>
      </c>
    </row>
    <row r="47" spans="1:13" x14ac:dyDescent="0.25">
      <c r="A47" t="str">
        <f t="shared" si="6"/>
        <v>АВГУСТ</v>
      </c>
      <c r="B47" s="65">
        <v>32</v>
      </c>
      <c r="C47" s="65"/>
      <c r="D47" s="66"/>
      <c r="E47" s="66"/>
      <c r="F47" s="67" cm="1">
        <f t="array" aca="1" ref="F47" ca="1">IF(F46&gt;0,F46*(IF(SUM($Q$3,0.01*$L$3)&gt;0.99,0.99,$Q$3+0.01*$L$3)),F46)+($P$3+IF(L47=0,$O$3*_xlfn.IFS(I47="НЕУРОЖАЙ",0.25,I47="ОБЫЧНЫЙ",1,I47="РЕКОРД",1.25,I47="",1),0))-$N$3</f>
        <v>-1355505.4365059589</v>
      </c>
      <c r="G47" s="68">
        <f t="shared" ca="1" si="5"/>
        <v>-6.7959608497251764</v>
      </c>
      <c r="H47" s="83">
        <f t="shared" ca="1" si="7"/>
        <v>-4.7571725948076233</v>
      </c>
      <c r="I47" s="65" t="str">
        <f t="shared" ca="1" si="8"/>
        <v>НЕУРОЖАЙ</v>
      </c>
      <c r="J47" s="65">
        <f t="shared" ca="1" si="13"/>
        <v>5</v>
      </c>
      <c r="K47" t="str">
        <f t="shared" ca="1" si="14"/>
        <v/>
      </c>
      <c r="L47" s="69">
        <f t="shared" si="11"/>
        <v>0</v>
      </c>
      <c r="M47">
        <f t="shared" ca="1" si="12"/>
        <v>133</v>
      </c>
    </row>
    <row r="48" spans="1:13" x14ac:dyDescent="0.25">
      <c r="A48" t="str">
        <f t="shared" si="6"/>
        <v/>
      </c>
      <c r="B48" s="65">
        <v>33</v>
      </c>
      <c r="C48" s="65"/>
      <c r="D48" s="66"/>
      <c r="E48" s="66"/>
      <c r="F48" s="67" cm="1">
        <f t="array" aca="1" ref="F48" ca="1">IF(F47&gt;0,F47*(IF(SUM($Q$3,0.01*$L$3)&gt;0.99,0.99,$Q$3+0.01*$L$3)),F47)+($P$3+IF(L48=0,$O$3*_xlfn.IFS(I48="НЕУРОЖАЙ",0.25,I48="ОБЫЧНЫЙ",1,I48="РЕКОРД",1.25,I48="",1),0))-$N$3</f>
        <v>-1474605.8047321492</v>
      </c>
      <c r="G48" s="68">
        <f t="shared" ca="1" si="5"/>
        <v>-7.3930823498346925</v>
      </c>
      <c r="H48" s="83">
        <f t="shared" ca="1" si="7"/>
        <v>-5.1751576448842842</v>
      </c>
      <c r="I48" s="65" t="str">
        <f t="shared" ca="1" si="8"/>
        <v/>
      </c>
      <c r="J48" s="65" t="str">
        <f t="shared" ca="1" si="13"/>
        <v/>
      </c>
      <c r="K48" t="str">
        <f t="shared" ca="1" si="14"/>
        <v/>
      </c>
      <c r="L48" s="69">
        <f t="shared" si="11"/>
        <v>1</v>
      </c>
      <c r="M48" t="str">
        <f t="shared" si="12"/>
        <v/>
      </c>
    </row>
    <row r="49" spans="1:13" x14ac:dyDescent="0.25">
      <c r="A49" t="str">
        <f t="shared" si="6"/>
        <v/>
      </c>
      <c r="B49" s="65">
        <v>34</v>
      </c>
      <c r="C49" s="65"/>
      <c r="D49" s="66"/>
      <c r="E49" s="66"/>
      <c r="F49" s="67" cm="1">
        <f t="array" aca="1" ref="F49" ca="1">IF(F48&gt;0,F48*(IF(SUM($Q$3,0.01*$L$3)&gt;0.99,0.99,$Q$3+0.01*$L$3)),F48)+($P$3+IF(L49=0,$O$3*_xlfn.IFS(I49="НЕУРОЖАЙ",0.25,I49="ОБЫЧНЫЙ",1,I49="РЕКОРД",1.25,I49="",1),0))-$N$3</f>
        <v>-1593706.1729583396</v>
      </c>
      <c r="G49" s="68">
        <f t="shared" ca="1" si="5"/>
        <v>-7.9902038499442076</v>
      </c>
      <c r="H49" s="83">
        <f t="shared" ca="1" si="7"/>
        <v>-5.5931426949609451</v>
      </c>
      <c r="I49" s="65" t="str">
        <f t="shared" ca="1" si="8"/>
        <v/>
      </c>
      <c r="J49" s="65" t="str">
        <f t="shared" ca="1" si="13"/>
        <v/>
      </c>
      <c r="K49" t="str">
        <f t="shared" ca="1" si="14"/>
        <v/>
      </c>
      <c r="L49" s="69">
        <f t="shared" si="11"/>
        <v>2</v>
      </c>
      <c r="M49" t="str">
        <f t="shared" si="12"/>
        <v/>
      </c>
    </row>
    <row r="50" spans="1:13" x14ac:dyDescent="0.25">
      <c r="A50" t="str">
        <f t="shared" si="6"/>
        <v/>
      </c>
      <c r="B50" s="65">
        <v>35</v>
      </c>
      <c r="C50" s="65"/>
      <c r="D50" s="66"/>
      <c r="E50" s="66"/>
      <c r="F50" s="67" cm="1">
        <f t="array" aca="1" ref="F50" ca="1">IF(F49&gt;0,F49*(IF(SUM($Q$3,0.01*$L$3)&gt;0.99,0.99,$Q$3+0.01*$L$3)),F49)+($P$3+IF(L50=0,$O$3*_xlfn.IFS(I50="НЕУРОЖАЙ",0.25,I50="ОБЫЧНЫЙ",1,I50="РЕКОРД",1.25,I50="",1),0))-$N$3</f>
        <v>-1712806.5411845299</v>
      </c>
      <c r="G50" s="68">
        <f t="shared" ca="1" si="5"/>
        <v>-8.5873253500537228</v>
      </c>
      <c r="H50" s="83">
        <f t="shared" ca="1" si="7"/>
        <v>-6.0111277450376059</v>
      </c>
      <c r="I50" s="65" t="str">
        <f t="shared" ca="1" si="8"/>
        <v/>
      </c>
      <c r="J50" s="65" t="str">
        <f t="shared" ca="1" si="13"/>
        <v/>
      </c>
      <c r="K50" t="str">
        <f t="shared" ca="1" si="14"/>
        <v/>
      </c>
      <c r="L50" s="69">
        <f t="shared" si="11"/>
        <v>3</v>
      </c>
      <c r="M50" t="str">
        <f t="shared" si="12"/>
        <v/>
      </c>
    </row>
    <row r="51" spans="1:13" x14ac:dyDescent="0.25">
      <c r="A51" t="str">
        <f t="shared" si="6"/>
        <v/>
      </c>
      <c r="B51" s="65">
        <v>36</v>
      </c>
      <c r="C51" s="65"/>
      <c r="D51" s="66"/>
      <c r="E51" s="66"/>
      <c r="F51" s="67" cm="1">
        <f t="array" aca="1" ref="F51" ca="1">IF(F50&gt;0,F50*(IF(SUM($Q$3,0.01*$L$3)&gt;0.99,0.99,$Q$3+0.01*$L$3)),F50)+($P$3+IF(L51=0,$O$3*_xlfn.IFS(I51="НЕУРОЖАЙ",0.25,I51="ОБЫЧНЫЙ",1,I51="РЕКОРД",1.25,I51="",1),0))-$N$3</f>
        <v>-1831906.9094107202</v>
      </c>
      <c r="G51" s="68">
        <f t="shared" ca="1" si="5"/>
        <v>-9.1844468501632388</v>
      </c>
      <c r="H51" s="83">
        <f t="shared" ca="1" si="7"/>
        <v>-6.4291127951142668</v>
      </c>
      <c r="I51" s="65" t="str">
        <f t="shared" ca="1" si="8"/>
        <v/>
      </c>
      <c r="J51" s="65" t="str">
        <f t="shared" ca="1" si="13"/>
        <v/>
      </c>
      <c r="K51" t="str">
        <f t="shared" ca="1" si="14"/>
        <v/>
      </c>
      <c r="L51" s="69">
        <f t="shared" si="11"/>
        <v>4</v>
      </c>
      <c r="M51" t="str">
        <f t="shared" si="12"/>
        <v/>
      </c>
    </row>
    <row r="52" spans="1:13" x14ac:dyDescent="0.25">
      <c r="A52" t="str">
        <f t="shared" si="6"/>
        <v/>
      </c>
      <c r="B52" s="65">
        <v>37</v>
      </c>
      <c r="C52" s="65"/>
      <c r="D52" s="66"/>
      <c r="E52" s="66"/>
      <c r="F52" s="67" cm="1">
        <f t="array" aca="1" ref="F52" ca="1">IF(F51&gt;0,F51*(IF(SUM($Q$3,0.01*$L$3)&gt;0.99,0.99,$Q$3+0.01*$L$3)),F51)+($P$3+IF(L52=0,$O$3*_xlfn.IFS(I52="НЕУРОЖАЙ",0.25,I52="ОБЫЧНЫЙ",1,I52="РЕКОРД",1.25,I52="",1),0))-$N$3</f>
        <v>-1951007.2776369106</v>
      </c>
      <c r="G52" s="68">
        <f t="shared" ca="1" si="5"/>
        <v>-9.7815683502727548</v>
      </c>
      <c r="H52" s="83">
        <f t="shared" ca="1" si="7"/>
        <v>-6.8470978451909277</v>
      </c>
      <c r="I52" s="65" t="str">
        <f t="shared" ca="1" si="8"/>
        <v/>
      </c>
      <c r="J52" s="65" t="str">
        <f t="shared" ca="1" si="13"/>
        <v/>
      </c>
      <c r="K52" t="str">
        <f t="shared" ca="1" si="14"/>
        <v/>
      </c>
      <c r="L52" s="69">
        <f t="shared" si="11"/>
        <v>5</v>
      </c>
      <c r="M52" t="str">
        <f t="shared" si="12"/>
        <v/>
      </c>
    </row>
    <row r="53" spans="1:13" x14ac:dyDescent="0.25">
      <c r="A53" t="str">
        <f t="shared" si="6"/>
        <v/>
      </c>
      <c r="B53" s="65">
        <v>38</v>
      </c>
      <c r="C53" s="65"/>
      <c r="D53" s="66"/>
      <c r="E53" s="66"/>
      <c r="F53" s="67" cm="1">
        <f t="array" aca="1" ref="F53" ca="1">IF(F52&gt;0,F52*(IF(SUM($Q$3,0.01*$L$3)&gt;0.99,0.99,$Q$3+0.01*$L$3)),F52)+($P$3+IF(L53=0,$O$3*_xlfn.IFS(I53="НЕУРОЖАЙ",0.25,I53="ОБЫЧНЫЙ",1,I53="РЕКОРД",1.25,I53="",1),0))-$N$3</f>
        <v>-2070107.6458631009</v>
      </c>
      <c r="G53" s="68">
        <f t="shared" ca="1" si="5"/>
        <v>-10.378689850382269</v>
      </c>
      <c r="H53" s="83">
        <f t="shared" ca="1" si="7"/>
        <v>-7.2650828952675877</v>
      </c>
      <c r="I53" s="65" t="str">
        <f t="shared" ca="1" si="8"/>
        <v/>
      </c>
      <c r="J53" s="65" t="str">
        <f t="shared" ca="1" si="13"/>
        <v/>
      </c>
      <c r="K53" t="str">
        <f t="shared" ca="1" si="14"/>
        <v/>
      </c>
      <c r="L53" s="69">
        <f t="shared" si="11"/>
        <v>6</v>
      </c>
      <c r="M53" t="str">
        <f t="shared" si="12"/>
        <v/>
      </c>
    </row>
    <row r="54" spans="1:13" x14ac:dyDescent="0.25">
      <c r="A54" t="str">
        <f t="shared" si="6"/>
        <v/>
      </c>
      <c r="B54" s="65">
        <v>39</v>
      </c>
      <c r="C54" s="65"/>
      <c r="D54" s="66"/>
      <c r="E54" s="66"/>
      <c r="F54" s="67" cm="1">
        <f t="array" aca="1" ref="F54" ca="1">IF(F53&gt;0,F53*(IF(SUM($Q$3,0.01*$L$3)&gt;0.99,0.99,$Q$3+0.01*$L$3)),F53)+($P$3+IF(L54=0,$O$3*_xlfn.IFS(I54="НЕУРОЖАЙ",0.25,I54="ОБЫЧНЫЙ",1,I54="РЕКОРД",1.25,I54="",1),0))-$N$3</f>
        <v>-2189208.0140892914</v>
      </c>
      <c r="G54" s="68">
        <f t="shared" ca="1" si="5"/>
        <v>-10.975811350491787</v>
      </c>
      <c r="H54" s="83">
        <f t="shared" ca="1" si="7"/>
        <v>-7.6830679453442503</v>
      </c>
      <c r="I54" s="65" t="str">
        <f t="shared" ca="1" si="8"/>
        <v/>
      </c>
      <c r="J54" s="65" t="str">
        <f t="shared" ca="1" si="13"/>
        <v/>
      </c>
      <c r="K54" t="str">
        <f t="shared" ca="1" si="14"/>
        <v/>
      </c>
      <c r="L54" s="69">
        <f t="shared" si="11"/>
        <v>7</v>
      </c>
      <c r="M54" t="str">
        <f t="shared" si="12"/>
        <v/>
      </c>
    </row>
    <row r="55" spans="1:13" x14ac:dyDescent="0.25">
      <c r="A55" t="str">
        <f t="shared" si="6"/>
        <v>АВГУСТ</v>
      </c>
      <c r="B55" s="65">
        <v>40</v>
      </c>
      <c r="C55" s="65"/>
      <c r="D55" s="66"/>
      <c r="E55" s="66"/>
      <c r="F55" s="67" cm="1">
        <f t="array" aca="1" ref="F55" ca="1">IF(F54&gt;0,F54*(IF(SUM($Q$3,0.01*$L$3)&gt;0.99,0.99,$Q$3+0.01*$L$3)),F54)+($P$3+IF(L55=0,$O$3*_xlfn.IFS(I55="НЕУРОЖАЙ",0.25,I55="ОБЫЧНЫЙ",1,I55="РЕКОРД",1.25,I55="",1),0))-$N$3</f>
        <v>-1708308.382315482</v>
      </c>
      <c r="G55" s="68">
        <f t="shared" ca="1" si="5"/>
        <v>-8.5647733847523586</v>
      </c>
      <c r="H55" s="83">
        <f t="shared" ca="1" si="7"/>
        <v>-5.9953413693266508</v>
      </c>
      <c r="I55" s="65" t="str">
        <f t="shared" ca="1" si="8"/>
        <v>ОБЫЧНЫЙ</v>
      </c>
      <c r="J55" s="65">
        <f t="shared" ca="1" si="13"/>
        <v>48</v>
      </c>
      <c r="K55">
        <f t="shared" ca="1" si="14"/>
        <v>58</v>
      </c>
      <c r="L55" s="69">
        <f t="shared" si="11"/>
        <v>0</v>
      </c>
      <c r="M55">
        <f t="shared" ca="1" si="12"/>
        <v>1</v>
      </c>
    </row>
    <row r="56" spans="1:13" x14ac:dyDescent="0.25">
      <c r="A56" t="str">
        <f t="shared" si="6"/>
        <v/>
      </c>
      <c r="B56" s="65">
        <v>41</v>
      </c>
      <c r="C56" s="65"/>
      <c r="D56" s="66"/>
      <c r="E56" s="66"/>
      <c r="F56" s="67" cm="1">
        <f t="array" aca="1" ref="F56" ca="1">IF(F55&gt;0,F55*(IF(SUM($Q$3,0.01*$L$3)&gt;0.99,0.99,$Q$3+0.01*$L$3)),F55)+($P$3+IF(L56=0,$O$3*_xlfn.IFS(I56="НЕУРОЖАЙ",0.25,I56="ОБЫЧНЫЙ",1,I56="РЕКОРД",1.25,I56="",1),0))-$N$3</f>
        <v>-1827408.7505416723</v>
      </c>
      <c r="G56" s="68">
        <f t="shared" ca="1" si="5"/>
        <v>-9.1618948848618746</v>
      </c>
      <c r="H56" s="83">
        <f t="shared" ca="1" si="7"/>
        <v>-6.4133264194033117</v>
      </c>
      <c r="I56" s="65" t="str">
        <f t="shared" ca="1" si="8"/>
        <v/>
      </c>
      <c r="J56" s="65" t="str">
        <f t="shared" ca="1" si="13"/>
        <v/>
      </c>
      <c r="K56" t="str">
        <f t="shared" ca="1" si="14"/>
        <v/>
      </c>
      <c r="L56" s="69">
        <f t="shared" si="11"/>
        <v>1</v>
      </c>
      <c r="M56" t="str">
        <f t="shared" si="12"/>
        <v/>
      </c>
    </row>
    <row r="57" spans="1:13" x14ac:dyDescent="0.25">
      <c r="A57" t="str">
        <f t="shared" si="6"/>
        <v/>
      </c>
      <c r="B57" s="65">
        <v>42</v>
      </c>
      <c r="C57" s="65"/>
      <c r="D57" s="66"/>
      <c r="E57" s="66"/>
      <c r="F57" s="67" cm="1">
        <f t="array" aca="1" ref="F57" ca="1">IF(F56&gt;0,F56*(IF(SUM($Q$3,0.01*$L$3)&gt;0.99,0.99,$Q$3+0.01*$L$3)),F56)+($P$3+IF(L57=0,$O$3*_xlfn.IFS(I57="НЕУРОЖАЙ",0.25,I57="ОБЫЧНЫЙ",1,I57="РЕКОРД",1.25,I57="",1),0))-$N$3</f>
        <v>-1946509.1187678627</v>
      </c>
      <c r="G57" s="68">
        <f t="shared" ca="1" si="5"/>
        <v>-9.7590163849713889</v>
      </c>
      <c r="H57" s="83">
        <f t="shared" ca="1" si="7"/>
        <v>-6.8313114694799717</v>
      </c>
      <c r="I57" s="65" t="str">
        <f t="shared" ca="1" si="8"/>
        <v/>
      </c>
      <c r="J57" s="65" t="str">
        <f t="shared" ca="1" si="13"/>
        <v/>
      </c>
      <c r="K57" t="str">
        <f t="shared" ca="1" si="14"/>
        <v/>
      </c>
      <c r="L57" s="69">
        <f t="shared" si="11"/>
        <v>2</v>
      </c>
      <c r="M57" t="str">
        <f t="shared" si="12"/>
        <v/>
      </c>
    </row>
    <row r="58" spans="1:13" x14ac:dyDescent="0.25">
      <c r="A58" t="str">
        <f t="shared" si="6"/>
        <v/>
      </c>
      <c r="B58" s="65">
        <v>43</v>
      </c>
      <c r="C58" s="65"/>
      <c r="D58" s="66"/>
      <c r="E58" s="66"/>
      <c r="F58" s="67" cm="1">
        <f t="array" aca="1" ref="F58" ca="1">IF(F57&gt;0,F57*(IF(SUM($Q$3,0.01*$L$3)&gt;0.99,0.99,$Q$3+0.01*$L$3)),F57)+($P$3+IF(L58=0,$O$3*_xlfn.IFS(I58="НЕУРОЖАЙ",0.25,I58="ОБЫЧНЫЙ",1,I58="РЕКОРД",1.25,I58="",1),0))-$N$3</f>
        <v>-2065609.486994053</v>
      </c>
      <c r="G58" s="68">
        <f t="shared" ca="1" si="5"/>
        <v>-10.356137885080905</v>
      </c>
      <c r="H58" s="83">
        <f t="shared" ca="1" si="7"/>
        <v>-7.2492965195566326</v>
      </c>
      <c r="I58" s="65" t="str">
        <f t="shared" ca="1" si="8"/>
        <v/>
      </c>
      <c r="J58" s="65" t="str">
        <f t="shared" ca="1" si="13"/>
        <v/>
      </c>
      <c r="K58" t="str">
        <f t="shared" ca="1" si="14"/>
        <v/>
      </c>
      <c r="L58" s="69">
        <f t="shared" si="11"/>
        <v>3</v>
      </c>
      <c r="M58" t="str">
        <f t="shared" si="12"/>
        <v/>
      </c>
    </row>
    <row r="59" spans="1:13" x14ac:dyDescent="0.25">
      <c r="A59" t="str">
        <f t="shared" si="6"/>
        <v/>
      </c>
      <c r="B59" s="65">
        <v>44</v>
      </c>
      <c r="C59" s="65"/>
      <c r="D59" s="66"/>
      <c r="E59" s="66"/>
      <c r="F59" s="67" cm="1">
        <f t="array" aca="1" ref="F59" ca="1">IF(F58&gt;0,F58*(IF(SUM($Q$3,0.01*$L$3)&gt;0.99,0.99,$Q$3+0.01*$L$3)),F58)+($P$3+IF(L59=0,$O$3*_xlfn.IFS(I59="НЕУРОЖАЙ",0.25,I59="ОБЫЧНЫЙ",1,I59="РЕКОРД",1.25,I59="",1),0))-$N$3</f>
        <v>-2184709.8552202433</v>
      </c>
      <c r="G59" s="68">
        <f t="shared" ca="1" si="5"/>
        <v>-10.953259385190421</v>
      </c>
      <c r="H59" s="83">
        <f t="shared" ca="1" si="7"/>
        <v>-7.6672815696332943</v>
      </c>
      <c r="I59" s="65" t="str">
        <f t="shared" ca="1" si="8"/>
        <v/>
      </c>
      <c r="J59" s="65" t="str">
        <f t="shared" ca="1" si="13"/>
        <v/>
      </c>
      <c r="K59" t="str">
        <f t="shared" ca="1" si="14"/>
        <v/>
      </c>
      <c r="L59" s="69">
        <f t="shared" si="11"/>
        <v>4</v>
      </c>
      <c r="M59" t="str">
        <f t="shared" si="12"/>
        <v/>
      </c>
    </row>
    <row r="60" spans="1:13" x14ac:dyDescent="0.25">
      <c r="A60" t="str">
        <f t="shared" si="6"/>
        <v/>
      </c>
      <c r="B60" s="65">
        <v>45</v>
      </c>
      <c r="C60" s="65"/>
      <c r="D60" s="66"/>
      <c r="E60" s="66"/>
      <c r="F60" s="67" cm="1">
        <f t="array" aca="1" ref="F60" ca="1">IF(F59&gt;0,F59*(IF(SUM($Q$3,0.01*$L$3)&gt;0.99,0.99,$Q$3+0.01*$L$3)),F59)+($P$3+IF(L60=0,$O$3*_xlfn.IFS(I60="НЕУРОЖАЙ",0.25,I60="ОБЫЧНЫЙ",1,I60="РЕКОРД",1.25,I60="",1),0))-$N$3</f>
        <v>-2303810.2234464339</v>
      </c>
      <c r="G60" s="68">
        <f t="shared" ca="1" si="5"/>
        <v>-11.550380885299937</v>
      </c>
      <c r="H60" s="83">
        <f t="shared" ca="1" si="7"/>
        <v>-8.0852666197099552</v>
      </c>
      <c r="I60" s="65" t="str">
        <f t="shared" ca="1" si="8"/>
        <v/>
      </c>
      <c r="J60" s="65" t="str">
        <f t="shared" ca="1" si="13"/>
        <v/>
      </c>
      <c r="K60" t="str">
        <f t="shared" ca="1" si="14"/>
        <v/>
      </c>
      <c r="L60" s="69">
        <f t="shared" si="11"/>
        <v>5</v>
      </c>
      <c r="M60" t="str">
        <f t="shared" si="12"/>
        <v/>
      </c>
    </row>
    <row r="61" spans="1:13" x14ac:dyDescent="0.25">
      <c r="A61" t="str">
        <f t="shared" si="6"/>
        <v/>
      </c>
      <c r="B61" s="65">
        <v>46</v>
      </c>
      <c r="C61" s="65"/>
      <c r="D61" s="66"/>
      <c r="E61" s="66"/>
      <c r="F61" s="67" cm="1">
        <f t="array" aca="1" ref="F61" ca="1">IF(F60&gt;0,F60*(IF(SUM($Q$3,0.01*$L$3)&gt;0.99,0.99,$Q$3+0.01*$L$3)),F60)+($P$3+IF(L61=0,$O$3*_xlfn.IFS(I61="НЕУРОЖАЙ",0.25,I61="ОБЫЧНЫЙ",1,I61="РЕКОРД",1.25,I61="",1),0))-$N$3</f>
        <v>-2422910.5916726245</v>
      </c>
      <c r="G61" s="68">
        <f t="shared" ca="1" si="5"/>
        <v>-12.147502385409455</v>
      </c>
      <c r="H61" s="83">
        <f t="shared" ca="1" si="7"/>
        <v>-8.5032516697866178</v>
      </c>
      <c r="I61" s="65" t="str">
        <f t="shared" ca="1" si="8"/>
        <v/>
      </c>
      <c r="J61" s="65" t="str">
        <f t="shared" ca="1" si="13"/>
        <v/>
      </c>
      <c r="K61" t="str">
        <f t="shared" ca="1" si="14"/>
        <v/>
      </c>
      <c r="L61" s="69">
        <f t="shared" si="11"/>
        <v>6</v>
      </c>
      <c r="M61" t="str">
        <f t="shared" si="12"/>
        <v/>
      </c>
    </row>
    <row r="62" spans="1:13" x14ac:dyDescent="0.25">
      <c r="A62" t="str">
        <f t="shared" si="6"/>
        <v/>
      </c>
      <c r="B62" s="65">
        <v>47</v>
      </c>
      <c r="C62" s="65"/>
      <c r="D62" s="66"/>
      <c r="E62" s="66"/>
      <c r="F62" s="67" cm="1">
        <f t="array" aca="1" ref="F62" ca="1">IF(F61&gt;0,F61*(IF(SUM($Q$3,0.01*$L$3)&gt;0.99,0.99,$Q$3+0.01*$L$3)),F61)+($P$3+IF(L62=0,$O$3*_xlfn.IFS(I62="НЕУРОЖАЙ",0.25,I62="ОБЫЧНЫЙ",1,I62="РЕКОРД",1.25,I62="",1),0))-$N$3</f>
        <v>-2542010.959898815</v>
      </c>
      <c r="G62" s="68">
        <f t="shared" ca="1" si="5"/>
        <v>-12.744623885518971</v>
      </c>
      <c r="H62" s="83">
        <f t="shared" ca="1" si="7"/>
        <v>-8.9212367198632787</v>
      </c>
      <c r="I62" s="65" t="str">
        <f t="shared" ca="1" si="8"/>
        <v/>
      </c>
      <c r="J62" s="65" t="str">
        <f t="shared" ca="1" si="13"/>
        <v/>
      </c>
      <c r="K62" t="str">
        <f t="shared" ca="1" si="14"/>
        <v/>
      </c>
      <c r="L62" s="69">
        <f t="shared" si="11"/>
        <v>7</v>
      </c>
      <c r="M62" t="str">
        <f t="shared" si="12"/>
        <v/>
      </c>
    </row>
    <row r="63" spans="1:13" x14ac:dyDescent="0.25">
      <c r="A63" t="str">
        <f t="shared" si="6"/>
        <v>АВГУСТ</v>
      </c>
      <c r="B63" s="65">
        <v>48</v>
      </c>
      <c r="C63" s="65"/>
      <c r="D63" s="66"/>
      <c r="E63" s="66"/>
      <c r="F63" s="67" cm="1">
        <f t="array" aca="1" ref="F63" ca="1">IF(F62&gt;0,F62*(IF(SUM($Q$3,0.01*$L$3)&gt;0.99,0.99,$Q$3+0.01*$L$3)),F62)+($P$3+IF(L63=0,$O$3*_xlfn.IFS(I63="НЕУРОЖАЙ",0.25,I63="ОБЫЧНЫЙ",1,I63="РЕКОРД",1.25,I63="",1),0))-$N$3</f>
        <v>-2061111.3281250056</v>
      </c>
      <c r="G63" s="68">
        <f t="shared" ca="1" si="5"/>
        <v>-10.333585919779543</v>
      </c>
      <c r="H63" s="83">
        <f t="shared" ca="1" si="7"/>
        <v>-7.2335101438456793</v>
      </c>
      <c r="I63" s="65" t="str">
        <f ca="1">_xlfn.IFS(AND(J63&gt;0,J63&lt;34),"НЕУРОЖАЙ",AND(K63&gt;0,K63&lt;11),"РЕКОРД",NOT(L63=0),"",AND(J63&gt;33,K63&gt;10),"ОБЫЧНЫЙ")</f>
        <v>ОБЫЧНЫЙ</v>
      </c>
      <c r="J63" s="65">
        <f t="shared" ca="1" si="13"/>
        <v>59</v>
      </c>
      <c r="K63">
        <f t="shared" ca="1" si="14"/>
        <v>36</v>
      </c>
      <c r="L63" s="69">
        <f t="shared" si="11"/>
        <v>0</v>
      </c>
      <c r="M63">
        <f ca="1">IF(L63=0,IF(I55="НЕУРОЖАЙ",1,M55+33),"")</f>
        <v>34</v>
      </c>
    </row>
  </sheetData>
  <mergeCells count="5">
    <mergeCell ref="E1:H1"/>
    <mergeCell ref="D1:D2"/>
    <mergeCell ref="B1:B2"/>
    <mergeCell ref="A1:A2"/>
    <mergeCell ref="C1:C2"/>
  </mergeCells>
  <conditionalFormatting sqref="F16:F63">
    <cfRule type="cellIs" dxfId="3" priority="3" operator="greaterThan">
      <formula>0</formula>
    </cfRule>
    <cfRule type="cellIs" dxfId="2" priority="4" operator="less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453FA9D-DC0F-497B-B64F-0195ADDED87D}">
          <x14:formula1>
            <xm:f>Список!$A$1:$A$10</xm:f>
          </x14:formula1>
          <xm:sqref>K3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EA19-B490-438E-9BCC-A522DD820C42}">
  <dimension ref="A1:V12"/>
  <sheetViews>
    <sheetView tabSelected="1" zoomScale="115" zoomScaleNormal="115" workbookViewId="0">
      <pane xSplit="1" topLeftCell="B1" activePane="topRight" state="frozen"/>
      <selection pane="topRight" activeCell="K3" sqref="K3"/>
    </sheetView>
  </sheetViews>
  <sheetFormatPr defaultRowHeight="15" x14ac:dyDescent="0.25"/>
  <cols>
    <col min="1" max="1" width="14" customWidth="1"/>
    <col min="2" max="2" width="7.85546875" customWidth="1"/>
    <col min="3" max="3" width="7.5703125" customWidth="1"/>
    <col min="4" max="4" width="7" customWidth="1"/>
    <col min="5" max="5" width="9" bestFit="1" customWidth="1"/>
    <col min="6" max="6" width="6.42578125" bestFit="1" customWidth="1"/>
    <col min="7" max="7" width="7" bestFit="1" customWidth="1"/>
    <col min="8" max="8" width="7.140625" bestFit="1" customWidth="1"/>
    <col min="9" max="9" width="5.7109375" bestFit="1" customWidth="1"/>
    <col min="10" max="10" width="10.42578125" customWidth="1"/>
    <col min="11" max="11" width="9.140625" bestFit="1" customWidth="1"/>
    <col min="12" max="12" width="5.28515625" bestFit="1" customWidth="1"/>
    <col min="13" max="13" width="4.85546875" bestFit="1" customWidth="1"/>
    <col min="14" max="14" width="6.85546875" customWidth="1"/>
    <col min="15" max="15" width="6.5703125" bestFit="1" customWidth="1"/>
    <col min="16" max="16" width="7.7109375" bestFit="1" customWidth="1"/>
    <col min="17" max="17" width="9.7109375" customWidth="1"/>
    <col min="18" max="18" width="7.5703125" customWidth="1"/>
    <col min="19" max="20" width="14.5703125" bestFit="1" customWidth="1"/>
    <col min="21" max="21" width="14.5703125" customWidth="1"/>
    <col min="22" max="22" width="11.85546875" customWidth="1"/>
    <col min="23" max="23" width="6" customWidth="1"/>
  </cols>
  <sheetData>
    <row r="1" spans="1:22" ht="15.75" customHeight="1" thickBot="1" x14ac:dyDescent="0.3">
      <c r="A1" s="117" t="s">
        <v>9</v>
      </c>
      <c r="B1" s="112" t="s">
        <v>66</v>
      </c>
      <c r="C1" s="114" t="s">
        <v>63</v>
      </c>
      <c r="D1" s="113" t="s">
        <v>64</v>
      </c>
      <c r="E1" s="112" t="s">
        <v>65</v>
      </c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3"/>
      <c r="S1" s="114"/>
      <c r="T1" s="114"/>
      <c r="U1" s="114"/>
      <c r="V1" s="113"/>
    </row>
    <row r="2" spans="1:22" ht="45.75" thickBot="1" x14ac:dyDescent="0.3">
      <c r="A2" s="118"/>
      <c r="B2" s="82" t="s">
        <v>70</v>
      </c>
      <c r="C2" s="81" t="s">
        <v>63</v>
      </c>
      <c r="D2" s="148" t="s">
        <v>64</v>
      </c>
      <c r="E2" s="149" t="s">
        <v>67</v>
      </c>
      <c r="F2" s="150" t="s">
        <v>68</v>
      </c>
      <c r="G2" s="150" t="s">
        <v>69</v>
      </c>
      <c r="H2" s="150" t="s">
        <v>72</v>
      </c>
      <c r="I2" s="156" t="s">
        <v>73</v>
      </c>
      <c r="J2" s="150" t="s">
        <v>75</v>
      </c>
      <c r="K2" s="156" t="s">
        <v>76</v>
      </c>
      <c r="L2" s="150" t="s">
        <v>77</v>
      </c>
      <c r="M2" s="150" t="s">
        <v>78</v>
      </c>
      <c r="N2" s="150" t="s">
        <v>79</v>
      </c>
      <c r="O2" s="150" t="s">
        <v>80</v>
      </c>
      <c r="P2" s="150" t="s">
        <v>81</v>
      </c>
      <c r="Q2" s="150" t="s">
        <v>82</v>
      </c>
      <c r="R2" s="155" t="s">
        <v>83</v>
      </c>
      <c r="S2" s="80" t="s">
        <v>86</v>
      </c>
      <c r="T2" s="56" t="s">
        <v>85</v>
      </c>
      <c r="U2" s="56" t="s">
        <v>84</v>
      </c>
      <c r="V2" s="56" t="s">
        <v>74</v>
      </c>
    </row>
    <row r="3" spans="1:22" ht="15.75" customHeight="1" x14ac:dyDescent="0.25">
      <c r="A3" s="131" t="s">
        <v>5</v>
      </c>
      <c r="B3" s="135">
        <v>1</v>
      </c>
      <c r="C3" s="136"/>
      <c r="D3" s="137"/>
      <c r="E3" s="123">
        <f>База!I3</f>
        <v>7</v>
      </c>
      <c r="F3" s="119">
        <f>База!J3</f>
        <v>7</v>
      </c>
      <c r="G3" s="119">
        <f>База!K3</f>
        <v>0</v>
      </c>
      <c r="H3" s="119">
        <v>15</v>
      </c>
      <c r="I3" s="119">
        <v>3</v>
      </c>
      <c r="J3" s="119"/>
      <c r="K3" s="119"/>
      <c r="L3" s="119"/>
      <c r="M3" s="119"/>
      <c r="N3" s="119"/>
      <c r="O3" s="119"/>
      <c r="P3" s="119"/>
      <c r="Q3" s="119"/>
      <c r="R3" s="122"/>
      <c r="S3" s="151">
        <f>SUMPRODUCT(E3:R3,$E$12:$R$12)</f>
        <v>98</v>
      </c>
      <c r="T3" s="143">
        <f>SUMPRODUCT(B3:D3,$B$12:$D$12)</f>
        <v>60</v>
      </c>
      <c r="U3" s="146">
        <f>T3-S3</f>
        <v>-38</v>
      </c>
      <c r="V3" s="144">
        <f>T3/S3</f>
        <v>0.61224489795918369</v>
      </c>
    </row>
    <row r="4" spans="1:22" x14ac:dyDescent="0.25">
      <c r="A4" s="132" t="s">
        <v>0</v>
      </c>
      <c r="B4" s="10">
        <v>3</v>
      </c>
      <c r="C4" s="2"/>
      <c r="D4" s="138"/>
      <c r="E4" s="121">
        <f>База!I4</f>
        <v>10</v>
      </c>
      <c r="F4" s="120">
        <f>База!J4</f>
        <v>13</v>
      </c>
      <c r="G4" s="120">
        <f>База!K4</f>
        <v>5</v>
      </c>
      <c r="H4" s="120">
        <v>15</v>
      </c>
      <c r="I4" s="120">
        <v>11</v>
      </c>
      <c r="J4" s="120">
        <v>2</v>
      </c>
      <c r="K4" s="120">
        <v>10</v>
      </c>
      <c r="L4" s="120"/>
      <c r="M4" s="120"/>
      <c r="N4" s="120"/>
      <c r="O4" s="120"/>
      <c r="P4" s="120"/>
      <c r="Q4" s="120"/>
      <c r="R4" s="126"/>
      <c r="S4" s="154">
        <f t="shared" ref="S4:S11" si="0">SUMPRODUCT(E4:R4,$E$12:$R$12)</f>
        <v>206</v>
      </c>
      <c r="T4" s="120">
        <f t="shared" ref="T4:T11" si="1">SUMPRODUCT(B4:D4,$B$12:$D$12)</f>
        <v>180</v>
      </c>
      <c r="U4" s="127">
        <f t="shared" ref="U4:U11" si="2">T4-S4</f>
        <v>-26</v>
      </c>
      <c r="V4" s="145">
        <f t="shared" ref="V4:V11" si="3">T4/S4</f>
        <v>0.87378640776699024</v>
      </c>
    </row>
    <row r="5" spans="1:22" x14ac:dyDescent="0.25">
      <c r="A5" s="133" t="s">
        <v>4</v>
      </c>
      <c r="B5" s="8">
        <v>2</v>
      </c>
      <c r="C5" s="4">
        <v>1</v>
      </c>
      <c r="D5" s="139"/>
      <c r="E5" s="123">
        <f>База!I5</f>
        <v>15</v>
      </c>
      <c r="F5" s="119">
        <f>База!J5</f>
        <v>7</v>
      </c>
      <c r="G5" s="119">
        <f>База!K5</f>
        <v>12</v>
      </c>
      <c r="H5" s="119">
        <v>16</v>
      </c>
      <c r="I5" s="119">
        <v>4</v>
      </c>
      <c r="J5" s="119"/>
      <c r="K5" s="119">
        <v>16</v>
      </c>
      <c r="L5" s="119"/>
      <c r="M5" s="119"/>
      <c r="N5" s="119"/>
      <c r="O5" s="119"/>
      <c r="P5" s="119"/>
      <c r="Q5" s="119"/>
      <c r="R5" s="122"/>
      <c r="S5" s="152">
        <f t="shared" si="0"/>
        <v>233</v>
      </c>
      <c r="T5" s="119">
        <f t="shared" si="1"/>
        <v>270</v>
      </c>
      <c r="U5" s="128">
        <f t="shared" si="2"/>
        <v>37</v>
      </c>
      <c r="V5" s="141">
        <f t="shared" si="3"/>
        <v>1.1587982832618027</v>
      </c>
    </row>
    <row r="6" spans="1:22" x14ac:dyDescent="0.25">
      <c r="A6" s="132" t="s">
        <v>1</v>
      </c>
      <c r="B6" s="10">
        <v>3</v>
      </c>
      <c r="C6" s="2"/>
      <c r="D6" s="138"/>
      <c r="E6" s="121">
        <f>База!I6</f>
        <v>12</v>
      </c>
      <c r="F6" s="120">
        <f>База!J6</f>
        <v>9</v>
      </c>
      <c r="G6" s="120">
        <f>База!K6</f>
        <v>3</v>
      </c>
      <c r="H6" s="120">
        <v>30</v>
      </c>
      <c r="I6" s="120">
        <v>6</v>
      </c>
      <c r="J6" s="120"/>
      <c r="K6" s="120">
        <v>1</v>
      </c>
      <c r="L6" s="120"/>
      <c r="M6" s="120"/>
      <c r="N6" s="120"/>
      <c r="O6" s="120"/>
      <c r="P6" s="120"/>
      <c r="Q6" s="120"/>
      <c r="R6" s="126"/>
      <c r="S6" s="154">
        <f t="shared" si="0"/>
        <v>177.5</v>
      </c>
      <c r="T6" s="120">
        <f t="shared" si="1"/>
        <v>180</v>
      </c>
      <c r="U6" s="127">
        <f t="shared" si="2"/>
        <v>2.5</v>
      </c>
      <c r="V6" s="145">
        <f t="shared" si="3"/>
        <v>1.0140845070422535</v>
      </c>
    </row>
    <row r="7" spans="1:22" ht="30" x14ac:dyDescent="0.25">
      <c r="A7" s="133" t="s">
        <v>7</v>
      </c>
      <c r="B7" s="8">
        <v>3</v>
      </c>
      <c r="C7" s="4">
        <v>1</v>
      </c>
      <c r="D7" s="139"/>
      <c r="E7" s="123">
        <f>База!I7</f>
        <v>23</v>
      </c>
      <c r="F7" s="119">
        <f>База!J7</f>
        <v>12</v>
      </c>
      <c r="G7" s="119">
        <f>База!K7</f>
        <v>9</v>
      </c>
      <c r="H7" s="119">
        <v>41</v>
      </c>
      <c r="I7" s="119">
        <v>5</v>
      </c>
      <c r="J7" s="119"/>
      <c r="K7" s="119">
        <v>7</v>
      </c>
      <c r="L7" s="119"/>
      <c r="M7" s="119"/>
      <c r="N7" s="119"/>
      <c r="O7" s="119"/>
      <c r="P7" s="119"/>
      <c r="Q7" s="119"/>
      <c r="R7" s="122"/>
      <c r="S7" s="152">
        <f t="shared" si="0"/>
        <v>304.5</v>
      </c>
      <c r="T7" s="119">
        <f t="shared" si="1"/>
        <v>330</v>
      </c>
      <c r="U7" s="128">
        <f t="shared" si="2"/>
        <v>25.5</v>
      </c>
      <c r="V7" s="141">
        <f t="shared" si="3"/>
        <v>1.083743842364532</v>
      </c>
    </row>
    <row r="8" spans="1:22" x14ac:dyDescent="0.25">
      <c r="A8" s="132" t="s">
        <v>2</v>
      </c>
      <c r="B8" s="10">
        <v>1</v>
      </c>
      <c r="C8" s="2">
        <v>2</v>
      </c>
      <c r="D8" s="138"/>
      <c r="E8" s="121">
        <f>База!I8</f>
        <v>20</v>
      </c>
      <c r="F8" s="120">
        <f>База!J8</f>
        <v>14</v>
      </c>
      <c r="G8" s="120">
        <f>База!K8</f>
        <v>7</v>
      </c>
      <c r="H8" s="120">
        <v>44</v>
      </c>
      <c r="I8" s="120">
        <v>8</v>
      </c>
      <c r="J8" s="120"/>
      <c r="K8" s="120">
        <v>7</v>
      </c>
      <c r="L8" s="120"/>
      <c r="M8" s="120"/>
      <c r="N8" s="120"/>
      <c r="O8" s="120"/>
      <c r="P8" s="120"/>
      <c r="Q8" s="120"/>
      <c r="R8" s="126"/>
      <c r="S8" s="154">
        <f t="shared" si="0"/>
        <v>296.5</v>
      </c>
      <c r="T8" s="120">
        <f t="shared" si="1"/>
        <v>360</v>
      </c>
      <c r="U8" s="127">
        <f t="shared" si="2"/>
        <v>63.5</v>
      </c>
      <c r="V8" s="145">
        <f t="shared" si="3"/>
        <v>1.2141652613827993</v>
      </c>
    </row>
    <row r="9" spans="1:22" x14ac:dyDescent="0.25">
      <c r="A9" s="133" t="s">
        <v>6</v>
      </c>
      <c r="B9" s="8">
        <v>2</v>
      </c>
      <c r="C9" s="4"/>
      <c r="D9" s="139"/>
      <c r="E9" s="123">
        <f>База!I9</f>
        <v>6</v>
      </c>
      <c r="F9" s="119">
        <f>База!J9</f>
        <v>6</v>
      </c>
      <c r="G9" s="119">
        <f>База!K9</f>
        <v>0</v>
      </c>
      <c r="H9" s="119">
        <v>7</v>
      </c>
      <c r="I9" s="119">
        <v>4</v>
      </c>
      <c r="J9" s="119"/>
      <c r="K9" s="119"/>
      <c r="L9" s="119"/>
      <c r="M9" s="119"/>
      <c r="N9" s="119"/>
      <c r="O9" s="119"/>
      <c r="P9" s="119"/>
      <c r="Q9" s="119"/>
      <c r="R9" s="122"/>
      <c r="S9" s="152">
        <f t="shared" si="0"/>
        <v>81</v>
      </c>
      <c r="T9" s="119">
        <f t="shared" si="1"/>
        <v>120</v>
      </c>
      <c r="U9" s="128">
        <f t="shared" si="2"/>
        <v>39</v>
      </c>
      <c r="V9" s="141">
        <f t="shared" si="3"/>
        <v>1.4814814814814814</v>
      </c>
    </row>
    <row r="10" spans="1:22" x14ac:dyDescent="0.25">
      <c r="A10" s="132" t="s">
        <v>8</v>
      </c>
      <c r="B10" s="10">
        <v>1</v>
      </c>
      <c r="C10" s="2"/>
      <c r="D10" s="138"/>
      <c r="E10" s="121">
        <f>База!I10</f>
        <v>3</v>
      </c>
      <c r="F10" s="120">
        <f>База!J10</f>
        <v>2</v>
      </c>
      <c r="G10" s="120">
        <f>База!K10</f>
        <v>1</v>
      </c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6"/>
      <c r="S10" s="154">
        <f t="shared" si="0"/>
        <v>34</v>
      </c>
      <c r="T10" s="120">
        <f t="shared" si="1"/>
        <v>60</v>
      </c>
      <c r="U10" s="127">
        <f t="shared" si="2"/>
        <v>26</v>
      </c>
      <c r="V10" s="145">
        <f t="shared" si="3"/>
        <v>1.7647058823529411</v>
      </c>
    </row>
    <row r="11" spans="1:22" ht="15.75" thickBot="1" x14ac:dyDescent="0.3">
      <c r="A11" s="134" t="s">
        <v>3</v>
      </c>
      <c r="B11" s="12">
        <v>1</v>
      </c>
      <c r="C11" s="13"/>
      <c r="D11" s="140"/>
      <c r="E11" s="124">
        <f>База!I11</f>
        <v>2</v>
      </c>
      <c r="F11" s="130">
        <f>База!J11</f>
        <v>3</v>
      </c>
      <c r="G11" s="130">
        <f>База!K11</f>
        <v>0</v>
      </c>
      <c r="H11" s="130">
        <v>4</v>
      </c>
      <c r="I11" s="130"/>
      <c r="J11" s="130"/>
      <c r="K11" s="130"/>
      <c r="L11" s="130"/>
      <c r="M11" s="130"/>
      <c r="N11" s="130"/>
      <c r="O11" s="130"/>
      <c r="P11" s="130"/>
      <c r="Q11" s="130"/>
      <c r="R11" s="125"/>
      <c r="S11" s="153">
        <f t="shared" si="0"/>
        <v>32</v>
      </c>
      <c r="T11" s="130">
        <f t="shared" si="1"/>
        <v>60</v>
      </c>
      <c r="U11" s="129">
        <f t="shared" si="2"/>
        <v>28</v>
      </c>
      <c r="V11" s="142">
        <f t="shared" si="3"/>
        <v>1.875</v>
      </c>
    </row>
    <row r="12" spans="1:22" x14ac:dyDescent="0.25">
      <c r="A12" s="65" t="s">
        <v>71</v>
      </c>
      <c r="B12" s="65">
        <v>60</v>
      </c>
      <c r="C12" s="65">
        <v>150</v>
      </c>
      <c r="D12" s="65">
        <v>500</v>
      </c>
      <c r="E12" s="65">
        <v>5</v>
      </c>
      <c r="F12" s="65">
        <v>6</v>
      </c>
      <c r="G12" s="65">
        <v>7</v>
      </c>
      <c r="H12" s="65">
        <v>1</v>
      </c>
      <c r="I12" s="65">
        <v>2</v>
      </c>
      <c r="J12" s="65">
        <v>0.5</v>
      </c>
      <c r="K12" s="65">
        <v>0.5</v>
      </c>
      <c r="L12" s="65">
        <v>0.5</v>
      </c>
      <c r="M12" s="65">
        <v>4</v>
      </c>
      <c r="N12" s="65">
        <v>0.5</v>
      </c>
      <c r="O12" s="65">
        <v>1.5</v>
      </c>
      <c r="P12" s="65">
        <v>1.5</v>
      </c>
      <c r="Q12" s="65">
        <v>15</v>
      </c>
      <c r="R12" s="65">
        <v>0.1</v>
      </c>
      <c r="S12" s="65"/>
      <c r="T12" s="67"/>
      <c r="U12" s="46">
        <f>SUM(U3:U11)</f>
        <v>157.5</v>
      </c>
      <c r="V12" s="147"/>
    </row>
  </sheetData>
  <mergeCells count="4">
    <mergeCell ref="A1:A2"/>
    <mergeCell ref="B1:D1"/>
    <mergeCell ref="S1:V1"/>
    <mergeCell ref="E1:R1"/>
  </mergeCells>
  <conditionalFormatting sqref="U3:U1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7766-DFDA-4C0E-8F03-895D26D1386A}">
  <dimension ref="A1:F68"/>
  <sheetViews>
    <sheetView topLeftCell="A43" workbookViewId="0">
      <selection activeCell="G63" sqref="G63"/>
    </sheetView>
  </sheetViews>
  <sheetFormatPr defaultRowHeight="15" x14ac:dyDescent="0.25"/>
  <cols>
    <col min="1" max="1" width="4.42578125" bestFit="1" customWidth="1"/>
    <col min="2" max="2" width="16" style="54" bestFit="1" customWidth="1"/>
    <col min="3" max="3" width="14" customWidth="1"/>
    <col min="4" max="4" width="14.85546875" customWidth="1"/>
    <col min="5" max="5" width="14" bestFit="1" customWidth="1"/>
    <col min="6" max="6" width="11.85546875" bestFit="1" customWidth="1"/>
  </cols>
  <sheetData>
    <row r="1" spans="1:6" x14ac:dyDescent="0.25">
      <c r="A1" s="49">
        <v>1</v>
      </c>
      <c r="B1" s="55">
        <v>569887</v>
      </c>
      <c r="C1" s="45"/>
      <c r="D1" s="45"/>
      <c r="E1" s="51">
        <v>74106696</v>
      </c>
      <c r="F1" s="50">
        <f>E1/COUNT(A:A)</f>
        <v>1089804.3529411764</v>
      </c>
    </row>
    <row r="2" spans="1:6" x14ac:dyDescent="0.25">
      <c r="A2" s="49">
        <v>2</v>
      </c>
      <c r="B2" s="55">
        <v>1150336</v>
      </c>
      <c r="C2" s="45"/>
      <c r="D2" s="45"/>
      <c r="E2" s="45">
        <f>SUM(B:B)</f>
        <v>75685389</v>
      </c>
    </row>
    <row r="3" spans="1:6" x14ac:dyDescent="0.25">
      <c r="A3" s="49">
        <v>3</v>
      </c>
      <c r="B3" s="55">
        <v>945862</v>
      </c>
      <c r="C3" s="45"/>
      <c r="D3" s="45"/>
      <c r="E3" s="45">
        <f>E1-E2</f>
        <v>-1578693</v>
      </c>
    </row>
    <row r="4" spans="1:6" x14ac:dyDescent="0.25">
      <c r="A4" s="49">
        <v>4</v>
      </c>
      <c r="B4" s="55">
        <v>409835</v>
      </c>
    </row>
    <row r="5" spans="1:6" x14ac:dyDescent="0.25">
      <c r="A5" s="49">
        <v>5</v>
      </c>
      <c r="B5" s="55">
        <v>526987</v>
      </c>
      <c r="C5" s="46"/>
    </row>
    <row r="6" spans="1:6" x14ac:dyDescent="0.25">
      <c r="A6" s="49">
        <v>6</v>
      </c>
      <c r="B6" s="55">
        <v>785603</v>
      </c>
    </row>
    <row r="7" spans="1:6" x14ac:dyDescent="0.25">
      <c r="A7" s="49">
        <v>7</v>
      </c>
      <c r="B7" s="55">
        <v>517896</v>
      </c>
    </row>
    <row r="8" spans="1:6" x14ac:dyDescent="0.25">
      <c r="A8" s="49">
        <v>8</v>
      </c>
      <c r="B8" s="55">
        <v>598852</v>
      </c>
    </row>
    <row r="9" spans="1:6" x14ac:dyDescent="0.25">
      <c r="A9" s="49">
        <v>9</v>
      </c>
      <c r="B9" s="55">
        <v>788916</v>
      </c>
    </row>
    <row r="10" spans="1:6" x14ac:dyDescent="0.25">
      <c r="A10" s="49">
        <v>10</v>
      </c>
      <c r="B10" s="55">
        <v>568974</v>
      </c>
    </row>
    <row r="11" spans="1:6" x14ac:dyDescent="0.25">
      <c r="A11" s="49">
        <v>11</v>
      </c>
      <c r="B11" s="55">
        <v>569874</v>
      </c>
    </row>
    <row r="12" spans="1:6" x14ac:dyDescent="0.25">
      <c r="A12" s="49">
        <v>12</v>
      </c>
      <c r="B12" s="55">
        <v>548996</v>
      </c>
    </row>
    <row r="13" spans="1:6" x14ac:dyDescent="0.25">
      <c r="A13" s="49">
        <v>13</v>
      </c>
      <c r="B13" s="55">
        <v>123658</v>
      </c>
    </row>
    <row r="14" spans="1:6" x14ac:dyDescent="0.25">
      <c r="A14" s="49">
        <v>14</v>
      </c>
      <c r="B14" s="55">
        <v>541289</v>
      </c>
    </row>
    <row r="15" spans="1:6" x14ac:dyDescent="0.25">
      <c r="A15" s="49">
        <v>15</v>
      </c>
      <c r="B15" s="55">
        <v>457851</v>
      </c>
    </row>
    <row r="16" spans="1:6" x14ac:dyDescent="0.25">
      <c r="A16" s="49">
        <v>16</v>
      </c>
      <c r="B16" s="55">
        <v>896532</v>
      </c>
    </row>
    <row r="17" spans="1:2" x14ac:dyDescent="0.25">
      <c r="A17" s="49">
        <v>17</v>
      </c>
      <c r="B17" s="55">
        <v>569841</v>
      </c>
    </row>
    <row r="18" spans="1:2" x14ac:dyDescent="0.25">
      <c r="A18" s="49">
        <v>18</v>
      </c>
      <c r="B18" s="55">
        <v>452369</v>
      </c>
    </row>
    <row r="19" spans="1:2" x14ac:dyDescent="0.25">
      <c r="A19" s="49">
        <v>19</v>
      </c>
      <c r="B19" s="55">
        <v>614589</v>
      </c>
    </row>
    <row r="20" spans="1:2" x14ac:dyDescent="0.25">
      <c r="A20" s="49">
        <v>20</v>
      </c>
      <c r="B20" s="55">
        <v>595950</v>
      </c>
    </row>
    <row r="21" spans="1:2" x14ac:dyDescent="0.25">
      <c r="A21" s="49">
        <v>21</v>
      </c>
      <c r="B21" s="55">
        <v>985321</v>
      </c>
    </row>
    <row r="22" spans="1:2" x14ac:dyDescent="0.25">
      <c r="A22" s="49">
        <v>22</v>
      </c>
      <c r="B22" s="55">
        <v>585124</v>
      </c>
    </row>
    <row r="23" spans="1:2" x14ac:dyDescent="0.25">
      <c r="A23" s="49">
        <v>23</v>
      </c>
      <c r="B23" s="55">
        <v>678532</v>
      </c>
    </row>
    <row r="24" spans="1:2" x14ac:dyDescent="0.25">
      <c r="A24" s="49">
        <v>24</v>
      </c>
      <c r="B24" s="55">
        <v>1246384</v>
      </c>
    </row>
    <row r="25" spans="1:2" x14ac:dyDescent="0.25">
      <c r="A25" s="49">
        <v>25</v>
      </c>
      <c r="B25" s="55">
        <v>654123</v>
      </c>
    </row>
    <row r="26" spans="1:2" x14ac:dyDescent="0.25">
      <c r="A26" s="49">
        <v>26</v>
      </c>
      <c r="B26" s="55">
        <v>745112</v>
      </c>
    </row>
    <row r="27" spans="1:2" x14ac:dyDescent="0.25">
      <c r="A27" s="49">
        <v>27</v>
      </c>
      <c r="B27" s="55">
        <v>1452365</v>
      </c>
    </row>
    <row r="28" spans="1:2" x14ac:dyDescent="0.25">
      <c r="A28" s="49">
        <v>28</v>
      </c>
      <c r="B28" s="55">
        <v>541258</v>
      </c>
    </row>
    <row r="29" spans="1:2" x14ac:dyDescent="0.25">
      <c r="A29" s="49">
        <v>29</v>
      </c>
      <c r="B29" s="55">
        <v>854125</v>
      </c>
    </row>
    <row r="30" spans="1:2" x14ac:dyDescent="0.25">
      <c r="A30" s="49">
        <v>30</v>
      </c>
      <c r="B30" s="55">
        <v>985412</v>
      </c>
    </row>
    <row r="31" spans="1:2" x14ac:dyDescent="0.25">
      <c r="A31" s="49">
        <v>31</v>
      </c>
      <c r="B31" s="55">
        <v>745512</v>
      </c>
    </row>
    <row r="32" spans="1:2" x14ac:dyDescent="0.25">
      <c r="A32" s="49">
        <v>32</v>
      </c>
      <c r="B32" s="55">
        <v>845233</v>
      </c>
    </row>
    <row r="33" spans="1:3" x14ac:dyDescent="0.25">
      <c r="A33" s="49">
        <v>33</v>
      </c>
      <c r="B33" s="55">
        <v>745213</v>
      </c>
    </row>
    <row r="34" spans="1:3" x14ac:dyDescent="0.25">
      <c r="A34" s="49">
        <v>34</v>
      </c>
      <c r="B34" s="55">
        <v>985412</v>
      </c>
    </row>
    <row r="35" spans="1:3" x14ac:dyDescent="0.25">
      <c r="A35" s="49">
        <v>35</v>
      </c>
      <c r="B35" s="55">
        <v>854123</v>
      </c>
    </row>
    <row r="36" spans="1:3" x14ac:dyDescent="0.25">
      <c r="A36" s="49">
        <v>36</v>
      </c>
      <c r="B36" s="55">
        <v>652388</v>
      </c>
    </row>
    <row r="37" spans="1:3" x14ac:dyDescent="0.25">
      <c r="A37" s="49">
        <v>37</v>
      </c>
      <c r="B37" s="55">
        <v>741552</v>
      </c>
    </row>
    <row r="38" spans="1:3" x14ac:dyDescent="0.25">
      <c r="A38" s="49">
        <v>38</v>
      </c>
      <c r="B38" s="55">
        <v>658892</v>
      </c>
    </row>
    <row r="39" spans="1:3" x14ac:dyDescent="0.25">
      <c r="A39" s="49">
        <v>39</v>
      </c>
      <c r="B39" s="55">
        <v>955144</v>
      </c>
    </row>
    <row r="40" spans="1:3" x14ac:dyDescent="0.25">
      <c r="A40" s="49">
        <v>40</v>
      </c>
      <c r="B40" s="55">
        <v>1451258</v>
      </c>
    </row>
    <row r="41" spans="1:3" x14ac:dyDescent="0.25">
      <c r="A41" s="49">
        <v>41</v>
      </c>
      <c r="B41" s="55">
        <v>1000255</v>
      </c>
    </row>
    <row r="42" spans="1:3" x14ac:dyDescent="0.25">
      <c r="A42" s="49">
        <v>42</v>
      </c>
      <c r="B42" s="55">
        <v>1204455</v>
      </c>
    </row>
    <row r="43" spans="1:3" x14ac:dyDescent="0.25">
      <c r="A43" s="49">
        <v>43</v>
      </c>
      <c r="B43" s="55">
        <v>955125</v>
      </c>
    </row>
    <row r="44" spans="1:3" x14ac:dyDescent="0.25">
      <c r="A44" s="49">
        <v>44</v>
      </c>
      <c r="B44" s="55">
        <v>785123</v>
      </c>
    </row>
    <row r="45" spans="1:3" x14ac:dyDescent="0.25">
      <c r="A45" s="49">
        <v>45</v>
      </c>
      <c r="B45" s="55">
        <v>2100255</v>
      </c>
    </row>
    <row r="46" spans="1:3" x14ac:dyDescent="0.25">
      <c r="A46" s="49">
        <v>46</v>
      </c>
      <c r="B46" s="55">
        <v>7541256</v>
      </c>
      <c r="C46" t="s">
        <v>44</v>
      </c>
    </row>
    <row r="47" spans="1:3" x14ac:dyDescent="0.25">
      <c r="A47" s="49">
        <v>47</v>
      </c>
      <c r="B47" s="55">
        <v>1852233</v>
      </c>
    </row>
    <row r="48" spans="1:3" x14ac:dyDescent="0.25">
      <c r="A48" s="49">
        <v>48</v>
      </c>
      <c r="B48" s="55">
        <v>1563214</v>
      </c>
    </row>
    <row r="49" spans="1:2" x14ac:dyDescent="0.25">
      <c r="A49" s="49">
        <v>49</v>
      </c>
      <c r="B49" s="55">
        <v>1324520</v>
      </c>
    </row>
    <row r="50" spans="1:2" x14ac:dyDescent="0.25">
      <c r="A50" s="49">
        <v>50</v>
      </c>
      <c r="B50" s="55">
        <v>1025233</v>
      </c>
    </row>
    <row r="51" spans="1:2" x14ac:dyDescent="0.25">
      <c r="A51" s="49">
        <v>51</v>
      </c>
      <c r="B51" s="55">
        <v>985412</v>
      </c>
    </row>
    <row r="52" spans="1:2" x14ac:dyDescent="0.25">
      <c r="A52" s="49">
        <v>52</v>
      </c>
      <c r="B52" s="55">
        <v>845452</v>
      </c>
    </row>
    <row r="53" spans="1:2" x14ac:dyDescent="0.25">
      <c r="A53" s="49">
        <v>53</v>
      </c>
      <c r="B53" s="55">
        <v>965234</v>
      </c>
    </row>
    <row r="54" spans="1:2" x14ac:dyDescent="0.25">
      <c r="A54" s="49">
        <v>54</v>
      </c>
      <c r="B54" s="55">
        <v>742560</v>
      </c>
    </row>
    <row r="55" spans="1:2" x14ac:dyDescent="0.25">
      <c r="A55" s="49">
        <v>55</v>
      </c>
      <c r="B55" s="55">
        <v>802536</v>
      </c>
    </row>
    <row r="56" spans="1:2" x14ac:dyDescent="0.25">
      <c r="A56" s="49">
        <v>56</v>
      </c>
      <c r="B56" s="55">
        <v>905012</v>
      </c>
    </row>
    <row r="57" spans="1:2" x14ac:dyDescent="0.25">
      <c r="A57" s="49">
        <v>57</v>
      </c>
      <c r="B57" s="55">
        <v>741205</v>
      </c>
    </row>
    <row r="58" spans="1:2" x14ac:dyDescent="0.25">
      <c r="A58" s="49">
        <v>58</v>
      </c>
      <c r="B58" s="55">
        <v>714023</v>
      </c>
    </row>
    <row r="59" spans="1:2" x14ac:dyDescent="0.25">
      <c r="A59" s="49">
        <v>59</v>
      </c>
      <c r="B59" s="55">
        <v>1025223</v>
      </c>
    </row>
    <row r="60" spans="1:2" x14ac:dyDescent="0.25">
      <c r="A60" s="49">
        <v>60</v>
      </c>
      <c r="B60" s="55">
        <v>1541256</v>
      </c>
    </row>
    <row r="61" spans="1:2" x14ac:dyDescent="0.25">
      <c r="A61" s="49">
        <v>61</v>
      </c>
      <c r="B61" s="55">
        <v>852210</v>
      </c>
    </row>
    <row r="62" spans="1:2" x14ac:dyDescent="0.25">
      <c r="A62" s="49">
        <v>62</v>
      </c>
      <c r="B62" s="55">
        <v>905236</v>
      </c>
    </row>
    <row r="63" spans="1:2" x14ac:dyDescent="0.25">
      <c r="A63" s="49">
        <v>63</v>
      </c>
      <c r="B63" s="55">
        <v>1804125</v>
      </c>
    </row>
    <row r="64" spans="1:2" x14ac:dyDescent="0.25">
      <c r="A64" s="49">
        <v>64</v>
      </c>
      <c r="B64" s="55">
        <v>1750652</v>
      </c>
    </row>
    <row r="65" spans="1:2" x14ac:dyDescent="0.25">
      <c r="A65" s="49">
        <v>65</v>
      </c>
      <c r="B65" s="55">
        <v>4512369</v>
      </c>
    </row>
    <row r="66" spans="1:2" x14ac:dyDescent="0.25">
      <c r="A66" s="49">
        <v>66</v>
      </c>
      <c r="B66" s="55">
        <v>3564125</v>
      </c>
    </row>
    <row r="67" spans="1:2" x14ac:dyDescent="0.25">
      <c r="A67" s="49">
        <v>67</v>
      </c>
      <c r="B67" s="55">
        <v>2564889</v>
      </c>
    </row>
    <row r="68" spans="1:2" x14ac:dyDescent="0.25">
      <c r="A68" s="49">
        <v>68</v>
      </c>
      <c r="B68" s="55">
        <v>1515621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3A51-2CA5-4822-8601-FF14FDEC312B}">
  <dimension ref="A1:A10"/>
  <sheetViews>
    <sheetView workbookViewId="0">
      <selection activeCell="A11" sqref="A11"/>
    </sheetView>
  </sheetViews>
  <sheetFormatPr defaultRowHeight="15" x14ac:dyDescent="0.25"/>
  <cols>
    <col min="1" max="1" width="28.140625" customWidth="1"/>
  </cols>
  <sheetData>
    <row r="1" spans="1:1" ht="15.75" customHeight="1" x14ac:dyDescent="0.25">
      <c r="A1" t="s">
        <v>5</v>
      </c>
    </row>
    <row r="2" spans="1:1" ht="15.75" customHeight="1" x14ac:dyDescent="0.25">
      <c r="A2" t="s">
        <v>0</v>
      </c>
    </row>
    <row r="3" spans="1:1" ht="15.75" customHeight="1" x14ac:dyDescent="0.25">
      <c r="A3" t="s">
        <v>4</v>
      </c>
    </row>
    <row r="4" spans="1:1" ht="15.75" customHeight="1" x14ac:dyDescent="0.25">
      <c r="A4" t="s">
        <v>1</v>
      </c>
    </row>
    <row r="5" spans="1:1" ht="15.75" customHeight="1" x14ac:dyDescent="0.25">
      <c r="A5" t="s">
        <v>7</v>
      </c>
    </row>
    <row r="6" spans="1:1" ht="15.75" customHeight="1" x14ac:dyDescent="0.25">
      <c r="A6" t="s">
        <v>2</v>
      </c>
    </row>
    <row r="7" spans="1:1" ht="15.75" customHeight="1" x14ac:dyDescent="0.25">
      <c r="A7" t="s">
        <v>6</v>
      </c>
    </row>
    <row r="8" spans="1:1" ht="15.75" customHeight="1" x14ac:dyDescent="0.25">
      <c r="A8" t="s">
        <v>8</v>
      </c>
    </row>
    <row r="9" spans="1:1" ht="15.75" customHeight="1" x14ac:dyDescent="0.25">
      <c r="A9" t="s">
        <v>3</v>
      </c>
    </row>
    <row r="10" spans="1:1" x14ac:dyDescent="0.25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База</vt:lpstr>
      <vt:lpstr>Провиант</vt:lpstr>
      <vt:lpstr>Энергия</vt:lpstr>
      <vt:lpstr>Лист2</vt:lpstr>
      <vt:lpstr>Список</vt:lpstr>
      <vt:lpstr>страны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LipatovKA</dc:creator>
  <cp:lastModifiedBy>LipatovKA</cp:lastModifiedBy>
  <dcterms:created xsi:type="dcterms:W3CDTF">2015-06-05T18:19:34Z</dcterms:created>
  <dcterms:modified xsi:type="dcterms:W3CDTF">2024-08-20T13:44:34Z</dcterms:modified>
</cp:coreProperties>
</file>