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patovKA\Desktop\_Project Arstotzka\"/>
    </mc:Choice>
  </mc:AlternateContent>
  <xr:revisionPtr revIDLastSave="0" documentId="13_ncr:1_{8E16DB8F-55E1-4089-9DAE-F7752C539D2C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База" sheetId="1" r:id="rId1"/>
    <sheet name="Провиант" sheetId="4" r:id="rId2"/>
    <sheet name="Энергия" sheetId="7" r:id="rId3"/>
    <sheet name="Лист2" sheetId="2" r:id="rId4"/>
    <sheet name="Список" sheetId="5" r:id="rId5"/>
  </sheets>
  <definedNames>
    <definedName name="страны">Список!$A$1:$A$9</definedName>
    <definedName name="электричество">Список!$C$1:$C$2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7" l="1"/>
  <c r="V5" i="7"/>
  <c r="V6" i="7"/>
  <c r="V7" i="7"/>
  <c r="V8" i="7"/>
  <c r="V9" i="7"/>
  <c r="V10" i="7"/>
  <c r="V11" i="7"/>
  <c r="V3" i="7"/>
  <c r="F79" i="4"/>
  <c r="F78" i="4"/>
  <c r="E79" i="4"/>
  <c r="E16" i="4"/>
  <c r="E15" i="4"/>
  <c r="S3" i="7" l="1"/>
  <c r="S4" i="7"/>
  <c r="S5" i="7"/>
  <c r="S6" i="7"/>
  <c r="S7" i="7"/>
  <c r="S8" i="7"/>
  <c r="S9" i="7"/>
  <c r="S10" i="7"/>
  <c r="S11" i="7"/>
  <c r="V22" i="4" l="1"/>
  <c r="V23" i="4"/>
  <c r="V27" i="4" s="1"/>
  <c r="V31" i="4" s="1"/>
  <c r="V35" i="4" s="1"/>
  <c r="V39" i="4" s="1"/>
  <c r="V43" i="4" s="1"/>
  <c r="V47" i="4" s="1"/>
  <c r="V51" i="4" s="1"/>
  <c r="V55" i="4" s="1"/>
  <c r="V59" i="4" s="1"/>
  <c r="V63" i="4" s="1"/>
  <c r="V67" i="4" s="1"/>
  <c r="V71" i="4" s="1"/>
  <c r="V75" i="4" s="1"/>
  <c r="V79" i="4" s="1"/>
  <c r="V83" i="4" s="1"/>
  <c r="V87" i="4" s="1"/>
  <c r="V91" i="4" s="1"/>
  <c r="V95" i="4" s="1"/>
  <c r="V99" i="4" s="1"/>
  <c r="V103" i="4" s="1"/>
  <c r="V107" i="4" s="1"/>
  <c r="V111" i="4" s="1"/>
  <c r="V115" i="4" s="1"/>
  <c r="V119" i="4" s="1"/>
  <c r="V123" i="4" s="1"/>
  <c r="V127" i="4" s="1"/>
  <c r="V131" i="4" s="1"/>
  <c r="V135" i="4" s="1"/>
  <c r="V139" i="4" s="1"/>
  <c r="V143" i="4" s="1"/>
  <c r="V147" i="4" s="1"/>
  <c r="V151" i="4" s="1"/>
  <c r="V155" i="4" s="1"/>
  <c r="V159" i="4" s="1"/>
  <c r="V26" i="4"/>
  <c r="V28" i="4"/>
  <c r="V38" i="4"/>
  <c r="V42" i="4"/>
  <c r="V44" i="4"/>
  <c r="V54" i="4"/>
  <c r="V58" i="4"/>
  <c r="V60" i="4"/>
  <c r="V70" i="4"/>
  <c r="V74" i="4"/>
  <c r="V76" i="4"/>
  <c r="V86" i="4"/>
  <c r="V90" i="4"/>
  <c r="V92" i="4"/>
  <c r="V102" i="4"/>
  <c r="V106" i="4"/>
  <c r="V108" i="4"/>
  <c r="V118" i="4"/>
  <c r="V122" i="4"/>
  <c r="V124" i="4"/>
  <c r="V134" i="4"/>
  <c r="V138" i="4"/>
  <c r="V140" i="4"/>
  <c r="V150" i="4"/>
  <c r="V154" i="4"/>
  <c r="V156" i="4"/>
  <c r="V19" i="4"/>
  <c r="W17" i="4"/>
  <c r="W18" i="4"/>
  <c r="W19" i="4"/>
  <c r="W20" i="4"/>
  <c r="V20" i="4" s="1"/>
  <c r="W21" i="4"/>
  <c r="V21" i="4" s="1"/>
  <c r="W22" i="4"/>
  <c r="W23" i="4"/>
  <c r="W24" i="4"/>
  <c r="V24" i="4" s="1"/>
  <c r="W25" i="4"/>
  <c r="V25" i="4" s="1"/>
  <c r="W26" i="4"/>
  <c r="W27" i="4"/>
  <c r="W28" i="4"/>
  <c r="W29" i="4"/>
  <c r="V29" i="4" s="1"/>
  <c r="W30" i="4"/>
  <c r="V30" i="4" s="1"/>
  <c r="W31" i="4"/>
  <c r="W32" i="4"/>
  <c r="V32" i="4" s="1"/>
  <c r="W33" i="4"/>
  <c r="V33" i="4" s="1"/>
  <c r="W34" i="4"/>
  <c r="V34" i="4" s="1"/>
  <c r="W35" i="4"/>
  <c r="W36" i="4"/>
  <c r="V36" i="4" s="1"/>
  <c r="W37" i="4"/>
  <c r="V37" i="4" s="1"/>
  <c r="W38" i="4"/>
  <c r="W39" i="4"/>
  <c r="W40" i="4"/>
  <c r="V40" i="4" s="1"/>
  <c r="W41" i="4"/>
  <c r="V41" i="4" s="1"/>
  <c r="W42" i="4"/>
  <c r="W43" i="4"/>
  <c r="W44" i="4"/>
  <c r="W45" i="4"/>
  <c r="V45" i="4" s="1"/>
  <c r="W46" i="4"/>
  <c r="V46" i="4" s="1"/>
  <c r="W47" i="4"/>
  <c r="W48" i="4"/>
  <c r="V48" i="4" s="1"/>
  <c r="W49" i="4"/>
  <c r="V49" i="4" s="1"/>
  <c r="W50" i="4"/>
  <c r="V50" i="4" s="1"/>
  <c r="W51" i="4"/>
  <c r="W52" i="4"/>
  <c r="V52" i="4" s="1"/>
  <c r="W53" i="4"/>
  <c r="V53" i="4" s="1"/>
  <c r="W54" i="4"/>
  <c r="W55" i="4"/>
  <c r="W56" i="4"/>
  <c r="V56" i="4" s="1"/>
  <c r="W57" i="4"/>
  <c r="V57" i="4" s="1"/>
  <c r="W58" i="4"/>
  <c r="W59" i="4"/>
  <c r="W60" i="4"/>
  <c r="W61" i="4"/>
  <c r="V61" i="4" s="1"/>
  <c r="W62" i="4"/>
  <c r="V62" i="4" s="1"/>
  <c r="W63" i="4"/>
  <c r="W64" i="4"/>
  <c r="V64" i="4" s="1"/>
  <c r="W65" i="4"/>
  <c r="V65" i="4" s="1"/>
  <c r="W66" i="4"/>
  <c r="V66" i="4" s="1"/>
  <c r="W67" i="4"/>
  <c r="W68" i="4"/>
  <c r="V68" i="4" s="1"/>
  <c r="W69" i="4"/>
  <c r="V69" i="4" s="1"/>
  <c r="W70" i="4"/>
  <c r="W71" i="4"/>
  <c r="W72" i="4"/>
  <c r="V72" i="4" s="1"/>
  <c r="W73" i="4"/>
  <c r="V73" i="4" s="1"/>
  <c r="W74" i="4"/>
  <c r="W75" i="4"/>
  <c r="W76" i="4"/>
  <c r="W77" i="4"/>
  <c r="V77" i="4" s="1"/>
  <c r="W78" i="4"/>
  <c r="V78" i="4" s="1"/>
  <c r="W79" i="4"/>
  <c r="W80" i="4"/>
  <c r="V80" i="4" s="1"/>
  <c r="W81" i="4"/>
  <c r="V81" i="4" s="1"/>
  <c r="W82" i="4"/>
  <c r="V82" i="4" s="1"/>
  <c r="W83" i="4"/>
  <c r="W84" i="4"/>
  <c r="V84" i="4" s="1"/>
  <c r="W85" i="4"/>
  <c r="V85" i="4" s="1"/>
  <c r="W86" i="4"/>
  <c r="W87" i="4"/>
  <c r="W88" i="4"/>
  <c r="V88" i="4" s="1"/>
  <c r="W89" i="4"/>
  <c r="V89" i="4" s="1"/>
  <c r="W90" i="4"/>
  <c r="W91" i="4"/>
  <c r="W92" i="4"/>
  <c r="W93" i="4"/>
  <c r="V93" i="4" s="1"/>
  <c r="W94" i="4"/>
  <c r="V94" i="4" s="1"/>
  <c r="W95" i="4"/>
  <c r="W96" i="4"/>
  <c r="V96" i="4" s="1"/>
  <c r="W97" i="4"/>
  <c r="V97" i="4" s="1"/>
  <c r="W98" i="4"/>
  <c r="V98" i="4" s="1"/>
  <c r="W99" i="4"/>
  <c r="W100" i="4"/>
  <c r="V100" i="4" s="1"/>
  <c r="W101" i="4"/>
  <c r="V101" i="4" s="1"/>
  <c r="W102" i="4"/>
  <c r="W103" i="4"/>
  <c r="W104" i="4"/>
  <c r="V104" i="4" s="1"/>
  <c r="W105" i="4"/>
  <c r="V105" i="4" s="1"/>
  <c r="W106" i="4"/>
  <c r="W107" i="4"/>
  <c r="W108" i="4"/>
  <c r="W109" i="4"/>
  <c r="V109" i="4" s="1"/>
  <c r="W110" i="4"/>
  <c r="V110" i="4" s="1"/>
  <c r="W111" i="4"/>
  <c r="W112" i="4"/>
  <c r="V112" i="4" s="1"/>
  <c r="W113" i="4"/>
  <c r="V113" i="4" s="1"/>
  <c r="W114" i="4"/>
  <c r="V114" i="4" s="1"/>
  <c r="W115" i="4"/>
  <c r="W116" i="4"/>
  <c r="V116" i="4" s="1"/>
  <c r="W117" i="4"/>
  <c r="V117" i="4" s="1"/>
  <c r="W118" i="4"/>
  <c r="W119" i="4"/>
  <c r="W120" i="4"/>
  <c r="V120" i="4" s="1"/>
  <c r="W121" i="4"/>
  <c r="V121" i="4" s="1"/>
  <c r="W122" i="4"/>
  <c r="W123" i="4"/>
  <c r="W124" i="4"/>
  <c r="W125" i="4"/>
  <c r="V125" i="4" s="1"/>
  <c r="W126" i="4"/>
  <c r="V126" i="4" s="1"/>
  <c r="W127" i="4"/>
  <c r="W128" i="4"/>
  <c r="V128" i="4" s="1"/>
  <c r="W129" i="4"/>
  <c r="V129" i="4" s="1"/>
  <c r="W130" i="4"/>
  <c r="V130" i="4" s="1"/>
  <c r="W131" i="4"/>
  <c r="W132" i="4"/>
  <c r="V132" i="4" s="1"/>
  <c r="W133" i="4"/>
  <c r="V133" i="4" s="1"/>
  <c r="W134" i="4"/>
  <c r="W135" i="4"/>
  <c r="W136" i="4"/>
  <c r="V136" i="4" s="1"/>
  <c r="W137" i="4"/>
  <c r="V137" i="4" s="1"/>
  <c r="W138" i="4"/>
  <c r="W139" i="4"/>
  <c r="W140" i="4"/>
  <c r="W141" i="4"/>
  <c r="V141" i="4" s="1"/>
  <c r="W142" i="4"/>
  <c r="V142" i="4" s="1"/>
  <c r="W143" i="4"/>
  <c r="W144" i="4"/>
  <c r="V144" i="4" s="1"/>
  <c r="W145" i="4"/>
  <c r="V145" i="4" s="1"/>
  <c r="W146" i="4"/>
  <c r="V146" i="4" s="1"/>
  <c r="W147" i="4"/>
  <c r="W148" i="4"/>
  <c r="V148" i="4" s="1"/>
  <c r="W149" i="4"/>
  <c r="V149" i="4" s="1"/>
  <c r="W150" i="4"/>
  <c r="W151" i="4"/>
  <c r="W152" i="4"/>
  <c r="V152" i="4" s="1"/>
  <c r="W153" i="4"/>
  <c r="V153" i="4" s="1"/>
  <c r="W154" i="4"/>
  <c r="W155" i="4"/>
  <c r="W156" i="4"/>
  <c r="W157" i="4"/>
  <c r="V157" i="4" s="1"/>
  <c r="W158" i="4"/>
  <c r="V158" i="4" s="1"/>
  <c r="W159" i="4"/>
  <c r="W16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16" i="4"/>
  <c r="AA47" i="4"/>
  <c r="T4" i="7" l="1"/>
  <c r="T5" i="7"/>
  <c r="T6" i="7"/>
  <c r="T7" i="7"/>
  <c r="T8" i="7"/>
  <c r="T9" i="7"/>
  <c r="T10" i="7"/>
  <c r="T11" i="7"/>
  <c r="T3" i="7"/>
  <c r="P4" i="1"/>
  <c r="Q4" i="1"/>
  <c r="P5" i="1"/>
  <c r="Q5" i="1"/>
  <c r="P6" i="1"/>
  <c r="Q6" i="1"/>
  <c r="P7" i="1"/>
  <c r="Q7" i="1"/>
  <c r="P8" i="1"/>
  <c r="Q8" i="1"/>
  <c r="S8" i="1"/>
  <c r="P9" i="1"/>
  <c r="Q9" i="1"/>
  <c r="P10" i="1"/>
  <c r="Q10" i="1"/>
  <c r="P11" i="1"/>
  <c r="Q11" i="1"/>
  <c r="Q3" i="1"/>
  <c r="P3" i="1"/>
  <c r="AC4" i="1"/>
  <c r="AC5" i="1"/>
  <c r="AC7" i="1"/>
  <c r="AD7" i="1"/>
  <c r="AC8" i="1"/>
  <c r="AC9" i="1"/>
  <c r="AC10" i="1"/>
  <c r="AC11" i="1"/>
  <c r="AC3" i="1"/>
  <c r="N4" i="1"/>
  <c r="N5" i="1"/>
  <c r="N6" i="1"/>
  <c r="N7" i="1"/>
  <c r="N8" i="1"/>
  <c r="N9" i="1"/>
  <c r="N10" i="1"/>
  <c r="N11" i="1"/>
  <c r="N3" i="1"/>
  <c r="C14" i="4"/>
  <c r="C12" i="4"/>
  <c r="C13" i="4" s="1"/>
  <c r="K10" i="4"/>
  <c r="H4" i="4"/>
  <c r="H5" i="4"/>
  <c r="H6" i="4"/>
  <c r="H7" i="4"/>
  <c r="H8" i="4"/>
  <c r="H9" i="4"/>
  <c r="H10" i="4"/>
  <c r="H11" i="4"/>
  <c r="H3" i="4"/>
  <c r="S4" i="1"/>
  <c r="S5" i="1"/>
  <c r="S6" i="1"/>
  <c r="S7" i="1"/>
  <c r="S9" i="1"/>
  <c r="S10" i="1"/>
  <c r="S11" i="1"/>
  <c r="S3" i="1"/>
  <c r="E4" i="7"/>
  <c r="F4" i="7"/>
  <c r="G4" i="7"/>
  <c r="E5" i="7"/>
  <c r="F5" i="7"/>
  <c r="G5" i="7"/>
  <c r="E6" i="7"/>
  <c r="F6" i="7"/>
  <c r="G6" i="7"/>
  <c r="E7" i="7"/>
  <c r="U7" i="7" s="1"/>
  <c r="F7" i="7"/>
  <c r="G7" i="7"/>
  <c r="E8" i="7"/>
  <c r="F8" i="7"/>
  <c r="G8" i="7"/>
  <c r="E9" i="7"/>
  <c r="F9" i="7"/>
  <c r="G9" i="7"/>
  <c r="E10" i="7"/>
  <c r="F10" i="7"/>
  <c r="G10" i="7"/>
  <c r="E11" i="7"/>
  <c r="U11" i="7" s="1"/>
  <c r="F11" i="7"/>
  <c r="G11" i="7"/>
  <c r="F3" i="7"/>
  <c r="G3" i="7"/>
  <c r="E3" i="7"/>
  <c r="O3" i="1"/>
  <c r="O4" i="1"/>
  <c r="O5" i="1"/>
  <c r="O6" i="1"/>
  <c r="O7" i="1"/>
  <c r="O8" i="1"/>
  <c r="O9" i="1"/>
  <c r="O10" i="1"/>
  <c r="O11" i="1"/>
  <c r="M11" i="1"/>
  <c r="AD11" i="1" s="1"/>
  <c r="M10" i="1"/>
  <c r="AD10" i="1" s="1"/>
  <c r="M9" i="1"/>
  <c r="AD9" i="1" s="1"/>
  <c r="M8" i="1"/>
  <c r="M7" i="1"/>
  <c r="M6" i="1"/>
  <c r="AD6" i="1" s="1"/>
  <c r="M5" i="1"/>
  <c r="AD5" i="1" s="1"/>
  <c r="M4" i="1"/>
  <c r="M3" i="1"/>
  <c r="M3" i="4"/>
  <c r="M17" i="4"/>
  <c r="A17" i="4" s="1"/>
  <c r="M18" i="4"/>
  <c r="A18" i="4" s="1"/>
  <c r="M19" i="4"/>
  <c r="A19" i="4" s="1"/>
  <c r="M20" i="4"/>
  <c r="A20" i="4" s="1"/>
  <c r="M21" i="4"/>
  <c r="A21" i="4" s="1"/>
  <c r="M22" i="4"/>
  <c r="A22" i="4" s="1"/>
  <c r="M23" i="4"/>
  <c r="A23" i="4" s="1"/>
  <c r="M24" i="4"/>
  <c r="N24" i="4" s="1"/>
  <c r="M25" i="4"/>
  <c r="A25" i="4" s="1"/>
  <c r="M26" i="4"/>
  <c r="A26" i="4" s="1"/>
  <c r="M27" i="4"/>
  <c r="A27" i="4" s="1"/>
  <c r="M28" i="4"/>
  <c r="N28" i="4" s="1"/>
  <c r="M29" i="4"/>
  <c r="A29" i="4" s="1"/>
  <c r="M30" i="4"/>
  <c r="A30" i="4" s="1"/>
  <c r="M31" i="4"/>
  <c r="A31" i="4" s="1"/>
  <c r="M32" i="4"/>
  <c r="K32" i="4" s="1"/>
  <c r="L32" i="4" s="1"/>
  <c r="M33" i="4"/>
  <c r="A33" i="4" s="1"/>
  <c r="M34" i="4"/>
  <c r="A34" i="4" s="1"/>
  <c r="M35" i="4"/>
  <c r="A35" i="4" s="1"/>
  <c r="M36" i="4"/>
  <c r="K36" i="4" s="1"/>
  <c r="L36" i="4" s="1"/>
  <c r="M37" i="4"/>
  <c r="A37" i="4" s="1"/>
  <c r="M38" i="4"/>
  <c r="A38" i="4" s="1"/>
  <c r="M39" i="4"/>
  <c r="A39" i="4" s="1"/>
  <c r="M40" i="4"/>
  <c r="K40" i="4" s="1"/>
  <c r="L40" i="4" s="1"/>
  <c r="M41" i="4"/>
  <c r="A41" i="4" s="1"/>
  <c r="M42" i="4"/>
  <c r="N42" i="4" s="1"/>
  <c r="M43" i="4"/>
  <c r="N43" i="4" s="1"/>
  <c r="M44" i="4"/>
  <c r="K44" i="4" s="1"/>
  <c r="L44" i="4" s="1"/>
  <c r="M45" i="4"/>
  <c r="A45" i="4" s="1"/>
  <c r="M46" i="4"/>
  <c r="N46" i="4" s="1"/>
  <c r="M47" i="4"/>
  <c r="A47" i="4" s="1"/>
  <c r="M48" i="4"/>
  <c r="K48" i="4" s="1"/>
  <c r="L48" i="4" s="1"/>
  <c r="M49" i="4"/>
  <c r="A49" i="4" s="1"/>
  <c r="M50" i="4"/>
  <c r="A50" i="4" s="1"/>
  <c r="M51" i="4"/>
  <c r="N51" i="4" s="1"/>
  <c r="M52" i="4"/>
  <c r="K52" i="4" s="1"/>
  <c r="L52" i="4" s="1"/>
  <c r="J52" i="4" s="1"/>
  <c r="M53" i="4"/>
  <c r="A53" i="4" s="1"/>
  <c r="M54" i="4"/>
  <c r="A54" i="4" s="1"/>
  <c r="M55" i="4"/>
  <c r="M56" i="4"/>
  <c r="N56" i="4" s="1"/>
  <c r="M57" i="4"/>
  <c r="A57" i="4" s="1"/>
  <c r="M58" i="4"/>
  <c r="A58" i="4" s="1"/>
  <c r="M59" i="4"/>
  <c r="K59" i="4" s="1"/>
  <c r="L59" i="4" s="1"/>
  <c r="J59" i="4" s="1"/>
  <c r="M60" i="4"/>
  <c r="N60" i="4" s="1"/>
  <c r="M61" i="4"/>
  <c r="A61" i="4" s="1"/>
  <c r="M62" i="4"/>
  <c r="A62" i="4" s="1"/>
  <c r="M63" i="4"/>
  <c r="K63" i="4" s="1"/>
  <c r="M16" i="4"/>
  <c r="A16" i="4" s="1"/>
  <c r="G4" i="4"/>
  <c r="K4" i="4" s="1"/>
  <c r="G5" i="4"/>
  <c r="K5" i="4" s="1"/>
  <c r="G7" i="4"/>
  <c r="K7" i="4" s="1"/>
  <c r="G8" i="4"/>
  <c r="K8" i="4" s="1"/>
  <c r="G9" i="4"/>
  <c r="K9" i="4" s="1"/>
  <c r="G10" i="4"/>
  <c r="G11" i="4"/>
  <c r="K11" i="4" s="1"/>
  <c r="E6" i="4"/>
  <c r="G6" i="4" s="1"/>
  <c r="K6" i="4" s="1"/>
  <c r="U8" i="7" l="1"/>
  <c r="U4" i="7"/>
  <c r="U9" i="7"/>
  <c r="U5" i="7"/>
  <c r="W5" i="7" s="1"/>
  <c r="T5" i="1" s="1"/>
  <c r="U3" i="7"/>
  <c r="U10" i="7"/>
  <c r="U6" i="7"/>
  <c r="AD3" i="1"/>
  <c r="AD4" i="1"/>
  <c r="AD8" i="1"/>
  <c r="R9" i="1"/>
  <c r="R3" i="1"/>
  <c r="R10" i="1"/>
  <c r="R7" i="1"/>
  <c r="R8" i="1"/>
  <c r="I3" i="4"/>
  <c r="I10" i="4"/>
  <c r="F10" i="4" s="1"/>
  <c r="I8" i="4"/>
  <c r="F8" i="4" s="1"/>
  <c r="I6" i="4"/>
  <c r="F6" i="4" s="1"/>
  <c r="I4" i="4"/>
  <c r="F4" i="4" s="1"/>
  <c r="I11" i="4"/>
  <c r="J11" i="4" s="1"/>
  <c r="I9" i="4"/>
  <c r="J9" i="4" s="1"/>
  <c r="I7" i="4"/>
  <c r="F7" i="4" s="1"/>
  <c r="I5" i="4"/>
  <c r="F5" i="4" s="1"/>
  <c r="F11" i="4"/>
  <c r="F9" i="4"/>
  <c r="W10" i="7"/>
  <c r="T10" i="1" s="1"/>
  <c r="X3" i="7"/>
  <c r="N59" i="4"/>
  <c r="K62" i="4"/>
  <c r="L62" i="4" s="1"/>
  <c r="J62" i="4" s="1"/>
  <c r="K47" i="4"/>
  <c r="L47" i="4" s="1"/>
  <c r="N54" i="4"/>
  <c r="K58" i="4"/>
  <c r="L58" i="4" s="1"/>
  <c r="J58" i="4" s="1"/>
  <c r="K43" i="4"/>
  <c r="L43" i="4" s="1"/>
  <c r="N50" i="4"/>
  <c r="K55" i="4"/>
  <c r="K39" i="4"/>
  <c r="N27" i="4"/>
  <c r="K51" i="4"/>
  <c r="L51" i="4" s="1"/>
  <c r="K35" i="4"/>
  <c r="L35" i="4" s="1"/>
  <c r="J10" i="4"/>
  <c r="N41" i="4"/>
  <c r="N32" i="4"/>
  <c r="A60" i="4"/>
  <c r="A48" i="4"/>
  <c r="A36" i="4"/>
  <c r="A28" i="4"/>
  <c r="A24" i="4"/>
  <c r="N62" i="4"/>
  <c r="N58" i="4"/>
  <c r="N53" i="4"/>
  <c r="N49" i="4"/>
  <c r="N44" i="4"/>
  <c r="N40" i="4"/>
  <c r="N35" i="4"/>
  <c r="N30" i="4"/>
  <c r="N26" i="4"/>
  <c r="K61" i="4"/>
  <c r="L61" i="4" s="1"/>
  <c r="K57" i="4"/>
  <c r="L57" i="4" s="1"/>
  <c r="J57" i="4" s="1"/>
  <c r="K54" i="4"/>
  <c r="L54" i="4" s="1"/>
  <c r="J54" i="4" s="1"/>
  <c r="K50" i="4"/>
  <c r="L50" i="4" s="1"/>
  <c r="K46" i="4"/>
  <c r="L46" i="4" s="1"/>
  <c r="K42" i="4"/>
  <c r="L42" i="4" s="1"/>
  <c r="K38" i="4"/>
  <c r="L38" i="4" s="1"/>
  <c r="K34" i="4"/>
  <c r="L34" i="4" s="1"/>
  <c r="A63" i="4"/>
  <c r="A59" i="4"/>
  <c r="A55" i="4"/>
  <c r="A51" i="4"/>
  <c r="A43" i="4"/>
  <c r="N45" i="4"/>
  <c r="N36" i="4"/>
  <c r="A56" i="4"/>
  <c r="A52" i="4"/>
  <c r="A44" i="4"/>
  <c r="A40" i="4"/>
  <c r="A32" i="4"/>
  <c r="N61" i="4"/>
  <c r="N57" i="4"/>
  <c r="N52" i="4"/>
  <c r="N48" i="4"/>
  <c r="N38" i="4"/>
  <c r="N34" i="4"/>
  <c r="N29" i="4"/>
  <c r="N25" i="4"/>
  <c r="K60" i="4"/>
  <c r="L60" i="4" s="1"/>
  <c r="J60" i="4" s="1"/>
  <c r="K56" i="4"/>
  <c r="L56" i="4" s="1"/>
  <c r="J56" i="4" s="1"/>
  <c r="K53" i="4"/>
  <c r="L53" i="4" s="1"/>
  <c r="K49" i="4"/>
  <c r="L49" i="4" s="1"/>
  <c r="K45" i="4"/>
  <c r="L45" i="4" s="1"/>
  <c r="K41" i="4"/>
  <c r="L41" i="4" s="1"/>
  <c r="K37" i="4"/>
  <c r="L37" i="4" s="1"/>
  <c r="K33" i="4"/>
  <c r="L33" i="4" s="1"/>
  <c r="A46" i="4"/>
  <c r="A42" i="4"/>
  <c r="N37" i="4"/>
  <c r="N33" i="4"/>
  <c r="L63" i="4"/>
  <c r="J63" i="4" s="1"/>
  <c r="J5" i="4"/>
  <c r="X5" i="7" l="1"/>
  <c r="R5" i="1"/>
  <c r="J8" i="4"/>
  <c r="X21" i="7"/>
  <c r="S3" i="4"/>
  <c r="L39" i="4"/>
  <c r="Z111" i="4"/>
  <c r="L55" i="4"/>
  <c r="J55" i="4" s="1"/>
  <c r="X16" i="7"/>
  <c r="X20" i="7"/>
  <c r="X17" i="7"/>
  <c r="X18" i="7"/>
  <c r="X15" i="7"/>
  <c r="X19" i="7"/>
  <c r="W8" i="7"/>
  <c r="T8" i="1" s="1"/>
  <c r="W11" i="7"/>
  <c r="T11" i="1" s="1"/>
  <c r="R11" i="1"/>
  <c r="X10" i="7"/>
  <c r="X7" i="7"/>
  <c r="W4" i="7"/>
  <c r="T4" i="1" s="1"/>
  <c r="R4" i="1"/>
  <c r="X6" i="7"/>
  <c r="R6" i="1"/>
  <c r="W6" i="7"/>
  <c r="T6" i="1" s="1"/>
  <c r="J7" i="4"/>
  <c r="J6" i="4"/>
  <c r="J4" i="4"/>
  <c r="W9" i="7"/>
  <c r="T9" i="1" s="1"/>
  <c r="X9" i="7"/>
  <c r="X8" i="7"/>
  <c r="W7" i="7"/>
  <c r="T7" i="1" s="1"/>
  <c r="X4" i="7"/>
  <c r="X11" i="7"/>
  <c r="W3" i="7"/>
  <c r="T3" i="1" s="1"/>
  <c r="J53" i="4"/>
  <c r="J61" i="4"/>
  <c r="K17" i="4"/>
  <c r="K18" i="4"/>
  <c r="K19" i="4"/>
  <c r="K20" i="4"/>
  <c r="K21" i="4"/>
  <c r="K22" i="4"/>
  <c r="K23" i="4"/>
  <c r="Z47" i="4" s="1"/>
  <c r="K24" i="4"/>
  <c r="K25" i="4"/>
  <c r="K26" i="4"/>
  <c r="K27" i="4"/>
  <c r="K28" i="4"/>
  <c r="K29" i="4"/>
  <c r="K30" i="4"/>
  <c r="K31" i="4"/>
  <c r="Z79" i="4" s="1"/>
  <c r="K16" i="4"/>
  <c r="L16" i="4" s="1"/>
  <c r="G3" i="4"/>
  <c r="K3" i="4" s="1"/>
  <c r="K12" i="4" s="1"/>
  <c r="Q3" i="4"/>
  <c r="Q5" i="4" l="1"/>
  <c r="P3" i="4"/>
  <c r="F3" i="4"/>
  <c r="N3" i="4" s="1"/>
  <c r="W12" i="7"/>
  <c r="O3" i="4"/>
  <c r="J33" i="4"/>
  <c r="J34" i="4"/>
  <c r="J49" i="4"/>
  <c r="L18" i="4"/>
  <c r="J18" i="4" s="1"/>
  <c r="L17" i="4"/>
  <c r="J17" i="4" s="1"/>
  <c r="J16" i="4"/>
  <c r="J38" i="4"/>
  <c r="J47" i="4"/>
  <c r="J46" i="4"/>
  <c r="J45" i="4"/>
  <c r="L31" i="4"/>
  <c r="J31" i="4" s="1"/>
  <c r="Y79" i="4" s="1"/>
  <c r="L30" i="4"/>
  <c r="J30" i="4" s="1"/>
  <c r="J48" i="4"/>
  <c r="L29" i="4"/>
  <c r="J29" i="4" s="1"/>
  <c r="L22" i="4"/>
  <c r="J22" i="4" s="1"/>
  <c r="J32" i="4"/>
  <c r="L21" i="4"/>
  <c r="J21" i="4" s="1"/>
  <c r="J44" i="4"/>
  <c r="L28" i="4"/>
  <c r="J28" i="4" s="1"/>
  <c r="J43" i="4"/>
  <c r="L27" i="4"/>
  <c r="J27" i="4" s="1"/>
  <c r="J42" i="4"/>
  <c r="L26" i="4"/>
  <c r="J26" i="4" s="1"/>
  <c r="J41" i="4"/>
  <c r="L25" i="4"/>
  <c r="J25" i="4" s="1"/>
  <c r="J40" i="4"/>
  <c r="L24" i="4"/>
  <c r="J24" i="4" s="1"/>
  <c r="L23" i="4"/>
  <c r="L20" i="4"/>
  <c r="J20" i="4" s="1"/>
  <c r="J35" i="4"/>
  <c r="L19" i="4"/>
  <c r="J19" i="4" s="1"/>
  <c r="J36" i="4"/>
  <c r="J50" i="4"/>
  <c r="J37" i="4"/>
  <c r="J3" i="4"/>
  <c r="J12" i="4" s="1"/>
  <c r="T16" i="4" l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J23" i="4"/>
  <c r="G16" i="4"/>
  <c r="G17" i="4" s="1" a="1"/>
  <c r="G17" i="4" s="1"/>
  <c r="G18" i="4" s="1" a="1"/>
  <c r="G18" i="4" s="1"/>
  <c r="G19" i="4" s="1" a="1"/>
  <c r="G19" i="4" s="1"/>
  <c r="G20" i="4" s="1" a="1"/>
  <c r="G20" i="4" s="1"/>
  <c r="G21" i="4" s="1" a="1"/>
  <c r="G21" i="4" s="1"/>
  <c r="G22" i="4" s="1" a="1"/>
  <c r="G22" i="4" s="1"/>
  <c r="L21" i="1"/>
  <c r="M21" i="1" s="1"/>
  <c r="U21" i="1" s="1"/>
  <c r="F1" i="2"/>
  <c r="AB6" i="1"/>
  <c r="AC6" i="1" s="1"/>
  <c r="AA7" i="1"/>
  <c r="E2" i="2"/>
  <c r="Y47" i="4" l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G23" i="4" a="1"/>
  <c r="G23" i="4" s="1"/>
  <c r="G24" i="4" s="1" a="1"/>
  <c r="G24" i="4" s="1"/>
  <c r="G25" i="4" s="1" a="1"/>
  <c r="G25" i="4" s="1"/>
  <c r="G26" i="4" s="1" a="1"/>
  <c r="G26" i="4" s="1"/>
  <c r="G27" i="4" s="1" a="1"/>
  <c r="G27" i="4" s="1"/>
  <c r="G28" i="4" s="1" a="1"/>
  <c r="G28" i="4" s="1"/>
  <c r="G29" i="4" s="1" a="1"/>
  <c r="G29" i="4" s="1"/>
  <c r="G30" i="4" s="1" a="1"/>
  <c r="G30" i="4" s="1"/>
  <c r="G31" i="4" s="1" a="1"/>
  <c r="G31" i="4" s="1"/>
  <c r="G32" i="4" s="1" a="1"/>
  <c r="G32" i="4" s="1"/>
  <c r="G33" i="4" s="1" a="1"/>
  <c r="G33" i="4" s="1"/>
  <c r="G34" i="4" s="1" a="1"/>
  <c r="G34" i="4" s="1"/>
  <c r="G35" i="4" s="1" a="1"/>
  <c r="G35" i="4" s="1"/>
  <c r="G36" i="4" s="1" a="1"/>
  <c r="G36" i="4" s="1"/>
  <c r="G37" i="4" s="1" a="1"/>
  <c r="G37" i="4" s="1"/>
  <c r="G38" i="4" s="1" a="1"/>
  <c r="G38" i="4" s="1"/>
  <c r="U17" i="4"/>
  <c r="U16" i="4"/>
  <c r="N31" i="4"/>
  <c r="H16" i="4"/>
  <c r="I16" i="4"/>
  <c r="I17" i="4"/>
  <c r="H17" i="4"/>
  <c r="AC12" i="1"/>
  <c r="U5" i="1"/>
  <c r="Y9" i="1"/>
  <c r="U3" i="1"/>
  <c r="Y3" i="1"/>
  <c r="W3" i="1"/>
  <c r="X3" i="1"/>
  <c r="AP4" i="1"/>
  <c r="AP5" i="1"/>
  <c r="AP6" i="1"/>
  <c r="AP7" i="1"/>
  <c r="AP8" i="1"/>
  <c r="AP9" i="1"/>
  <c r="AP10" i="1"/>
  <c r="AP11" i="1"/>
  <c r="AP3" i="1"/>
  <c r="F4" i="1"/>
  <c r="F5" i="1"/>
  <c r="F6" i="1"/>
  <c r="F7" i="1"/>
  <c r="F8" i="1"/>
  <c r="F9" i="1"/>
  <c r="F10" i="1"/>
  <c r="F11" i="1"/>
  <c r="F3" i="1"/>
  <c r="AA3" i="1"/>
  <c r="L4" i="1"/>
  <c r="L5" i="1"/>
  <c r="L6" i="1"/>
  <c r="L7" i="1"/>
  <c r="L8" i="1"/>
  <c r="L9" i="1"/>
  <c r="L10" i="1"/>
  <c r="L11" i="1"/>
  <c r="L3" i="1"/>
  <c r="Y11" i="1"/>
  <c r="U11" i="1"/>
  <c r="X9" i="1"/>
  <c r="U9" i="1"/>
  <c r="X8" i="1"/>
  <c r="Y8" i="1"/>
  <c r="U8" i="1"/>
  <c r="W8" i="1"/>
  <c r="Y7" i="1"/>
  <c r="U7" i="1"/>
  <c r="X7" i="1"/>
  <c r="U6" i="1"/>
  <c r="AA6" i="1"/>
  <c r="W6" i="1"/>
  <c r="Y6" i="1"/>
  <c r="X6" i="1"/>
  <c r="AA5" i="1"/>
  <c r="Y5" i="1"/>
  <c r="W5" i="1"/>
  <c r="Z5" i="1"/>
  <c r="X5" i="1"/>
  <c r="U4" i="1"/>
  <c r="W4" i="1"/>
  <c r="X4" i="1"/>
  <c r="AA4" i="1"/>
  <c r="Y4" i="1"/>
  <c r="E3" i="2"/>
  <c r="U18" i="4" l="1"/>
  <c r="N39" i="4"/>
  <c r="AA111" i="4" s="1"/>
  <c r="AA79" i="4"/>
  <c r="I18" i="4"/>
  <c r="J39" i="4"/>
  <c r="Y111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H18" i="4"/>
  <c r="G39" i="4" l="1" a="1"/>
  <c r="G39" i="4" s="1"/>
  <c r="G40" i="4" s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47" i="4" s="1" a="1"/>
  <c r="G47" i="4" s="1"/>
  <c r="G48" i="4" s="1" a="1"/>
  <c r="G48" i="4" s="1"/>
  <c r="G49" i="4" s="1" a="1"/>
  <c r="G49" i="4" s="1"/>
  <c r="G50" i="4" s="1" a="1"/>
  <c r="G50" i="4" s="1"/>
  <c r="G51" i="4" s="1" a="1"/>
  <c r="G51" i="4" s="1"/>
  <c r="G52" i="4" s="1" a="1"/>
  <c r="G52" i="4" s="1"/>
  <c r="G53" i="4" s="1" a="1"/>
  <c r="G53" i="4" s="1"/>
  <c r="G54" i="4" s="1" a="1"/>
  <c r="G54" i="4" s="1"/>
  <c r="G55" i="4" s="1" a="1"/>
  <c r="G55" i="4" s="1"/>
  <c r="G56" i="4" s="1" a="1"/>
  <c r="G56" i="4" s="1"/>
  <c r="G57" i="4" s="1" a="1"/>
  <c r="G57" i="4" s="1"/>
  <c r="G58" i="4" s="1" a="1"/>
  <c r="G58" i="4" s="1"/>
  <c r="G59" i="4" s="1" a="1"/>
  <c r="G59" i="4" s="1"/>
  <c r="G60" i="4" s="1" a="1"/>
  <c r="G60" i="4" s="1"/>
  <c r="G61" i="4" s="1" a="1"/>
  <c r="G61" i="4" s="1"/>
  <c r="G62" i="4" s="1" a="1"/>
  <c r="G62" i="4" s="1"/>
  <c r="G63" i="4" s="1" a="1"/>
  <c r="G63" i="4" s="1"/>
  <c r="U19" i="4"/>
  <c r="I19" i="4"/>
  <c r="N47" i="4"/>
  <c r="N55" i="4" s="1"/>
  <c r="H19" i="4"/>
  <c r="U20" i="4" l="1"/>
  <c r="N63" i="4"/>
  <c r="I20" i="4"/>
  <c r="J51" i="4"/>
  <c r="H20" i="4"/>
  <c r="U21" i="4" l="1"/>
  <c r="I21" i="4"/>
  <c r="H21" i="4"/>
  <c r="U22" i="4" l="1"/>
  <c r="I22" i="4"/>
  <c r="H22" i="4"/>
  <c r="U23" i="4" l="1"/>
  <c r="I23" i="4"/>
  <c r="H23" i="4"/>
  <c r="U24" i="4" l="1"/>
  <c r="I24" i="4"/>
  <c r="H24" i="4"/>
  <c r="U25" i="4" l="1"/>
  <c r="I25" i="4"/>
  <c r="H25" i="4"/>
  <c r="U26" i="4" l="1"/>
  <c r="I26" i="4"/>
  <c r="H26" i="4"/>
  <c r="U27" i="4" l="1"/>
  <c r="I27" i="4"/>
  <c r="H27" i="4"/>
  <c r="U28" i="4" l="1"/>
  <c r="I28" i="4"/>
  <c r="H28" i="4"/>
  <c r="U29" i="4" l="1"/>
  <c r="I29" i="4"/>
  <c r="H29" i="4"/>
  <c r="U30" i="4" l="1"/>
  <c r="I30" i="4"/>
  <c r="H30" i="4"/>
  <c r="U31" i="4" l="1"/>
  <c r="I31" i="4"/>
  <c r="H31" i="4"/>
  <c r="U32" i="4" l="1"/>
  <c r="I32" i="4"/>
  <c r="H32" i="4"/>
  <c r="U33" i="4" l="1"/>
  <c r="I33" i="4"/>
  <c r="H33" i="4"/>
  <c r="U34" i="4" l="1"/>
  <c r="I34" i="4"/>
  <c r="H34" i="4"/>
  <c r="U35" i="4" l="1"/>
  <c r="I35" i="4"/>
  <c r="H35" i="4"/>
  <c r="U36" i="4" l="1"/>
  <c r="I36" i="4"/>
  <c r="H36" i="4"/>
  <c r="U37" i="4" l="1"/>
  <c r="I37" i="4"/>
  <c r="H37" i="4"/>
  <c r="U38" i="4" l="1"/>
  <c r="I38" i="4"/>
  <c r="H38" i="4"/>
  <c r="U39" i="4" l="1"/>
  <c r="I39" i="4"/>
  <c r="H39" i="4"/>
  <c r="U40" i="4" l="1"/>
  <c r="I40" i="4"/>
  <c r="H40" i="4"/>
  <c r="U41" i="4" l="1"/>
  <c r="I41" i="4"/>
  <c r="H41" i="4"/>
  <c r="U42" i="4" l="1"/>
  <c r="I42" i="4"/>
  <c r="H42" i="4"/>
  <c r="U43" i="4" l="1"/>
  <c r="I43" i="4"/>
  <c r="H43" i="4"/>
  <c r="U44" i="4" l="1"/>
  <c r="I44" i="4"/>
  <c r="H44" i="4"/>
  <c r="U45" i="4" l="1"/>
  <c r="I45" i="4"/>
  <c r="H45" i="4"/>
  <c r="U46" i="4" l="1"/>
  <c r="I46" i="4"/>
  <c r="H46" i="4"/>
  <c r="U47" i="4" l="1"/>
  <c r="I47" i="4"/>
  <c r="H47" i="4"/>
  <c r="U48" i="4" l="1"/>
  <c r="I48" i="4"/>
  <c r="H48" i="4"/>
  <c r="U49" i="4" l="1"/>
  <c r="I49" i="4"/>
  <c r="H49" i="4"/>
  <c r="U50" i="4" l="1"/>
  <c r="I50" i="4"/>
  <c r="H50" i="4"/>
  <c r="U51" i="4" l="1"/>
  <c r="I51" i="4"/>
  <c r="H51" i="4"/>
  <c r="U52" i="4" l="1"/>
  <c r="I52" i="4"/>
  <c r="H52" i="4"/>
  <c r="U53" i="4" l="1"/>
  <c r="I53" i="4"/>
  <c r="H53" i="4"/>
  <c r="U54" i="4" l="1"/>
  <c r="I54" i="4"/>
  <c r="H54" i="4"/>
  <c r="U55" i="4" l="1"/>
  <c r="I55" i="4"/>
  <c r="H55" i="4"/>
  <c r="U56" i="4" l="1"/>
  <c r="I56" i="4"/>
  <c r="H56" i="4"/>
  <c r="U57" i="4" l="1"/>
  <c r="I57" i="4"/>
  <c r="H57" i="4"/>
  <c r="U58" i="4" l="1"/>
  <c r="I58" i="4"/>
  <c r="H58" i="4"/>
  <c r="U59" i="4" l="1"/>
  <c r="I59" i="4"/>
  <c r="H59" i="4"/>
  <c r="U60" i="4" l="1"/>
  <c r="I60" i="4"/>
  <c r="H60" i="4"/>
  <c r="U61" i="4" l="1"/>
  <c r="I61" i="4"/>
  <c r="H61" i="4"/>
  <c r="U62" i="4" l="1"/>
  <c r="I63" i="4"/>
  <c r="I62" i="4"/>
  <c r="H62" i="4"/>
  <c r="U63" i="4" l="1"/>
  <c r="H63" i="4"/>
  <c r="U64" i="4" l="1"/>
  <c r="U65" i="4" l="1"/>
  <c r="U66" i="4" l="1"/>
  <c r="U67" i="4" l="1"/>
  <c r="U68" i="4" l="1"/>
  <c r="U69" i="4" l="1"/>
  <c r="U70" i="4" l="1"/>
  <c r="U71" i="4" l="1"/>
  <c r="U72" i="4" l="1"/>
  <c r="U73" i="4" l="1"/>
  <c r="U74" i="4" l="1"/>
  <c r="U75" i="4" l="1"/>
  <c r="U76" i="4" l="1"/>
  <c r="U77" i="4" l="1"/>
  <c r="U78" i="4" l="1"/>
  <c r="U79" i="4" l="1"/>
  <c r="U80" i="4" l="1"/>
  <c r="U81" i="4" l="1"/>
  <c r="U82" i="4" l="1"/>
  <c r="U83" i="4" l="1"/>
  <c r="U84" i="4" l="1"/>
  <c r="U85" i="4" l="1"/>
  <c r="U86" i="4" l="1"/>
  <c r="U87" i="4" l="1"/>
  <c r="U88" i="4" l="1"/>
  <c r="U89" i="4" l="1"/>
  <c r="U90" i="4" l="1"/>
  <c r="U91" i="4" l="1"/>
  <c r="U92" i="4" l="1"/>
  <c r="U93" i="4" l="1"/>
  <c r="U94" i="4" l="1"/>
  <c r="U95" i="4" l="1"/>
  <c r="U96" i="4" l="1"/>
  <c r="U97" i="4" l="1"/>
  <c r="U98" i="4" l="1"/>
  <c r="U99" i="4" l="1"/>
  <c r="U100" i="4" l="1"/>
  <c r="U101" i="4" l="1"/>
  <c r="U102" i="4" l="1"/>
  <c r="U103" i="4" l="1"/>
  <c r="U104" i="4" l="1"/>
  <c r="U105" i="4" l="1"/>
  <c r="U106" i="4" l="1"/>
  <c r="U107" i="4" l="1"/>
  <c r="U108" i="4" l="1"/>
  <c r="U109" i="4" l="1"/>
  <c r="U110" i="4" l="1"/>
  <c r="U111" i="4" l="1"/>
  <c r="U112" i="4" l="1"/>
  <c r="U113" i="4" l="1"/>
  <c r="U114" i="4" l="1"/>
  <c r="U115" i="4" l="1"/>
  <c r="U116" i="4" l="1"/>
  <c r="U117" i="4" l="1"/>
  <c r="U118" i="4" l="1"/>
  <c r="U119" i="4" l="1"/>
  <c r="U120" i="4" l="1"/>
  <c r="U121" i="4" l="1"/>
  <c r="U122" i="4" l="1"/>
  <c r="U123" i="4" l="1"/>
  <c r="U124" i="4" l="1"/>
  <c r="U125" i="4" l="1"/>
  <c r="U126" i="4" l="1"/>
  <c r="U127" i="4" l="1"/>
  <c r="U128" i="4" l="1"/>
  <c r="U129" i="4" l="1"/>
  <c r="U130" i="4" l="1"/>
  <c r="U131" i="4" l="1"/>
  <c r="U132" i="4" l="1"/>
  <c r="U133" i="4" l="1"/>
  <c r="U134" i="4" l="1"/>
  <c r="U135" i="4" l="1"/>
  <c r="U136" i="4" l="1"/>
  <c r="U137" i="4" l="1"/>
  <c r="U138" i="4" l="1"/>
  <c r="U139" i="4" l="1"/>
  <c r="U140" i="4" l="1"/>
  <c r="U141" i="4" l="1"/>
  <c r="U142" i="4" l="1"/>
  <c r="U143" i="4" l="1"/>
  <c r="U144" i="4" l="1"/>
  <c r="U145" i="4" l="1"/>
  <c r="U146" i="4" l="1"/>
  <c r="U147" i="4" l="1"/>
  <c r="U148" i="4" l="1"/>
  <c r="U149" i="4" l="1"/>
  <c r="U150" i="4" l="1"/>
  <c r="U151" i="4" l="1"/>
  <c r="U152" i="4" l="1"/>
  <c r="U153" i="4" l="1"/>
  <c r="U154" i="4" l="1"/>
  <c r="U155" i="4" l="1"/>
  <c r="U156" i="4" l="1"/>
  <c r="U157" i="4" l="1"/>
  <c r="U158" i="4" l="1"/>
  <c r="U15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<sst xmlns="http://schemas.openxmlformats.org/spreadsheetml/2006/main" count="158" uniqueCount="105">
  <si>
    <t>Арстотцка</t>
  </si>
  <si>
    <t>Колечия</t>
  </si>
  <si>
    <t>Орбистан</t>
  </si>
  <si>
    <t>Скоатия</t>
  </si>
  <si>
    <t>Импор</t>
  </si>
  <si>
    <t>Антегрия</t>
  </si>
  <si>
    <t>Республия</t>
  </si>
  <si>
    <t>Объединенная Федерация</t>
  </si>
  <si>
    <t>Семистан</t>
  </si>
  <si>
    <t>Страна</t>
  </si>
  <si>
    <t>Флот</t>
  </si>
  <si>
    <t>Авиация</t>
  </si>
  <si>
    <t>Фабрики</t>
  </si>
  <si>
    <t>Заводы</t>
  </si>
  <si>
    <t>Верфи</t>
  </si>
  <si>
    <t>-</t>
  </si>
  <si>
    <t>Тэг</t>
  </si>
  <si>
    <t>ANT</t>
  </si>
  <si>
    <t>ARS</t>
  </si>
  <si>
    <t>IMP</t>
  </si>
  <si>
    <t>KOL</t>
  </si>
  <si>
    <t>UNF</t>
  </si>
  <si>
    <t>OBR</t>
  </si>
  <si>
    <t>REP</t>
  </si>
  <si>
    <t>SEM</t>
  </si>
  <si>
    <t>SKO</t>
  </si>
  <si>
    <t>Сталь</t>
  </si>
  <si>
    <t>Хром</t>
  </si>
  <si>
    <t>Вольфрам</t>
  </si>
  <si>
    <t>Нефть</t>
  </si>
  <si>
    <t>Алюминий</t>
  </si>
  <si>
    <t>Резина</t>
  </si>
  <si>
    <t>ИТОГО ФАБРИКИ</t>
  </si>
  <si>
    <t>Пеха</t>
  </si>
  <si>
    <t>Арта</t>
  </si>
  <si>
    <t>Моторка</t>
  </si>
  <si>
    <t>ВСЕГО</t>
  </si>
  <si>
    <t>ПОЛИТИКА</t>
  </si>
  <si>
    <t>РЕСУРСЫ</t>
  </si>
  <si>
    <t>АРМИЯ</t>
  </si>
  <si>
    <t>Правительство</t>
  </si>
  <si>
    <t>ОСТАТОК</t>
  </si>
  <si>
    <t>ЗДАНИЯ</t>
  </si>
  <si>
    <t>Население</t>
  </si>
  <si>
    <t>*</t>
  </si>
  <si>
    <t>Продукты</t>
  </si>
  <si>
    <t>Производство, тонн в год</t>
  </si>
  <si>
    <t>Необходимо в год, тонн</t>
  </si>
  <si>
    <t>Агрокомплекс</t>
  </si>
  <si>
    <t>Производство, тонн в месяц</t>
  </si>
  <si>
    <t>Необходимо в месяц, тонн</t>
  </si>
  <si>
    <t>ТЕКУЩЕЕ КОЛИЧЕСТВО</t>
  </si>
  <si>
    <t>МЕСЯЦ</t>
  </si>
  <si>
    <t>ПОКАЗАТЕЛЬ</t>
  </si>
  <si>
    <t>НЕУРОЖАЙ</t>
  </si>
  <si>
    <t>РЕКОРД</t>
  </si>
  <si>
    <t>НЕУРОЖАЙ ИЛИ РЕКОРД</t>
  </si>
  <si>
    <t>ЧЬЯ ПРОВЕРКА</t>
  </si>
  <si>
    <t>Элеватор</t>
  </si>
  <si>
    <t>На сколько хватит</t>
  </si>
  <si>
    <t>Элеваторы</t>
  </si>
  <si>
    <t>Базовый % сохранения провианта</t>
  </si>
  <si>
    <t>Стартовые запасы</t>
  </si>
  <si>
    <t>ГЭС</t>
  </si>
  <si>
    <t>АЭС</t>
  </si>
  <si>
    <t>Потребители энергии</t>
  </si>
  <si>
    <t>Производители энергии</t>
  </si>
  <si>
    <t>Фабрика</t>
  </si>
  <si>
    <t>Завод</t>
  </si>
  <si>
    <t>Верфь</t>
  </si>
  <si>
    <t>ТЭС</t>
  </si>
  <si>
    <t>МВт</t>
  </si>
  <si>
    <t>Инфра</t>
  </si>
  <si>
    <t>Узлы</t>
  </si>
  <si>
    <t>Аэродром</t>
  </si>
  <si>
    <t>Морбаза</t>
  </si>
  <si>
    <t>ПВО</t>
  </si>
  <si>
    <t>НПЗ</t>
  </si>
  <si>
    <t>Хранилище</t>
  </si>
  <si>
    <t>Радар</t>
  </si>
  <si>
    <t>Ракеты</t>
  </si>
  <si>
    <t>Ядерный реактор</t>
  </si>
  <si>
    <t>Бункер/Мор</t>
  </si>
  <si>
    <t>Баланс, МВт в месяц</t>
  </si>
  <si>
    <t>Производство, МВт в месяц</t>
  </si>
  <si>
    <t>Необходимо в месяц, МВт</t>
  </si>
  <si>
    <t>скорость стройки</t>
  </si>
  <si>
    <t>скорость исследований</t>
  </si>
  <si>
    <t>кодирование/дешифрование</t>
  </si>
  <si>
    <t>дальность радаров</t>
  </si>
  <si>
    <t>fuel_gain_factor</t>
  </si>
  <si>
    <t>Животноводческий комплекс</t>
  </si>
  <si>
    <t>Энергия</t>
  </si>
  <si>
    <t>Баланс энергии</t>
  </si>
  <si>
    <t>Баланс продуктов</t>
  </si>
  <si>
    <t>Обеспеченность, %</t>
  </si>
  <si>
    <t>производительность завода/верфи</t>
  </si>
  <si>
    <t>еженедельный прирост провизии</t>
  </si>
  <si>
    <t>Неделя</t>
  </si>
  <si>
    <t>Год</t>
  </si>
  <si>
    <t>Месяц</t>
  </si>
  <si>
    <t>Дебаф от электроэнергии</t>
  </si>
  <si>
    <t>Старое</t>
  </si>
  <si>
    <t>Новое</t>
  </si>
  <si>
    <t>Железо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</si>
</sst>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%"/>
    <numFmt numFmtId="168" formatCode="0.000"/>
    <numFmt numFmtId="169" formatCode="_-* #,##0\ _₽_-;\-* #,##0\ _₽_-;_-* &quot;-&quot;???\ _₽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3" borderId="26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22" xfId="1" applyFont="1" applyFill="1" applyBorder="1" applyAlignment="1">
      <alignment horizontal="center" vertical="center"/>
    </xf>
    <xf numFmtId="9" fontId="0" fillId="0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23" xfId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4" fontId="0" fillId="0" borderId="0" xfId="2" applyNumberFormat="1" applyFont="1" applyAlignment="1">
      <alignment horizontal="center" vertical="center"/>
    </xf>
    <xf numFmtId="164" fontId="0" fillId="0" borderId="0" xfId="0" applyNumberFormat="1"/>
    <xf numFmtId="164" fontId="0" fillId="2" borderId="27" xfId="2" applyNumberFormat="1" applyFont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/>
    <xf numFmtId="164" fontId="0" fillId="0" borderId="27" xfId="2" applyNumberFormat="1" applyFont="1" applyFill="1" applyBorder="1" applyAlignment="1">
      <alignment horizontal="center" vertical="center"/>
    </xf>
    <xf numFmtId="164" fontId="0" fillId="2" borderId="28" xfId="2" applyNumberFormat="1" applyFont="1" applyFill="1" applyBorder="1" applyAlignment="1">
      <alignment horizontal="center" vertical="center"/>
    </xf>
    <xf numFmtId="164" fontId="0" fillId="0" borderId="0" xfId="2" applyNumberFormat="1" applyFont="1"/>
    <xf numFmtId="49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0" fillId="2" borderId="33" xfId="2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/>
    </xf>
    <xf numFmtId="164" fontId="0" fillId="2" borderId="34" xfId="2" applyNumberFormat="1" applyFont="1" applyFill="1" applyBorder="1" applyAlignment="1">
      <alignment horizontal="center" vertical="center"/>
    </xf>
    <xf numFmtId="164" fontId="0" fillId="0" borderId="35" xfId="2" applyNumberFormat="1" applyFont="1" applyFill="1" applyBorder="1" applyAlignment="1">
      <alignment horizontal="center" vertical="center"/>
    </xf>
    <xf numFmtId="164" fontId="0" fillId="2" borderId="35" xfId="2" applyNumberFormat="1" applyFont="1" applyFill="1" applyBorder="1" applyAlignment="1">
      <alignment horizontal="center" vertical="center"/>
    </xf>
    <xf numFmtId="164" fontId="0" fillId="2" borderId="36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64" fontId="0" fillId="4" borderId="1" xfId="2" applyNumberFormat="1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164" fontId="0" fillId="0" borderId="5" xfId="2" applyNumberFormat="1" applyFont="1" applyFill="1" applyBorder="1" applyAlignment="1">
      <alignment horizontal="center" vertical="center"/>
    </xf>
    <xf numFmtId="164" fontId="0" fillId="2" borderId="6" xfId="2" applyNumberFormat="1" applyFont="1" applyFill="1" applyBorder="1" applyAlignment="1">
      <alignment horizontal="center" vertical="center"/>
    </xf>
    <xf numFmtId="164" fontId="0" fillId="2" borderId="5" xfId="2" applyNumberFormat="1" applyFont="1" applyFill="1" applyBorder="1" applyAlignment="1">
      <alignment horizontal="center" vertical="center"/>
    </xf>
    <xf numFmtId="164" fontId="0" fillId="2" borderId="7" xfId="2" applyNumberFormat="1" applyFont="1" applyFill="1" applyBorder="1" applyAlignment="1">
      <alignment horizontal="center" vertical="center"/>
    </xf>
    <xf numFmtId="164" fontId="0" fillId="2" borderId="9" xfId="2" applyNumberFormat="1" applyFont="1" applyFill="1" applyBorder="1" applyAlignment="1">
      <alignment horizontal="center" vertical="center"/>
    </xf>
    <xf numFmtId="164" fontId="0" fillId="0" borderId="6" xfId="2" applyNumberFormat="1" applyFont="1" applyFill="1" applyBorder="1" applyAlignment="1">
      <alignment horizontal="center" vertical="center"/>
    </xf>
    <xf numFmtId="164" fontId="0" fillId="2" borderId="8" xfId="2" applyNumberFormat="1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64" fontId="0" fillId="2" borderId="41" xfId="2" applyNumberFormat="1" applyFont="1" applyFill="1" applyBorder="1" applyAlignment="1">
      <alignment horizontal="center" vertical="center"/>
    </xf>
    <xf numFmtId="164" fontId="0" fillId="0" borderId="4" xfId="2" applyNumberFormat="1" applyFont="1" applyFill="1" applyBorder="1" applyAlignment="1">
      <alignment horizontal="center" vertical="center"/>
    </xf>
    <xf numFmtId="164" fontId="0" fillId="2" borderId="4" xfId="2" applyNumberFormat="1" applyFont="1" applyFill="1" applyBorder="1" applyAlignment="1">
      <alignment horizontal="center" vertical="center"/>
    </xf>
    <xf numFmtId="164" fontId="0" fillId="2" borderId="23" xfId="2" applyNumberFormat="1" applyFont="1" applyFill="1" applyBorder="1" applyAlignment="1">
      <alignment horizontal="center" vertical="center"/>
    </xf>
    <xf numFmtId="167" fontId="0" fillId="0" borderId="0" xfId="1" applyNumberFormat="1" applyFont="1"/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0" fillId="0" borderId="0" xfId="2" applyNumberFormat="1" applyFont="1" applyFill="1" applyBorder="1" applyAlignment="1">
      <alignment horizontal="center" vertical="center"/>
    </xf>
    <xf numFmtId="164" fontId="0" fillId="2" borderId="43" xfId="2" applyNumberFormat="1" applyFont="1" applyFill="1" applyBorder="1" applyAlignment="1">
      <alignment horizontal="center" vertical="center"/>
    </xf>
    <xf numFmtId="164" fontId="0" fillId="0" borderId="44" xfId="2" applyNumberFormat="1" applyFont="1" applyFill="1" applyBorder="1" applyAlignment="1">
      <alignment horizontal="center" vertical="center"/>
    </xf>
    <xf numFmtId="164" fontId="0" fillId="2" borderId="44" xfId="2" applyNumberFormat="1" applyFont="1" applyFill="1" applyBorder="1" applyAlignment="1">
      <alignment horizontal="center" vertical="center"/>
    </xf>
    <xf numFmtId="164" fontId="0" fillId="2" borderId="45" xfId="2" applyNumberFormat="1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164" fontId="0" fillId="3" borderId="0" xfId="0" applyNumberFormat="1" applyFill="1" applyAlignment="1">
      <alignment horizontal="right" vertical="center"/>
    </xf>
    <xf numFmtId="0" fontId="0" fillId="3" borderId="46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/>
    </xf>
    <xf numFmtId="164" fontId="0" fillId="2" borderId="38" xfId="2" applyNumberFormat="1" applyFont="1" applyFill="1" applyBorder="1" applyAlignment="1">
      <alignment horizontal="center" vertical="center"/>
    </xf>
    <xf numFmtId="164" fontId="0" fillId="2" borderId="40" xfId="2" applyNumberFormat="1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164" fontId="0" fillId="2" borderId="12" xfId="2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164" fontId="0" fillId="2" borderId="39" xfId="2" applyNumberFormat="1" applyFont="1" applyFill="1" applyBorder="1" applyAlignment="1">
      <alignment horizontal="center" vertical="center"/>
    </xf>
    <xf numFmtId="164" fontId="0" fillId="0" borderId="12" xfId="2" applyNumberFormat="1" applyFont="1" applyFill="1" applyBorder="1" applyAlignment="1">
      <alignment horizontal="center" vertical="center"/>
    </xf>
    <xf numFmtId="164" fontId="0" fillId="2" borderId="47" xfId="2" applyNumberFormat="1" applyFon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2" borderId="40" xfId="1" applyNumberFormat="1" applyFont="1" applyFill="1" applyBorder="1" applyAlignment="1">
      <alignment horizontal="center" vertical="center"/>
    </xf>
    <xf numFmtId="167" fontId="0" fillId="0" borderId="6" xfId="1" applyNumberFormat="1" applyFont="1" applyFill="1" applyBorder="1" applyAlignment="1">
      <alignment horizontal="center" vertical="center"/>
    </xf>
    <xf numFmtId="167" fontId="0" fillId="2" borderId="6" xfId="1" applyNumberFormat="1" applyFont="1" applyFill="1" applyBorder="1" applyAlignment="1">
      <alignment horizontal="center" vertical="center"/>
    </xf>
    <xf numFmtId="167" fontId="0" fillId="2" borderId="9" xfId="1" applyNumberFormat="1" applyFont="1" applyFill="1" applyBorder="1" applyAlignment="1">
      <alignment horizontal="center" vertical="center"/>
    </xf>
    <xf numFmtId="168" fontId="0" fillId="0" borderId="0" xfId="0" applyNumberFormat="1"/>
    <xf numFmtId="169" fontId="0" fillId="0" borderId="0" xfId="0" applyNumberFormat="1"/>
    <xf numFmtId="0" fontId="2" fillId="0" borderId="3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219075</xdr:colOff>
      <xdr:row>1</xdr:row>
      <xdr:rowOff>16094</xdr:rowOff>
    </xdr:from>
    <xdr:to>
      <xdr:col>31</xdr:col>
      <xdr:colOff>457200</xdr:colOff>
      <xdr:row>1</xdr:row>
      <xdr:rowOff>265058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C06816-519B-4825-AED6-EBB955458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3903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32</xdr:col>
      <xdr:colOff>142875</xdr:colOff>
      <xdr:row>1</xdr:row>
      <xdr:rowOff>16094</xdr:rowOff>
    </xdr:from>
    <xdr:to>
      <xdr:col>32</xdr:col>
      <xdr:colOff>381000</xdr:colOff>
      <xdr:row>1</xdr:row>
      <xdr:rowOff>265058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E8C615F-4E66-4186-8E0C-4E7873D2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4306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38</xdr:col>
      <xdr:colOff>170793</xdr:colOff>
      <xdr:row>1</xdr:row>
      <xdr:rowOff>6569</xdr:rowOff>
    </xdr:from>
    <xdr:to>
      <xdr:col>38</xdr:col>
      <xdr:colOff>408918</xdr:colOff>
      <xdr:row>1</xdr:row>
      <xdr:rowOff>254219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B909941-B675-4826-B8B5-0A137A67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8586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36</xdr:col>
      <xdr:colOff>210207</xdr:colOff>
      <xdr:row>1</xdr:row>
      <xdr:rowOff>6569</xdr:rowOff>
    </xdr:from>
    <xdr:to>
      <xdr:col>36</xdr:col>
      <xdr:colOff>448332</xdr:colOff>
      <xdr:row>1</xdr:row>
      <xdr:rowOff>254219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04D8B76-D121-4621-8BAA-78BF02F3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6173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40</xdr:col>
      <xdr:colOff>177362</xdr:colOff>
      <xdr:row>1</xdr:row>
      <xdr:rowOff>19707</xdr:rowOff>
    </xdr:from>
    <xdr:to>
      <xdr:col>40</xdr:col>
      <xdr:colOff>415487</xdr:colOff>
      <xdr:row>1</xdr:row>
      <xdr:rowOff>267357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1450CEF-F5BF-4D6A-B110-5CF7D8A5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6983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39</xdr:col>
      <xdr:colOff>183930</xdr:colOff>
      <xdr:row>1</xdr:row>
      <xdr:rowOff>0</xdr:rowOff>
    </xdr:from>
    <xdr:to>
      <xdr:col>39</xdr:col>
      <xdr:colOff>422055</xdr:colOff>
      <xdr:row>1</xdr:row>
      <xdr:rowOff>247650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D078C52-8436-416A-AC43-8D8E9A74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2637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33</xdr:col>
      <xdr:colOff>170794</xdr:colOff>
      <xdr:row>1</xdr:row>
      <xdr:rowOff>0</xdr:rowOff>
    </xdr:from>
    <xdr:to>
      <xdr:col>33</xdr:col>
      <xdr:colOff>408919</xdr:colOff>
      <xdr:row>1</xdr:row>
      <xdr:rowOff>247650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45EC781-9DA0-4D60-9087-1B770461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4018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37</xdr:col>
      <xdr:colOff>197070</xdr:colOff>
      <xdr:row>1</xdr:row>
      <xdr:rowOff>13138</xdr:rowOff>
    </xdr:from>
    <xdr:to>
      <xdr:col>37</xdr:col>
      <xdr:colOff>435195</xdr:colOff>
      <xdr:row>1</xdr:row>
      <xdr:rowOff>260788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0D6626-6EC8-4003-9DBB-690EB876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3949" y="223345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34</xdr:col>
      <xdr:colOff>197068</xdr:colOff>
      <xdr:row>0</xdr:row>
      <xdr:rowOff>203638</xdr:rowOff>
    </xdr:from>
    <xdr:to>
      <xdr:col>34</xdr:col>
      <xdr:colOff>435193</xdr:colOff>
      <xdr:row>1</xdr:row>
      <xdr:rowOff>241081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BE10B6D-9C3B-4DB5-BEB1-58C3A44D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1206" y="203638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35</xdr:col>
      <xdr:colOff>203638</xdr:colOff>
      <xdr:row>1</xdr:row>
      <xdr:rowOff>19707</xdr:rowOff>
    </xdr:from>
    <xdr:to>
      <xdr:col>35</xdr:col>
      <xdr:colOff>441763</xdr:colOff>
      <xdr:row>1</xdr:row>
      <xdr:rowOff>267357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B8D923C-A3AD-42B4-B551-CF738AA0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8690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426326</xdr:colOff>
      <xdr:row>2</xdr:row>
      <xdr:rowOff>22336</xdr:rowOff>
    </xdr:from>
    <xdr:to>
      <xdr:col>30</xdr:col>
      <xdr:colOff>664451</xdr:colOff>
      <xdr:row>3</xdr:row>
      <xdr:rowOff>657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7F343A6-C893-4AC9-846F-A2735713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981" y="52157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420413</xdr:colOff>
      <xdr:row>5</xdr:row>
      <xdr:rowOff>0</xdr:rowOff>
    </xdr:from>
    <xdr:to>
      <xdr:col>30</xdr:col>
      <xdr:colOff>658538</xdr:colOff>
      <xdr:row>5</xdr:row>
      <xdr:rowOff>247650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E1979C0-EF88-4D60-A04A-8F15D3F2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068" y="130722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426983</xdr:colOff>
      <xdr:row>6</xdr:row>
      <xdr:rowOff>52552</xdr:rowOff>
    </xdr:from>
    <xdr:to>
      <xdr:col>30</xdr:col>
      <xdr:colOff>665108</xdr:colOff>
      <xdr:row>6</xdr:row>
      <xdr:rowOff>300202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46D7601A-0E9A-4349-8C2A-822FCB75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638" y="162910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441435</xdr:colOff>
      <xdr:row>10</xdr:row>
      <xdr:rowOff>1315</xdr:rowOff>
    </xdr:from>
    <xdr:to>
      <xdr:col>30</xdr:col>
      <xdr:colOff>679560</xdr:colOff>
      <xdr:row>10</xdr:row>
      <xdr:rowOff>248965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0128356-8CE7-41E7-9DE5-4823E036B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90" y="2576349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428296</xdr:colOff>
      <xdr:row>6</xdr:row>
      <xdr:rowOff>375745</xdr:rowOff>
    </xdr:from>
    <xdr:to>
      <xdr:col>30</xdr:col>
      <xdr:colOff>666421</xdr:colOff>
      <xdr:row>7</xdr:row>
      <xdr:rowOff>242395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9361265-6A48-4B47-8ABA-DFA6AED3E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951" y="195229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422182</xdr:colOff>
      <xdr:row>8</xdr:row>
      <xdr:rowOff>4295</xdr:rowOff>
    </xdr:from>
    <xdr:to>
      <xdr:col>30</xdr:col>
      <xdr:colOff>660307</xdr:colOff>
      <xdr:row>8</xdr:row>
      <xdr:rowOff>251945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B3F4707-6393-4D76-A56A-43D6395D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932" y="2202372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30</xdr:col>
      <xdr:colOff>417635</xdr:colOff>
      <xdr:row>3</xdr:row>
      <xdr:rowOff>14654</xdr:rowOff>
    </xdr:from>
    <xdr:to>
      <xdr:col>30</xdr:col>
      <xdr:colOff>655760</xdr:colOff>
      <xdr:row>3</xdr:row>
      <xdr:rowOff>263618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E5FF05-C913-4B1D-B8D0-8B4AB32C3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8385" y="776654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30</xdr:col>
      <xdr:colOff>424203</xdr:colOff>
      <xdr:row>4</xdr:row>
      <xdr:rowOff>10359</xdr:rowOff>
    </xdr:from>
    <xdr:to>
      <xdr:col>30</xdr:col>
      <xdr:colOff>662328</xdr:colOff>
      <xdr:row>4</xdr:row>
      <xdr:rowOff>258009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82CE2B0B-383F-486F-B514-CC454DCB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953" y="1036128"/>
          <a:ext cx="23812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zoomScale="130" zoomScaleNormal="13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U3" sqref="U3"/>
    </sheetView>
  </sheetViews>
  <sheetFormatPr defaultRowHeight="15" x14ac:dyDescent="0.25"/>
  <cols>
    <col min="1" max="1" width="17.7109375" customWidth="1"/>
    <col min="2" max="2" width="4.7109375" bestFit="1" customWidth="1"/>
    <col min="3" max="12" width="10.85546875" customWidth="1"/>
    <col min="13" max="13" width="9.7109375" customWidth="1"/>
    <col min="14" max="14" width="13.140625" customWidth="1"/>
    <col min="15" max="15" width="9.7109375" customWidth="1"/>
    <col min="16" max="17" width="3.85546875" bestFit="1" customWidth="1"/>
    <col min="18" max="18" width="11.85546875" bestFit="1" customWidth="1"/>
    <col min="19" max="19" width="12.7109375" bestFit="1" customWidth="1"/>
    <col min="20" max="20" width="12.28515625" bestFit="1" customWidth="1"/>
    <col min="21" max="21" width="10.85546875" bestFit="1" customWidth="1"/>
    <col min="22" max="22" width="10.85546875" customWidth="1"/>
    <col min="24" max="24" width="11.42578125" bestFit="1" customWidth="1"/>
    <col min="25" max="25" width="12" bestFit="1" customWidth="1"/>
    <col min="27" max="27" width="9.140625" customWidth="1"/>
    <col min="28" max="28" width="14.7109375" bestFit="1" customWidth="1"/>
    <col min="29" max="30" width="14.5703125" bestFit="1" customWidth="1"/>
    <col min="31" max="31" width="16" bestFit="1" customWidth="1"/>
    <col min="32" max="32" width="10.140625" customWidth="1"/>
    <col min="33" max="33" width="8.28515625" customWidth="1"/>
    <col min="41" max="41" width="9.140625" customWidth="1"/>
  </cols>
  <sheetData>
    <row r="1" spans="1:42" ht="16.5" thickBot="1" x14ac:dyDescent="0.3">
      <c r="A1" s="140" t="s">
        <v>9</v>
      </c>
      <c r="B1" s="140" t="s">
        <v>16</v>
      </c>
      <c r="C1" s="143" t="s">
        <v>39</v>
      </c>
      <c r="D1" s="147"/>
      <c r="E1" s="147"/>
      <c r="F1" s="148"/>
      <c r="G1" s="140" t="s">
        <v>10</v>
      </c>
      <c r="H1" s="143" t="s">
        <v>11</v>
      </c>
      <c r="I1" s="143" t="s">
        <v>42</v>
      </c>
      <c r="J1" s="147"/>
      <c r="K1" s="147"/>
      <c r="L1" s="147"/>
      <c r="M1" s="147"/>
      <c r="N1" s="147"/>
      <c r="O1" s="148"/>
      <c r="P1" s="156" t="s">
        <v>92</v>
      </c>
      <c r="Q1" s="157"/>
      <c r="R1" s="157"/>
      <c r="S1" s="157"/>
      <c r="T1" s="158"/>
      <c r="U1" s="149" t="s">
        <v>38</v>
      </c>
      <c r="V1" s="149"/>
      <c r="W1" s="150"/>
      <c r="X1" s="150"/>
      <c r="Y1" s="150"/>
      <c r="Z1" s="150"/>
      <c r="AA1" s="151"/>
      <c r="AB1" s="152" t="s">
        <v>43</v>
      </c>
      <c r="AC1" s="154" t="s">
        <v>45</v>
      </c>
      <c r="AD1" s="155"/>
      <c r="AE1" s="145" t="s">
        <v>37</v>
      </c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</row>
    <row r="2" spans="1:42" s="1" customFormat="1" ht="32.25" thickBot="1" x14ac:dyDescent="0.3">
      <c r="A2" s="141"/>
      <c r="B2" s="141"/>
      <c r="C2" s="18" t="s">
        <v>33</v>
      </c>
      <c r="D2" s="18" t="s">
        <v>34</v>
      </c>
      <c r="E2" s="19" t="s">
        <v>35</v>
      </c>
      <c r="F2" s="26" t="s">
        <v>36</v>
      </c>
      <c r="G2" s="142"/>
      <c r="H2" s="144"/>
      <c r="I2" s="18" t="s">
        <v>12</v>
      </c>
      <c r="J2" s="18" t="s">
        <v>13</v>
      </c>
      <c r="K2" s="18" t="s">
        <v>14</v>
      </c>
      <c r="L2" s="55" t="s">
        <v>32</v>
      </c>
      <c r="M2" s="57" t="s">
        <v>48</v>
      </c>
      <c r="N2" s="118" t="s">
        <v>91</v>
      </c>
      <c r="O2" s="123" t="s">
        <v>60</v>
      </c>
      <c r="P2" s="118" t="s">
        <v>70</v>
      </c>
      <c r="Q2" s="118" t="s">
        <v>63</v>
      </c>
      <c r="R2" s="118" t="s">
        <v>85</v>
      </c>
      <c r="S2" s="118" t="s">
        <v>84</v>
      </c>
      <c r="T2" s="118" t="s">
        <v>83</v>
      </c>
      <c r="U2" s="119" t="s">
        <v>104</v>
      </c>
      <c r="V2" s="137" t="s">
        <v>26</v>
      </c>
      <c r="W2" s="18" t="s">
        <v>27</v>
      </c>
      <c r="X2" s="18" t="s">
        <v>28</v>
      </c>
      <c r="Y2" s="18" t="s">
        <v>30</v>
      </c>
      <c r="Z2" s="18" t="s">
        <v>31</v>
      </c>
      <c r="AA2" s="18" t="s">
        <v>29</v>
      </c>
      <c r="AB2" s="153"/>
      <c r="AC2" s="54" t="s">
        <v>47</v>
      </c>
      <c r="AD2" s="54" t="s">
        <v>46</v>
      </c>
      <c r="AE2" s="18" t="s">
        <v>40</v>
      </c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30" t="s">
        <v>41</v>
      </c>
    </row>
    <row r="3" spans="1:42" s="5" customFormat="1" ht="21" customHeight="1" x14ac:dyDescent="0.25">
      <c r="A3" s="40" t="s">
        <v>5</v>
      </c>
      <c r="B3" s="15" t="s">
        <v>17</v>
      </c>
      <c r="C3" s="15">
        <v>10</v>
      </c>
      <c r="D3" s="15">
        <v>5</v>
      </c>
      <c r="E3" s="20"/>
      <c r="F3" s="27">
        <f>SUM(C3:E3)</f>
        <v>15</v>
      </c>
      <c r="G3" s="22"/>
      <c r="H3" s="20"/>
      <c r="I3" s="17">
        <v>7</v>
      </c>
      <c r="J3" s="15">
        <v>7</v>
      </c>
      <c r="K3" s="16">
        <v>0</v>
      </c>
      <c r="L3" s="114">
        <f>SUM(I3:K3)</f>
        <v>14</v>
      </c>
      <c r="M3" s="97">
        <f>Провиант!B3</f>
        <v>3</v>
      </c>
      <c r="N3" s="98">
        <f>Провиант!C3</f>
        <v>3</v>
      </c>
      <c r="O3" s="122">
        <f>Провиант!D3</f>
        <v>0</v>
      </c>
      <c r="P3" s="97">
        <f>Энергия!B3</f>
        <v>1</v>
      </c>
      <c r="Q3" s="98">
        <f>Энергия!C3</f>
        <v>0</v>
      </c>
      <c r="R3" s="98">
        <f>Энергия!U3</f>
        <v>100.25</v>
      </c>
      <c r="S3" s="98">
        <f>Энергия!V3</f>
        <v>60</v>
      </c>
      <c r="T3" s="117">
        <f>Энергия!W3</f>
        <v>-40.25</v>
      </c>
      <c r="U3" s="22">
        <f>10+14+4+3</f>
        <v>31</v>
      </c>
      <c r="V3" s="22"/>
      <c r="W3" s="15">
        <f>11</f>
        <v>11</v>
      </c>
      <c r="X3" s="15">
        <f>23</f>
        <v>23</v>
      </c>
      <c r="Y3" s="15">
        <f>5</f>
        <v>5</v>
      </c>
      <c r="Z3" s="15"/>
      <c r="AA3" s="16">
        <f>70</f>
        <v>70</v>
      </c>
      <c r="AB3" s="79">
        <v>18846379</v>
      </c>
      <c r="AC3" s="120">
        <f>AB3*127/1000</f>
        <v>2393490.1329999999</v>
      </c>
      <c r="AD3" s="121">
        <f>M3*Провиант!$B$12+База!N3*Провиант!$C$12</f>
        <v>946259.7</v>
      </c>
      <c r="AE3" s="22"/>
      <c r="AF3" s="31"/>
      <c r="AG3" s="31"/>
      <c r="AH3" s="31">
        <v>0.05</v>
      </c>
      <c r="AI3" s="31"/>
      <c r="AJ3" s="31"/>
      <c r="AK3" s="31"/>
      <c r="AL3" s="31">
        <v>0.05</v>
      </c>
      <c r="AM3" s="31">
        <v>7.0000000000000007E-2</v>
      </c>
      <c r="AN3" s="31">
        <v>0.1</v>
      </c>
      <c r="AO3" s="36">
        <v>0.73</v>
      </c>
      <c r="AP3" s="32">
        <f>1-SUM(AF3:AO3)</f>
        <v>0</v>
      </c>
    </row>
    <row r="4" spans="1:42" s="3" customFormat="1" ht="21" customHeight="1" x14ac:dyDescent="0.25">
      <c r="A4" s="41" t="s">
        <v>0</v>
      </c>
      <c r="B4" s="2" t="s">
        <v>18</v>
      </c>
      <c r="C4" s="2">
        <v>19</v>
      </c>
      <c r="D4" s="2">
        <v>5</v>
      </c>
      <c r="E4" s="7">
        <v>4</v>
      </c>
      <c r="F4" s="28">
        <f t="shared" ref="F4:F11" si="0">SUM(C4:E4)</f>
        <v>28</v>
      </c>
      <c r="G4" s="23"/>
      <c r="H4" s="7"/>
      <c r="I4" s="10">
        <v>10</v>
      </c>
      <c r="J4" s="2">
        <v>13</v>
      </c>
      <c r="K4" s="11">
        <v>5</v>
      </c>
      <c r="L4" s="115">
        <f t="shared" ref="L4:L11" si="1">SUM(I4:K4)</f>
        <v>28</v>
      </c>
      <c r="M4" s="10">
        <f>Провиант!B4</f>
        <v>15</v>
      </c>
      <c r="N4" s="2">
        <f>Провиант!C4</f>
        <v>10</v>
      </c>
      <c r="O4" s="7">
        <f>Провиант!D4</f>
        <v>0</v>
      </c>
      <c r="P4" s="10">
        <f>Энергия!B4</f>
        <v>3</v>
      </c>
      <c r="Q4" s="2">
        <f>Энергия!C4</f>
        <v>0</v>
      </c>
      <c r="R4" s="2">
        <f>Энергия!U4</f>
        <v>214.75</v>
      </c>
      <c r="S4" s="2">
        <f>Энергия!V4</f>
        <v>180</v>
      </c>
      <c r="T4" s="11">
        <f>Энергия!W4</f>
        <v>-34.75</v>
      </c>
      <c r="U4" s="23">
        <f>172+30+27</f>
        <v>229</v>
      </c>
      <c r="V4" s="23"/>
      <c r="W4" s="2">
        <f>12+16</f>
        <v>28</v>
      </c>
      <c r="X4" s="2">
        <f>16</f>
        <v>16</v>
      </c>
      <c r="Y4" s="2">
        <f>92</f>
        <v>92</v>
      </c>
      <c r="Z4" s="2"/>
      <c r="AA4" s="11">
        <f>5</f>
        <v>5</v>
      </c>
      <c r="AB4" s="78">
        <v>75685389</v>
      </c>
      <c r="AC4" s="86">
        <f t="shared" ref="AC4:AC11" si="2">AB4*127/1000</f>
        <v>9612044.4030000009</v>
      </c>
      <c r="AD4" s="91">
        <f>M4*Провиант!$B$12+База!N4*Провиант!$C$12</f>
        <v>4654199</v>
      </c>
      <c r="AE4" s="23"/>
      <c r="AF4" s="33">
        <v>0.4</v>
      </c>
      <c r="AG4" s="33">
        <v>0.25</v>
      </c>
      <c r="AH4" s="33">
        <v>0.25</v>
      </c>
      <c r="AI4" s="33">
        <v>0.1</v>
      </c>
      <c r="AJ4" s="33"/>
      <c r="AK4" s="33"/>
      <c r="AL4" s="33"/>
      <c r="AM4" s="33"/>
      <c r="AN4" s="33"/>
      <c r="AO4" s="37"/>
      <c r="AP4" s="32">
        <f t="shared" ref="AP4:AP11" si="3">1-SUM(AF4:AO4)</f>
        <v>0</v>
      </c>
    </row>
    <row r="5" spans="1:42" s="5" customFormat="1" ht="21" customHeight="1" x14ac:dyDescent="0.25">
      <c r="A5" s="42" t="s">
        <v>4</v>
      </c>
      <c r="B5" s="4" t="s">
        <v>19</v>
      </c>
      <c r="C5" s="4">
        <v>6</v>
      </c>
      <c r="D5" s="4">
        <v>2</v>
      </c>
      <c r="E5" s="6">
        <v>2</v>
      </c>
      <c r="F5" s="27">
        <f t="shared" si="0"/>
        <v>10</v>
      </c>
      <c r="G5" s="24"/>
      <c r="H5" s="6"/>
      <c r="I5" s="8">
        <v>15</v>
      </c>
      <c r="J5" s="4">
        <v>7</v>
      </c>
      <c r="K5" s="9">
        <v>12</v>
      </c>
      <c r="L5" s="114">
        <f t="shared" si="1"/>
        <v>34</v>
      </c>
      <c r="M5" s="8">
        <f>Провиант!B5</f>
        <v>10</v>
      </c>
      <c r="N5" s="4">
        <f>Провиант!C5</f>
        <v>8</v>
      </c>
      <c r="O5" s="6">
        <f>Провиант!D5</f>
        <v>2</v>
      </c>
      <c r="P5" s="8">
        <f>Энергия!B5</f>
        <v>2</v>
      </c>
      <c r="Q5" s="4">
        <f>Энергия!C5</f>
        <v>1</v>
      </c>
      <c r="R5" s="4">
        <f>Энергия!U5</f>
        <v>239.5</v>
      </c>
      <c r="S5" s="4">
        <f>Энергия!V5</f>
        <v>270</v>
      </c>
      <c r="T5" s="9">
        <f>Энергия!W5</f>
        <v>30.5</v>
      </c>
      <c r="U5" s="24">
        <f>20+203+108-5</f>
        <v>326</v>
      </c>
      <c r="V5" s="24"/>
      <c r="W5" s="4">
        <f>40</f>
        <v>40</v>
      </c>
      <c r="X5" s="4">
        <f>189</f>
        <v>189</v>
      </c>
      <c r="Y5" s="4">
        <f>15+28+39</f>
        <v>82</v>
      </c>
      <c r="Z5" s="4">
        <f>342+150</f>
        <v>492</v>
      </c>
      <c r="AA5" s="9">
        <f>12+320</f>
        <v>332</v>
      </c>
      <c r="AB5" s="79">
        <v>65982200</v>
      </c>
      <c r="AC5" s="88">
        <f t="shared" si="2"/>
        <v>8379739.4000000004</v>
      </c>
      <c r="AD5" s="87">
        <f>M5*Провиант!$B$12+База!N5*Провиант!$C$12</f>
        <v>3123359.2</v>
      </c>
      <c r="AE5" s="24"/>
      <c r="AF5" s="34"/>
      <c r="AG5" s="34"/>
      <c r="AH5" s="34"/>
      <c r="AI5" s="34"/>
      <c r="AJ5" s="34">
        <v>0.1</v>
      </c>
      <c r="AK5" s="34">
        <v>0.19</v>
      </c>
      <c r="AL5" s="34">
        <v>0.12</v>
      </c>
      <c r="AM5" s="34">
        <v>0.08</v>
      </c>
      <c r="AN5" s="34">
        <v>0.47</v>
      </c>
      <c r="AO5" s="38">
        <v>0.04</v>
      </c>
      <c r="AP5" s="32">
        <f t="shared" si="3"/>
        <v>0</v>
      </c>
    </row>
    <row r="6" spans="1:42" s="3" customFormat="1" ht="21" customHeight="1" x14ac:dyDescent="0.25">
      <c r="A6" s="41" t="s">
        <v>1</v>
      </c>
      <c r="B6" s="2" t="s">
        <v>20</v>
      </c>
      <c r="C6" s="2">
        <v>22</v>
      </c>
      <c r="D6" s="2">
        <v>4</v>
      </c>
      <c r="E6" s="7"/>
      <c r="F6" s="28">
        <f t="shared" si="0"/>
        <v>26</v>
      </c>
      <c r="G6" s="23"/>
      <c r="H6" s="7"/>
      <c r="I6" s="10">
        <v>12</v>
      </c>
      <c r="J6" s="2">
        <v>9</v>
      </c>
      <c r="K6" s="11">
        <v>3</v>
      </c>
      <c r="L6" s="115">
        <f t="shared" si="1"/>
        <v>24</v>
      </c>
      <c r="M6" s="10">
        <f>Провиант!B6</f>
        <v>22</v>
      </c>
      <c r="N6" s="2">
        <f>Провиант!C6</f>
        <v>20</v>
      </c>
      <c r="O6" s="7">
        <f>Провиант!D6</f>
        <v>0</v>
      </c>
      <c r="P6" s="10">
        <f>Энергия!B6</f>
        <v>3</v>
      </c>
      <c r="Q6" s="2">
        <f>Энергия!C6</f>
        <v>0</v>
      </c>
      <c r="R6" s="2">
        <f>Энергия!U6</f>
        <v>193</v>
      </c>
      <c r="S6" s="2">
        <f>Энергия!V6</f>
        <v>180</v>
      </c>
      <c r="T6" s="11">
        <f>Энергия!W6</f>
        <v>-13</v>
      </c>
      <c r="U6" s="23">
        <f>70+19+10</f>
        <v>99</v>
      </c>
      <c r="V6" s="23"/>
      <c r="W6" s="2">
        <f>10+25</f>
        <v>35</v>
      </c>
      <c r="X6" s="2">
        <f>24</f>
        <v>24</v>
      </c>
      <c r="Y6" s="2">
        <f>50</f>
        <v>50</v>
      </c>
      <c r="Z6" s="2"/>
      <c r="AA6" s="11">
        <f>80</f>
        <v>80</v>
      </c>
      <c r="AB6" s="78">
        <f>119352255+3161910</f>
        <v>122514165</v>
      </c>
      <c r="AC6" s="86">
        <f t="shared" si="2"/>
        <v>15559298.955</v>
      </c>
      <c r="AD6" s="91">
        <f>M6*Провиант!$B$12+База!N6*Провиант!$C$12</f>
        <v>6908398</v>
      </c>
      <c r="AE6" s="23"/>
      <c r="AF6" s="33"/>
      <c r="AG6" s="33"/>
      <c r="AH6" s="33">
        <v>0.13</v>
      </c>
      <c r="AI6" s="33"/>
      <c r="AJ6" s="33"/>
      <c r="AK6" s="33"/>
      <c r="AL6" s="33"/>
      <c r="AM6" s="33">
        <v>0.2</v>
      </c>
      <c r="AN6" s="33">
        <v>0.52</v>
      </c>
      <c r="AO6" s="37">
        <v>0.15</v>
      </c>
      <c r="AP6" s="32">
        <f t="shared" si="3"/>
        <v>0</v>
      </c>
    </row>
    <row r="7" spans="1:42" s="5" customFormat="1" ht="30" x14ac:dyDescent="0.25">
      <c r="A7" s="42" t="s">
        <v>7</v>
      </c>
      <c r="B7" s="4" t="s">
        <v>21</v>
      </c>
      <c r="C7" s="4">
        <v>19</v>
      </c>
      <c r="D7" s="4">
        <v>4</v>
      </c>
      <c r="E7" s="6">
        <v>5</v>
      </c>
      <c r="F7" s="27">
        <f t="shared" si="0"/>
        <v>28</v>
      </c>
      <c r="G7" s="24"/>
      <c r="H7" s="6"/>
      <c r="I7" s="8">
        <v>23</v>
      </c>
      <c r="J7" s="4">
        <v>12</v>
      </c>
      <c r="K7" s="9">
        <v>9</v>
      </c>
      <c r="L7" s="114">
        <f t="shared" si="1"/>
        <v>44</v>
      </c>
      <c r="M7" s="8">
        <f>Провиант!B7</f>
        <v>18</v>
      </c>
      <c r="N7" s="4">
        <f>Провиант!C7</f>
        <v>15</v>
      </c>
      <c r="O7" s="6">
        <f>Провиант!D7</f>
        <v>5</v>
      </c>
      <c r="P7" s="8">
        <f>Энергия!B7</f>
        <v>3</v>
      </c>
      <c r="Q7" s="4">
        <f>Энергия!C7</f>
        <v>1</v>
      </c>
      <c r="R7" s="4">
        <f>Энергия!U7</f>
        <v>316.5</v>
      </c>
      <c r="S7" s="4">
        <f>Энергия!V7</f>
        <v>330</v>
      </c>
      <c r="T7" s="9">
        <f>Энергия!W7</f>
        <v>13.5</v>
      </c>
      <c r="U7" s="24">
        <f>21+50+209</f>
        <v>280</v>
      </c>
      <c r="V7" s="24"/>
      <c r="W7" s="4"/>
      <c r="X7" s="4">
        <f>128</f>
        <v>128</v>
      </c>
      <c r="Y7" s="4">
        <f>204+19</f>
        <v>223</v>
      </c>
      <c r="Z7" s="4"/>
      <c r="AA7" s="9">
        <f>7+5+12</f>
        <v>24</v>
      </c>
      <c r="AB7" s="79">
        <v>69419206</v>
      </c>
      <c r="AC7" s="88">
        <f t="shared" si="2"/>
        <v>8816239.1620000005</v>
      </c>
      <c r="AD7" s="87">
        <f>M7*Провиант!$B$12+База!N7*Провиант!$C$12</f>
        <v>5631298.5</v>
      </c>
      <c r="AE7" s="24"/>
      <c r="AF7" s="34"/>
      <c r="AG7" s="34"/>
      <c r="AH7" s="34"/>
      <c r="AI7" s="34"/>
      <c r="AJ7" s="34">
        <v>0.1</v>
      </c>
      <c r="AK7" s="34">
        <v>0.15</v>
      </c>
      <c r="AL7" s="34">
        <v>0.75</v>
      </c>
      <c r="AM7" s="34"/>
      <c r="AN7" s="34"/>
      <c r="AO7" s="38"/>
      <c r="AP7" s="32">
        <f t="shared" si="3"/>
        <v>0</v>
      </c>
    </row>
    <row r="8" spans="1:42" s="3" customFormat="1" ht="21" customHeight="1" x14ac:dyDescent="0.25">
      <c r="A8" s="41" t="s">
        <v>2</v>
      </c>
      <c r="B8" s="2" t="s">
        <v>22</v>
      </c>
      <c r="C8" s="2">
        <v>24</v>
      </c>
      <c r="D8" s="2">
        <v>7</v>
      </c>
      <c r="E8" s="7">
        <v>13</v>
      </c>
      <c r="F8" s="28">
        <f t="shared" si="0"/>
        <v>44</v>
      </c>
      <c r="G8" s="23"/>
      <c r="H8" s="7"/>
      <c r="I8" s="10">
        <v>20</v>
      </c>
      <c r="J8" s="2">
        <v>14</v>
      </c>
      <c r="K8" s="11">
        <v>7</v>
      </c>
      <c r="L8" s="115">
        <f t="shared" si="1"/>
        <v>41</v>
      </c>
      <c r="M8" s="10">
        <f>Провиант!B8</f>
        <v>8</v>
      </c>
      <c r="N8" s="2">
        <f>Провиант!C8</f>
        <v>23</v>
      </c>
      <c r="O8" s="7">
        <f>Провиант!D8</f>
        <v>3</v>
      </c>
      <c r="P8" s="10">
        <f>Энергия!B8</f>
        <v>1</v>
      </c>
      <c r="Q8" s="2">
        <f>Энергия!C8</f>
        <v>2</v>
      </c>
      <c r="R8" s="2">
        <f>Энергия!U8</f>
        <v>310</v>
      </c>
      <c r="S8" s="2">
        <f>Энергия!V8</f>
        <v>360</v>
      </c>
      <c r="T8" s="11">
        <f>Энергия!W8</f>
        <v>50</v>
      </c>
      <c r="U8" s="23">
        <f>50+125</f>
        <v>175</v>
      </c>
      <c r="V8" s="23"/>
      <c r="W8" s="2">
        <f>12+35</f>
        <v>47</v>
      </c>
      <c r="X8" s="2">
        <f>19+44+77</f>
        <v>140</v>
      </c>
      <c r="Y8" s="2">
        <f>44</f>
        <v>44</v>
      </c>
      <c r="Z8" s="2"/>
      <c r="AA8" s="11">
        <v>5</v>
      </c>
      <c r="AB8" s="78">
        <v>63388546</v>
      </c>
      <c r="AC8" s="86">
        <f t="shared" si="2"/>
        <v>8050345.3420000002</v>
      </c>
      <c r="AD8" s="91">
        <f>M8*Провиант!$B$12+База!N8*Провиант!$C$12</f>
        <v>2754657.7</v>
      </c>
      <c r="AE8" s="23"/>
      <c r="AF8" s="33"/>
      <c r="AG8" s="33"/>
      <c r="AH8" s="33">
        <v>0.11</v>
      </c>
      <c r="AI8" s="33">
        <v>0.4</v>
      </c>
      <c r="AJ8" s="33">
        <v>0.17</v>
      </c>
      <c r="AK8" s="33">
        <v>7.0000000000000007E-2</v>
      </c>
      <c r="AL8" s="33">
        <v>0.15</v>
      </c>
      <c r="AM8" s="33">
        <v>0.1</v>
      </c>
      <c r="AN8" s="33"/>
      <c r="AO8" s="37"/>
      <c r="AP8" s="32">
        <f t="shared" si="3"/>
        <v>0</v>
      </c>
    </row>
    <row r="9" spans="1:42" s="5" customFormat="1" ht="21" customHeight="1" x14ac:dyDescent="0.25">
      <c r="A9" s="42" t="s">
        <v>6</v>
      </c>
      <c r="B9" s="4" t="s">
        <v>23</v>
      </c>
      <c r="C9" s="4">
        <v>9</v>
      </c>
      <c r="D9" s="4">
        <v>3</v>
      </c>
      <c r="E9" s="6"/>
      <c r="F9" s="27">
        <f t="shared" si="0"/>
        <v>12</v>
      </c>
      <c r="G9" s="24"/>
      <c r="H9" s="6"/>
      <c r="I9" s="8">
        <v>6</v>
      </c>
      <c r="J9" s="4">
        <v>6</v>
      </c>
      <c r="K9" s="9">
        <v>0</v>
      </c>
      <c r="L9" s="114">
        <f t="shared" si="1"/>
        <v>12</v>
      </c>
      <c r="M9" s="8">
        <f>Провиант!B9</f>
        <v>4</v>
      </c>
      <c r="N9" s="4">
        <f>Провиант!C9</f>
        <v>4</v>
      </c>
      <c r="O9" s="6">
        <f>Провиант!D9</f>
        <v>0</v>
      </c>
      <c r="P9" s="8">
        <f>Энергия!B9</f>
        <v>2</v>
      </c>
      <c r="Q9" s="4">
        <f>Энергия!C9</f>
        <v>0</v>
      </c>
      <c r="R9" s="4">
        <f>Энергия!U9</f>
        <v>84</v>
      </c>
      <c r="S9" s="4">
        <f>Энергия!V9</f>
        <v>120</v>
      </c>
      <c r="T9" s="9">
        <f>Энергия!W9</f>
        <v>36</v>
      </c>
      <c r="U9" s="24">
        <f>30</f>
        <v>30</v>
      </c>
      <c r="V9" s="24"/>
      <c r="W9" s="4"/>
      <c r="X9" s="4">
        <f>77</f>
        <v>77</v>
      </c>
      <c r="Y9" s="4">
        <f>10+3</f>
        <v>13</v>
      </c>
      <c r="Z9" s="4"/>
      <c r="AA9" s="9">
        <v>8</v>
      </c>
      <c r="AB9" s="79">
        <v>22382937</v>
      </c>
      <c r="AC9" s="88">
        <f t="shared" si="2"/>
        <v>2842632.9989999998</v>
      </c>
      <c r="AD9" s="87">
        <f>M9*Провиант!$B$12+База!N9*Провиант!$C$12</f>
        <v>1261679.6000000001</v>
      </c>
      <c r="AE9" s="24"/>
      <c r="AF9" s="34"/>
      <c r="AG9" s="34"/>
      <c r="AH9" s="34"/>
      <c r="AI9" s="34">
        <v>0.08</v>
      </c>
      <c r="AJ9" s="34">
        <v>0.13</v>
      </c>
      <c r="AK9" s="34">
        <v>0.05</v>
      </c>
      <c r="AL9" s="34">
        <v>0.22</v>
      </c>
      <c r="AM9" s="34">
        <v>0.42</v>
      </c>
      <c r="AN9" s="34">
        <v>0.1</v>
      </c>
      <c r="AO9" s="38"/>
      <c r="AP9" s="32">
        <f t="shared" si="3"/>
        <v>0</v>
      </c>
    </row>
    <row r="10" spans="1:42" s="3" customFormat="1" ht="21" customHeight="1" x14ac:dyDescent="0.25">
      <c r="A10" s="41" t="s">
        <v>8</v>
      </c>
      <c r="B10" s="2" t="s">
        <v>24</v>
      </c>
      <c r="C10" s="2"/>
      <c r="D10" s="2"/>
      <c r="E10" s="7"/>
      <c r="F10" s="28">
        <f t="shared" si="0"/>
        <v>0</v>
      </c>
      <c r="G10" s="23"/>
      <c r="H10" s="7"/>
      <c r="I10" s="10">
        <v>3</v>
      </c>
      <c r="J10" s="2">
        <v>2</v>
      </c>
      <c r="K10" s="11">
        <v>1</v>
      </c>
      <c r="L10" s="115">
        <f t="shared" si="1"/>
        <v>6</v>
      </c>
      <c r="M10" s="10">
        <f>Провиант!B10</f>
        <v>0</v>
      </c>
      <c r="N10" s="2">
        <f>Провиант!C10</f>
        <v>0</v>
      </c>
      <c r="O10" s="7">
        <f>Провиант!D10</f>
        <v>0</v>
      </c>
      <c r="P10" s="10">
        <f>Энергия!B10</f>
        <v>1</v>
      </c>
      <c r="Q10" s="2">
        <f>Энергия!C10</f>
        <v>0</v>
      </c>
      <c r="R10" s="2">
        <f>Энергия!U10</f>
        <v>34</v>
      </c>
      <c r="S10" s="2">
        <f>Энергия!V10</f>
        <v>60</v>
      </c>
      <c r="T10" s="11">
        <f>Энергия!W10</f>
        <v>26</v>
      </c>
      <c r="U10" s="23"/>
      <c r="V10" s="23"/>
      <c r="W10" s="2"/>
      <c r="X10" s="2"/>
      <c r="Y10" s="2"/>
      <c r="Z10" s="2"/>
      <c r="AA10" s="11"/>
      <c r="AB10" s="78"/>
      <c r="AC10" s="86">
        <f t="shared" si="2"/>
        <v>0</v>
      </c>
      <c r="AD10" s="91">
        <f>M10*Провиант!$B$12+База!N10*Провиант!$C$12</f>
        <v>0</v>
      </c>
      <c r="AE10" s="23"/>
      <c r="AF10" s="33"/>
      <c r="AG10" s="33"/>
      <c r="AH10" s="33"/>
      <c r="AI10" s="33"/>
      <c r="AJ10" s="33"/>
      <c r="AK10" s="33"/>
      <c r="AL10" s="33"/>
      <c r="AM10" s="33"/>
      <c r="AN10" s="33"/>
      <c r="AO10" s="37"/>
      <c r="AP10" s="32">
        <f t="shared" si="3"/>
        <v>1</v>
      </c>
    </row>
    <row r="11" spans="1:42" s="5" customFormat="1" ht="21" customHeight="1" thickBot="1" x14ac:dyDescent="0.3">
      <c r="A11" s="43" t="s">
        <v>3</v>
      </c>
      <c r="B11" s="13" t="s">
        <v>25</v>
      </c>
      <c r="C11" s="13">
        <v>9</v>
      </c>
      <c r="D11" s="13"/>
      <c r="E11" s="21"/>
      <c r="F11" s="29">
        <f t="shared" si="0"/>
        <v>9</v>
      </c>
      <c r="G11" s="25"/>
      <c r="H11" s="21"/>
      <c r="I11" s="12">
        <v>2</v>
      </c>
      <c r="J11" s="13">
        <v>3</v>
      </c>
      <c r="K11" s="14">
        <v>0</v>
      </c>
      <c r="L11" s="116">
        <f t="shared" si="1"/>
        <v>5</v>
      </c>
      <c r="M11" s="12">
        <f>Провиант!B11</f>
        <v>15</v>
      </c>
      <c r="N11" s="13">
        <f>Провиант!C11</f>
        <v>20</v>
      </c>
      <c r="O11" s="21">
        <f>Провиант!D11</f>
        <v>5</v>
      </c>
      <c r="P11" s="12">
        <f>Энергия!B11</f>
        <v>1</v>
      </c>
      <c r="Q11" s="13">
        <f>Энергия!C11</f>
        <v>0</v>
      </c>
      <c r="R11" s="13">
        <f>Энергия!U11</f>
        <v>45.75</v>
      </c>
      <c r="S11" s="13">
        <f>Энергия!V11</f>
        <v>60</v>
      </c>
      <c r="T11" s="14">
        <f>Энергия!W11</f>
        <v>14.25</v>
      </c>
      <c r="U11" s="25">
        <f>105</f>
        <v>105</v>
      </c>
      <c r="V11" s="25"/>
      <c r="W11" s="13"/>
      <c r="X11" s="13"/>
      <c r="Y11" s="13">
        <f>18</f>
        <v>18</v>
      </c>
      <c r="Z11" s="13"/>
      <c r="AA11" s="14"/>
      <c r="AB11" s="80">
        <v>17932651</v>
      </c>
      <c r="AC11" s="89">
        <f t="shared" si="2"/>
        <v>2277446.6770000001</v>
      </c>
      <c r="AD11" s="90">
        <f>M11*Провиант!$B$12+База!N11*Провиант!$C$12</f>
        <v>4808398</v>
      </c>
      <c r="AE11" s="25"/>
      <c r="AF11" s="35"/>
      <c r="AG11" s="35"/>
      <c r="AH11" s="35"/>
      <c r="AI11" s="35"/>
      <c r="AJ11" s="35"/>
      <c r="AK11" s="35"/>
      <c r="AL11" s="35">
        <v>0.7</v>
      </c>
      <c r="AM11" s="35">
        <v>0.05</v>
      </c>
      <c r="AN11" s="35">
        <v>0.1</v>
      </c>
      <c r="AO11" s="39">
        <v>0.15</v>
      </c>
      <c r="AP11" s="32">
        <f t="shared" si="3"/>
        <v>0</v>
      </c>
    </row>
    <row r="12" spans="1:42" x14ac:dyDescent="0.25">
      <c r="AB12" s="45"/>
      <c r="AC12" s="45">
        <f>SUM(AC3:AC11)</f>
        <v>57931237.071000002</v>
      </c>
      <c r="AD12" s="45"/>
    </row>
    <row r="13" spans="1:42" x14ac:dyDescent="0.25">
      <c r="AB13" s="45"/>
    </row>
    <row r="21" spans="12:22" x14ac:dyDescent="0.25">
      <c r="L21">
        <f>5000000/350</f>
        <v>14285.714285714286</v>
      </c>
      <c r="M21" s="51">
        <f>L21*1500*2.5/2000</f>
        <v>26785.714285714286</v>
      </c>
      <c r="N21" s="51"/>
      <c r="O21" s="51"/>
      <c r="P21" s="51"/>
      <c r="Q21" s="51"/>
      <c r="R21" s="51"/>
      <c r="S21" s="51"/>
      <c r="T21" s="51"/>
      <c r="U21" s="45">
        <f>M21*12</f>
        <v>321428.57142857142</v>
      </c>
      <c r="V21" s="45"/>
    </row>
  </sheetData>
  <sortState xmlns:xlrd2="http://schemas.microsoft.com/office/spreadsheetml/2017/richdata2" ref="A3:K11">
    <sortCondition ref="A3:A11"/>
  </sortState>
  <mergeCells count="11">
    <mergeCell ref="A1:A2"/>
    <mergeCell ref="G1:G2"/>
    <mergeCell ref="H1:H2"/>
    <mergeCell ref="AE1:AP1"/>
    <mergeCell ref="C1:F1"/>
    <mergeCell ref="U1:AA1"/>
    <mergeCell ref="B1:B2"/>
    <mergeCell ref="AB1:AB2"/>
    <mergeCell ref="AC1:AD1"/>
    <mergeCell ref="I1:O1"/>
    <mergeCell ref="P1:T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E65-EAF7-411E-AD3B-DE11540F6651}">
  <dimension ref="A1:AA159"/>
  <sheetViews>
    <sheetView zoomScale="85" zoomScaleNormal="85" workbookViewId="0">
      <selection activeCell="L3" sqref="L3"/>
    </sheetView>
  </sheetViews>
  <sheetFormatPr defaultRowHeight="15" x14ac:dyDescent="0.25"/>
  <cols>
    <col min="1" max="1" width="14" customWidth="1"/>
    <col min="2" max="2" width="9.7109375" customWidth="1"/>
    <col min="3" max="3" width="12.85546875" customWidth="1"/>
    <col min="4" max="4" width="10.7109375" bestFit="1" customWidth="1"/>
    <col min="5" max="5" width="14.7109375" bestFit="1" customWidth="1"/>
    <col min="6" max="7" width="14.7109375" customWidth="1"/>
    <col min="8" max="8" width="14.5703125" bestFit="1" customWidth="1"/>
    <col min="9" max="9" width="14.5703125" customWidth="1"/>
    <col min="10" max="10" width="11.5703125" bestFit="1" customWidth="1"/>
    <col min="11" max="11" width="14.85546875" customWidth="1"/>
    <col min="12" max="12" width="12.85546875" bestFit="1" customWidth="1"/>
    <col min="13" max="13" width="8.5703125" bestFit="1" customWidth="1"/>
    <col min="14" max="14" width="13" customWidth="1"/>
    <col min="15" max="15" width="12.7109375" bestFit="1" customWidth="1"/>
    <col min="16" max="16" width="10.5703125" bestFit="1" customWidth="1"/>
    <col min="17" max="17" width="12.7109375" customWidth="1"/>
    <col min="18" max="18" width="15.140625" style="59" customWidth="1"/>
    <col min="19" max="19" width="14" customWidth="1"/>
    <col min="20" max="20" width="14.140625" customWidth="1"/>
    <col min="21" max="21" width="16.7109375" customWidth="1"/>
    <col min="25" max="25" width="11.42578125" style="59" bestFit="1" customWidth="1"/>
    <col min="26" max="27" width="9.140625" style="59"/>
  </cols>
  <sheetData>
    <row r="1" spans="1:24" ht="15.75" thickBot="1" x14ac:dyDescent="0.3">
      <c r="A1" s="162" t="s">
        <v>9</v>
      </c>
      <c r="B1" s="160" t="s">
        <v>48</v>
      </c>
      <c r="C1" s="160" t="s">
        <v>91</v>
      </c>
      <c r="D1" s="160" t="s">
        <v>58</v>
      </c>
      <c r="E1" s="152" t="s">
        <v>43</v>
      </c>
      <c r="F1" s="154" t="s">
        <v>94</v>
      </c>
      <c r="G1" s="159"/>
      <c r="H1" s="159"/>
      <c r="I1" s="155"/>
    </row>
    <row r="2" spans="1:24" ht="39" thickBot="1" x14ac:dyDescent="0.3">
      <c r="A2" s="163"/>
      <c r="B2" s="161"/>
      <c r="C2" s="161"/>
      <c r="D2" s="161"/>
      <c r="E2" s="153"/>
      <c r="F2" s="64" t="s">
        <v>62</v>
      </c>
      <c r="G2" s="65" t="s">
        <v>50</v>
      </c>
      <c r="H2" s="111" t="s">
        <v>46</v>
      </c>
      <c r="I2" s="111" t="s">
        <v>49</v>
      </c>
      <c r="L2" s="81" t="s">
        <v>57</v>
      </c>
      <c r="M2" s="81" t="s">
        <v>58</v>
      </c>
      <c r="N2" s="81" t="s">
        <v>62</v>
      </c>
      <c r="O2" s="81" t="s">
        <v>50</v>
      </c>
      <c r="P2" s="81" t="s">
        <v>46</v>
      </c>
      <c r="Q2" s="81" t="s">
        <v>49</v>
      </c>
      <c r="R2" s="81" t="s">
        <v>61</v>
      </c>
      <c r="S2" s="81" t="s">
        <v>101</v>
      </c>
    </row>
    <row r="3" spans="1:24" ht="15.75" customHeight="1" x14ac:dyDescent="0.25">
      <c r="A3" s="69" t="s">
        <v>5</v>
      </c>
      <c r="B3" s="70">
        <v>3</v>
      </c>
      <c r="C3" s="70">
        <v>3</v>
      </c>
      <c r="D3" s="70"/>
      <c r="E3" s="77">
        <v>18846379</v>
      </c>
      <c r="F3" s="56">
        <f>(H3+I3)*2</f>
        <v>1892519.4</v>
      </c>
      <c r="G3" s="107">
        <f t="shared" ref="G3:G11" si="0">E3*127/12000</f>
        <v>199457.51108333335</v>
      </c>
      <c r="H3" s="56">
        <f>B3*$B$12</f>
        <v>900000</v>
      </c>
      <c r="I3" s="56">
        <f>C3*$C$12</f>
        <v>46259.7</v>
      </c>
      <c r="J3" s="113">
        <f>H3+I3*12</f>
        <v>1455116.4</v>
      </c>
      <c r="K3" s="112">
        <f>G3*12</f>
        <v>2393490.1330000004</v>
      </c>
      <c r="L3" s="82" t="s">
        <v>5</v>
      </c>
      <c r="M3" s="83">
        <f>SUMIF($A$3:$A$11,$L$3,D$3:D$11)</f>
        <v>0</v>
      </c>
      <c r="N3" s="83">
        <f>SUMIF($A$3:$A$11,$L$3,F$3:F$11)</f>
        <v>1892519.4</v>
      </c>
      <c r="O3" s="83">
        <f>SUMIF($A$3:$A$11,$L$3,G$3:G$11)</f>
        <v>199457.51108333335</v>
      </c>
      <c r="P3" s="83">
        <f>SUMIF($A$3:$A$11,$L$3,H$3:H$11)</f>
        <v>900000</v>
      </c>
      <c r="Q3" s="83">
        <f>SUMIF($A$3:$A$11,$L$3,I$3:I$11)</f>
        <v>46259.7</v>
      </c>
      <c r="R3" s="129">
        <v>0.7</v>
      </c>
      <c r="S3" s="129">
        <f>IF(SUMIF($A$3:$A$11,$L$3,Энергия!X3:X11)&lt;1,(1-SUMIF($A$3:$A$11,$L$3,Энергия!X3:X11))*-0.5,0)</f>
        <v>-0.20074812967581046</v>
      </c>
    </row>
    <row r="4" spans="1:24" x14ac:dyDescent="0.25">
      <c r="A4" s="66" t="s">
        <v>0</v>
      </c>
      <c r="B4" s="71">
        <v>15</v>
      </c>
      <c r="C4" s="71">
        <v>10</v>
      </c>
      <c r="D4" s="71"/>
      <c r="E4" s="78">
        <v>75685389</v>
      </c>
      <c r="F4" s="49">
        <f>(H4+I4)*2</f>
        <v>9308398</v>
      </c>
      <c r="G4" s="108">
        <f t="shared" si="0"/>
        <v>801003.70024999999</v>
      </c>
      <c r="H4" s="49">
        <f t="shared" ref="H4:H11" si="1">B4*$B$12</f>
        <v>4500000</v>
      </c>
      <c r="I4" s="49">
        <f t="shared" ref="I4:I11" si="2">C4*$C$12</f>
        <v>154199</v>
      </c>
      <c r="J4" s="113">
        <f t="shared" ref="J4:J11" si="3">H4+I4*12</f>
        <v>6350388</v>
      </c>
      <c r="K4" s="112">
        <f>G4*12</f>
        <v>9612044.4030000009</v>
      </c>
    </row>
    <row r="5" spans="1:24" x14ac:dyDescent="0.25">
      <c r="A5" s="67" t="s">
        <v>4</v>
      </c>
      <c r="B5" s="72">
        <v>10</v>
      </c>
      <c r="C5" s="72">
        <v>8</v>
      </c>
      <c r="D5" s="72">
        <v>2</v>
      </c>
      <c r="E5" s="79">
        <v>65982200</v>
      </c>
      <c r="F5" s="46">
        <f>(H5+I5)*2</f>
        <v>6246718.4000000004</v>
      </c>
      <c r="G5" s="109">
        <f t="shared" si="0"/>
        <v>698311.6166666667</v>
      </c>
      <c r="H5" s="46">
        <f t="shared" si="1"/>
        <v>3000000</v>
      </c>
      <c r="I5" s="46">
        <f t="shared" si="2"/>
        <v>123359.2</v>
      </c>
      <c r="J5" s="113">
        <f t="shared" si="3"/>
        <v>4480310.4000000004</v>
      </c>
      <c r="K5" s="112">
        <f t="shared" ref="K5:K11" si="4">G5*12</f>
        <v>8379739.4000000004</v>
      </c>
      <c r="Q5" s="136">
        <f>Q3+Q3*S3</f>
        <v>36973.151745635907</v>
      </c>
      <c r="S5" s="135"/>
    </row>
    <row r="6" spans="1:24" x14ac:dyDescent="0.25">
      <c r="A6" s="66" t="s">
        <v>1</v>
      </c>
      <c r="B6" s="71">
        <v>22</v>
      </c>
      <c r="C6" s="71">
        <v>20</v>
      </c>
      <c r="D6" s="71"/>
      <c r="E6" s="78">
        <f>119352255+3161910</f>
        <v>122514165</v>
      </c>
      <c r="F6" s="49">
        <f t="shared" ref="F6:F11" si="5">(H6+I6)*2</f>
        <v>13816796</v>
      </c>
      <c r="G6" s="108">
        <f t="shared" si="0"/>
        <v>1296608.2462500001</v>
      </c>
      <c r="H6" s="49">
        <f t="shared" si="1"/>
        <v>6600000</v>
      </c>
      <c r="I6" s="49">
        <f t="shared" si="2"/>
        <v>308398</v>
      </c>
      <c r="J6" s="113">
        <f t="shared" si="3"/>
        <v>10300776</v>
      </c>
      <c r="K6" s="112">
        <f t="shared" si="4"/>
        <v>15559298.955000002</v>
      </c>
    </row>
    <row r="7" spans="1:24" ht="30" x14ac:dyDescent="0.25">
      <c r="A7" s="67" t="s">
        <v>7</v>
      </c>
      <c r="B7" s="72">
        <v>18</v>
      </c>
      <c r="C7" s="72">
        <v>15</v>
      </c>
      <c r="D7" s="72">
        <v>5</v>
      </c>
      <c r="E7" s="79">
        <v>69419206</v>
      </c>
      <c r="F7" s="46">
        <f t="shared" si="5"/>
        <v>11262597</v>
      </c>
      <c r="G7" s="109">
        <f t="shared" si="0"/>
        <v>734686.59683333337</v>
      </c>
      <c r="H7" s="46">
        <f t="shared" si="1"/>
        <v>5400000</v>
      </c>
      <c r="I7" s="46">
        <f t="shared" si="2"/>
        <v>231298.5</v>
      </c>
      <c r="J7" s="113">
        <f t="shared" si="3"/>
        <v>8175582</v>
      </c>
      <c r="K7" s="112">
        <f t="shared" si="4"/>
        <v>8816239.1620000005</v>
      </c>
    </row>
    <row r="8" spans="1:24" x14ac:dyDescent="0.25">
      <c r="A8" s="66" t="s">
        <v>2</v>
      </c>
      <c r="B8" s="71">
        <v>8</v>
      </c>
      <c r="C8" s="71">
        <v>23</v>
      </c>
      <c r="D8" s="71">
        <v>3</v>
      </c>
      <c r="E8" s="78">
        <v>63388546</v>
      </c>
      <c r="F8" s="49">
        <f t="shared" si="5"/>
        <v>5509315.4000000004</v>
      </c>
      <c r="G8" s="108">
        <f t="shared" si="0"/>
        <v>670862.11183333339</v>
      </c>
      <c r="H8" s="49">
        <f t="shared" si="1"/>
        <v>2400000</v>
      </c>
      <c r="I8" s="49">
        <f t="shared" si="2"/>
        <v>354657.7</v>
      </c>
      <c r="J8" s="113">
        <f t="shared" si="3"/>
        <v>6655892.4000000004</v>
      </c>
      <c r="K8" s="112">
        <f t="shared" si="4"/>
        <v>8050345.3420000002</v>
      </c>
    </row>
    <row r="9" spans="1:24" x14ac:dyDescent="0.25">
      <c r="A9" s="67" t="s">
        <v>6</v>
      </c>
      <c r="B9" s="72">
        <v>4</v>
      </c>
      <c r="C9" s="72">
        <v>4</v>
      </c>
      <c r="D9" s="72"/>
      <c r="E9" s="79">
        <v>22382937</v>
      </c>
      <c r="F9" s="46">
        <f t="shared" si="5"/>
        <v>2523359.2000000002</v>
      </c>
      <c r="G9" s="109">
        <f t="shared" si="0"/>
        <v>236886.08325</v>
      </c>
      <c r="H9" s="46">
        <f t="shared" si="1"/>
        <v>1200000</v>
      </c>
      <c r="I9" s="46">
        <f t="shared" si="2"/>
        <v>61679.6</v>
      </c>
      <c r="J9" s="113">
        <f t="shared" si="3"/>
        <v>1940155.2</v>
      </c>
      <c r="K9" s="112">
        <f t="shared" si="4"/>
        <v>2842632.9989999998</v>
      </c>
    </row>
    <row r="10" spans="1:24" x14ac:dyDescent="0.25">
      <c r="A10" s="66" t="s">
        <v>8</v>
      </c>
      <c r="B10" s="71"/>
      <c r="C10" s="71"/>
      <c r="D10" s="71"/>
      <c r="E10" s="78"/>
      <c r="F10" s="49">
        <f t="shared" si="5"/>
        <v>0</v>
      </c>
      <c r="G10" s="108">
        <f t="shared" si="0"/>
        <v>0</v>
      </c>
      <c r="H10" s="49">
        <f t="shared" si="1"/>
        <v>0</v>
      </c>
      <c r="I10" s="49">
        <f t="shared" si="2"/>
        <v>0</v>
      </c>
      <c r="J10" s="113">
        <f t="shared" si="3"/>
        <v>0</v>
      </c>
      <c r="K10" s="112">
        <f t="shared" si="4"/>
        <v>0</v>
      </c>
    </row>
    <row r="11" spans="1:24" ht="15.75" thickBot="1" x14ac:dyDescent="0.3">
      <c r="A11" s="68" t="s">
        <v>3</v>
      </c>
      <c r="B11" s="73">
        <v>15</v>
      </c>
      <c r="C11" s="73">
        <v>20</v>
      </c>
      <c r="D11" s="73">
        <v>5</v>
      </c>
      <c r="E11" s="80">
        <v>17932651</v>
      </c>
      <c r="F11" s="50">
        <f t="shared" si="5"/>
        <v>9616796</v>
      </c>
      <c r="G11" s="110">
        <f t="shared" si="0"/>
        <v>189787.22308333335</v>
      </c>
      <c r="H11" s="50">
        <f t="shared" si="1"/>
        <v>4500000</v>
      </c>
      <c r="I11" s="50">
        <f t="shared" si="2"/>
        <v>308398</v>
      </c>
      <c r="J11" s="113">
        <f t="shared" si="3"/>
        <v>8200776</v>
      </c>
      <c r="K11" s="112">
        <f t="shared" si="4"/>
        <v>2277446.6770000001</v>
      </c>
    </row>
    <row r="12" spans="1:24" x14ac:dyDescent="0.25">
      <c r="B12" s="106">
        <v>300000</v>
      </c>
      <c r="C12" s="106">
        <f>((26786+24000+52000)*0.15)+2</f>
        <v>15419.9</v>
      </c>
      <c r="D12" s="45"/>
      <c r="J12" s="45">
        <f>SUM(J3:J11)</f>
        <v>47558996.400000006</v>
      </c>
      <c r="K12" s="45">
        <f>SUM(K3:K11)</f>
        <v>57931237.071000002</v>
      </c>
    </row>
    <row r="13" spans="1:24" x14ac:dyDescent="0.25">
      <c r="C13" s="45">
        <f>C12*12</f>
        <v>185038.8</v>
      </c>
    </row>
    <row r="14" spans="1:24" x14ac:dyDescent="0.25">
      <c r="C14" s="45">
        <f>3855</f>
        <v>3855</v>
      </c>
      <c r="D14" s="45"/>
    </row>
    <row r="15" spans="1:24" ht="45" x14ac:dyDescent="0.25">
      <c r="B15" s="59" t="s">
        <v>52</v>
      </c>
      <c r="C15" s="59"/>
      <c r="D15" s="59"/>
      <c r="E15" s="61">
        <f>E3/1000</f>
        <v>18846.379000000001</v>
      </c>
      <c r="F15" s="59"/>
      <c r="G15" s="58" t="s">
        <v>51</v>
      </c>
      <c r="H15" s="58" t="s">
        <v>53</v>
      </c>
      <c r="I15" s="58" t="s">
        <v>59</v>
      </c>
      <c r="J15" s="58" t="s">
        <v>56</v>
      </c>
      <c r="K15" s="58" t="s">
        <v>54</v>
      </c>
      <c r="L15" s="58" t="s">
        <v>55</v>
      </c>
      <c r="R15" s="59" t="s">
        <v>98</v>
      </c>
      <c r="T15" s="58" t="s">
        <v>51</v>
      </c>
      <c r="U15" s="58" t="s">
        <v>53</v>
      </c>
      <c r="W15" s="59" t="s">
        <v>100</v>
      </c>
      <c r="X15" s="59" t="s">
        <v>99</v>
      </c>
    </row>
    <row r="16" spans="1:24" x14ac:dyDescent="0.25">
      <c r="A16" t="str">
        <f>IF(M16=0,"АВГУСТ","")</f>
        <v/>
      </c>
      <c r="B16" s="59">
        <v>1</v>
      </c>
      <c r="C16" s="59"/>
      <c r="D16" s="59"/>
      <c r="E16" s="61">
        <f>E15*127/48</f>
        <v>49864.377770833329</v>
      </c>
      <c r="F16" s="60"/>
      <c r="G16" s="61">
        <f>Q3+N3-O3</f>
        <v>1739321.5889166666</v>
      </c>
      <c r="H16" s="62">
        <f t="shared" ref="H16:H63" si="6">G16/$O$3</f>
        <v>8.720261169758496</v>
      </c>
      <c r="I16" s="76">
        <f>G16/$O$3*IF(SUM($R$3,0.01*$M$3)&gt;0.99,0.99,$R$3+0.01*$M$3)</f>
        <v>6.1041828188309468</v>
      </c>
      <c r="J16" s="59" t="str">
        <f ca="1">_xlfn.IFS(AND(K16&gt;0,K16&lt;34),"НЕУРОЖАЙ",AND(L16&gt;0,L16&lt;11),"РЕКОРД",NOT(M16=0),"",AND(K16&gt;33,L16&gt;10),"ОБЫЧНЫЙ")</f>
        <v/>
      </c>
      <c r="K16" s="59" t="str">
        <f ca="1">IF(M16=0,RANDBETWEEN(1,100),"")</f>
        <v/>
      </c>
      <c r="L16" t="str">
        <f ca="1">IF(AND(M16=0,K16&gt;33),RANDBETWEEN(1,100),"")</f>
        <v/>
      </c>
      <c r="M16" s="63">
        <f>MOD(B16,8)</f>
        <v>1</v>
      </c>
      <c r="R16" s="59">
        <v>1</v>
      </c>
      <c r="T16" s="61">
        <f>Q3/4+N3-O3/4</f>
        <v>1854219.9472291665</v>
      </c>
      <c r="U16" s="62">
        <f>T16/$O$3</f>
        <v>9.2963154767055798</v>
      </c>
      <c r="W16">
        <f>MOD(R16,4)</f>
        <v>1</v>
      </c>
      <c r="X16">
        <f>MOD(R16,32)</f>
        <v>1</v>
      </c>
    </row>
    <row r="17" spans="1:24" x14ac:dyDescent="0.25">
      <c r="A17" t="str">
        <f t="shared" ref="A17:A63" si="7">IF(M17=0,"АВГУСТ","")</f>
        <v/>
      </c>
      <c r="B17" s="59">
        <v>2</v>
      </c>
      <c r="C17" s="59"/>
      <c r="D17" s="59"/>
      <c r="E17" s="61"/>
      <c r="F17" s="60"/>
      <c r="G17" s="61" cm="1">
        <f t="array" ref="G17">IF(G16&gt;0,G16*(IF(SUM($R$3,0.01*$M$3)&gt;0.99,0.99,$R$3+0.01*$M$3)),G16)+(($Q$3+$Q$3*S3)+IF(M17=0,$P$3*_xlfn.IFS(J17="НЕУРОЖАЙ",0.25,J17="ОБЫЧНЫЙ",1,J17="РЕКОРД",1.25,J17="",1),0))-$O$3</f>
        <v>1055040.7529039693</v>
      </c>
      <c r="H17" s="62">
        <f t="shared" si="6"/>
        <v>5.2895513795074542</v>
      </c>
      <c r="I17" s="76">
        <f t="shared" ref="I17:I63" si="8">G17/$O$3*IF(SUM($R$3,0.01*$M$3)&gt;0.99,0.99,$R$3+0.01*$M$3)</f>
        <v>3.7026859656552178</v>
      </c>
      <c r="J17" s="59" t="str">
        <f t="shared" ref="J17:J62" ca="1" si="9">_xlfn.IFS(AND(K17&gt;0,K17&lt;34),"НЕУРОЖАЙ",AND(L17&gt;0,L17&lt;11),"РЕКОРД",NOT(M17=0),"",AND(K17&gt;33,L17&gt;10),"ОБЫЧНЫЙ")</f>
        <v/>
      </c>
      <c r="K17" s="59" t="str">
        <f t="shared" ref="K17:K31" ca="1" si="10">IF(M17=0,RANDBETWEEN(1,100),"")</f>
        <v/>
      </c>
      <c r="L17" t="str">
        <f t="shared" ref="L17:L31" ca="1" si="11">IF(AND(M17=0,K17&gt;33),RANDBETWEEN(1,100),"")</f>
        <v/>
      </c>
      <c r="M17" s="63">
        <f t="shared" ref="M17:M63" si="12">MOD(B17,8)</f>
        <v>2</v>
      </c>
      <c r="R17" s="59">
        <v>2</v>
      </c>
      <c r="T17" s="61">
        <f>IF(AND(T16&gt;0,W17=0),T16*(IF(SUM($R$3,0.01*$M$3)&gt;0.99,0.99,$R$3+0.01*$M$3)),T16)+((($Q$3+$Q$3*$S$3)/4)+(IF(X17=0,$P$3*_xlfn.IFS(Y17="НЕУРОЖАЙ",0.25,Y17="ОБЫЧНЫЙ",1,Y17="РЕКОРД",1.25,Y17="",1),0)))-($O$3/4)</f>
        <v>1813598.8573947421</v>
      </c>
      <c r="U17" s="62">
        <f t="shared" ref="U17:U80" si="13">T17/$O$3</f>
        <v>9.0926576168747069</v>
      </c>
      <c r="W17">
        <f t="shared" ref="W17:W80" si="14">MOD(R17,4)</f>
        <v>2</v>
      </c>
      <c r="X17">
        <f t="shared" ref="X17:X80" si="15">MOD(R17,32)</f>
        <v>2</v>
      </c>
    </row>
    <row r="18" spans="1:24" x14ac:dyDescent="0.25">
      <c r="A18" t="str">
        <f t="shared" si="7"/>
        <v/>
      </c>
      <c r="B18" s="59">
        <v>3</v>
      </c>
      <c r="C18" s="59"/>
      <c r="D18" s="59"/>
      <c r="E18" s="60"/>
      <c r="F18" s="60"/>
      <c r="G18" s="61" cm="1">
        <f t="array" ref="G18">IF(G17&gt;0,G17*(IF(SUM($R$3,0.01*$M$3)&gt;0.99,0.99,$R$3+0.01*$M$3)),G17)+(($Q$3+$Q$3*S4)+IF(M18=0,$P$3*_xlfn.IFS(J18="НЕУРОЖАЙ",0.25,J18="ОБЫЧНЫЙ",1,J18="РЕКОРД",1.25,J18="",1),0))-$O$3</f>
        <v>585330.71594944503</v>
      </c>
      <c r="H18" s="62">
        <f t="shared" si="6"/>
        <v>2.934613556392438</v>
      </c>
      <c r="I18" s="76">
        <f t="shared" si="8"/>
        <v>2.0542294894747064</v>
      </c>
      <c r="J18" s="59" t="str">
        <f t="shared" ca="1" si="9"/>
        <v/>
      </c>
      <c r="K18" s="59" t="str">
        <f t="shared" ca="1" si="10"/>
        <v/>
      </c>
      <c r="L18" t="str">
        <f t="shared" ca="1" si="11"/>
        <v/>
      </c>
      <c r="M18" s="63">
        <f t="shared" si="12"/>
        <v>3</v>
      </c>
      <c r="R18" s="59">
        <v>3</v>
      </c>
      <c r="T18" s="61">
        <f t="shared" ref="T18:T81" si="16">IF(AND(T17&gt;0,W18=0),T17*(IF(SUM($R$3,0.01*$M$3)&gt;0.99,0.99,$R$3+0.01*$M$3)),T17)+((($Q$3+$Q$3*$S$3)/4)+(IF(X18=0,$P$3*_xlfn.IFS(Y18="НЕУРОЖАЙ",0.25,Y18="ОБЫЧНЫЙ",1,Y18="РЕКОРД",1.25,Y18="",1),0)))-($O$3/4)</f>
        <v>1772977.7675603176</v>
      </c>
      <c r="U18" s="62">
        <f t="shared" si="13"/>
        <v>8.8889997570438322</v>
      </c>
      <c r="W18">
        <f t="shared" si="14"/>
        <v>3</v>
      </c>
      <c r="X18">
        <f t="shared" si="15"/>
        <v>3</v>
      </c>
    </row>
    <row r="19" spans="1:24" x14ac:dyDescent="0.25">
      <c r="A19" t="str">
        <f t="shared" si="7"/>
        <v/>
      </c>
      <c r="B19" s="59">
        <v>4</v>
      </c>
      <c r="C19" s="59"/>
      <c r="D19" s="59"/>
      <c r="E19" s="60"/>
      <c r="F19" s="60"/>
      <c r="G19" s="61" cm="1">
        <f t="array" ref="G19">IF(G18&gt;0,G18*(IF(SUM($R$3,0.01*$M$3)&gt;0.99,0.99,$R$3+0.01*$M$3)),G18)+(($Q$3+$Q$3*S5)+IF(M19=0,$P$3*_xlfn.IFS(J19="НЕУРОЖАЙ",0.25,J19="ОБЫЧНЫЙ",1,J19="РЕКОРД",1.25,J19="",1),0))-$O$3</f>
        <v>256533.69008127815</v>
      </c>
      <c r="H19" s="62">
        <f t="shared" si="6"/>
        <v>1.2861570802119273</v>
      </c>
      <c r="I19" s="76">
        <f t="shared" si="8"/>
        <v>0.90030995614834908</v>
      </c>
      <c r="J19" s="59" t="str">
        <f t="shared" ca="1" si="9"/>
        <v/>
      </c>
      <c r="K19" s="59" t="str">
        <f t="shared" ca="1" si="10"/>
        <v/>
      </c>
      <c r="L19" t="str">
        <f t="shared" ca="1" si="11"/>
        <v/>
      </c>
      <c r="M19" s="63">
        <f t="shared" si="12"/>
        <v>4</v>
      </c>
      <c r="R19" s="59">
        <v>4</v>
      </c>
      <c r="T19" s="61">
        <f t="shared" si="16"/>
        <v>1200463.3474577977</v>
      </c>
      <c r="U19" s="62">
        <f t="shared" si="13"/>
        <v>6.0186419700998082</v>
      </c>
      <c r="V19">
        <f>IF(W19=0,V15+1,"")</f>
        <v>1</v>
      </c>
      <c r="W19">
        <f t="shared" si="14"/>
        <v>0</v>
      </c>
      <c r="X19">
        <f t="shared" si="15"/>
        <v>4</v>
      </c>
    </row>
    <row r="20" spans="1:24" x14ac:dyDescent="0.25">
      <c r="A20" t="str">
        <f t="shared" si="7"/>
        <v/>
      </c>
      <c r="B20" s="59">
        <v>5</v>
      </c>
      <c r="C20" s="59"/>
      <c r="D20" s="59"/>
      <c r="E20" s="60"/>
      <c r="F20" s="60"/>
      <c r="G20" s="61" cm="1">
        <f t="array" ref="G20">IF(G19&gt;0,G19*(IF(SUM($R$3,0.01*$M$3)&gt;0.99,0.99,$R$3+0.01*$M$3)),G19)+(($Q$3+$Q$3*S6)+IF(M20=0,$P$3*_xlfn.IFS(J20="НЕУРОЖАЙ",0.25,J20="ОБЫЧНЫЙ",1,J20="РЕКОРД",1.25,J20="",1),0))-$O$3</f>
        <v>26375.771973561321</v>
      </c>
      <c r="H20" s="62">
        <f t="shared" si="6"/>
        <v>0.13223754688556966</v>
      </c>
      <c r="I20" s="76">
        <f t="shared" si="8"/>
        <v>9.256628281989876E-2</v>
      </c>
      <c r="J20" s="59" t="str">
        <f t="shared" ca="1" si="9"/>
        <v/>
      </c>
      <c r="K20" s="59" t="str">
        <f t="shared" ca="1" si="10"/>
        <v/>
      </c>
      <c r="L20" t="str">
        <f t="shared" ca="1" si="11"/>
        <v/>
      </c>
      <c r="M20" s="63">
        <f t="shared" si="12"/>
        <v>5</v>
      </c>
      <c r="R20" s="59">
        <v>5</v>
      </c>
      <c r="T20" s="61">
        <f t="shared" si="16"/>
        <v>1159842.2576233733</v>
      </c>
      <c r="U20" s="62">
        <f t="shared" si="13"/>
        <v>5.8149841102689344</v>
      </c>
      <c r="V20" t="str">
        <f t="shared" ref="V20:V83" si="17">IF(W20=0,V16+1,"")</f>
        <v/>
      </c>
      <c r="W20">
        <f t="shared" si="14"/>
        <v>1</v>
      </c>
      <c r="X20">
        <f t="shared" si="15"/>
        <v>5</v>
      </c>
    </row>
    <row r="21" spans="1:24" x14ac:dyDescent="0.25">
      <c r="A21" t="str">
        <f t="shared" si="7"/>
        <v/>
      </c>
      <c r="B21" s="59">
        <v>6</v>
      </c>
      <c r="C21" s="59"/>
      <c r="D21" s="59"/>
      <c r="E21" s="60"/>
      <c r="F21" s="60"/>
      <c r="G21" s="61" cm="1">
        <f t="array" ref="G21">IF(G20&gt;0,G20*(IF(SUM($R$3,0.01*$M$3)&gt;0.99,0.99,$R$3+0.01*$M$3)),G20)+(($Q$3+$Q$3*S7)+IF(M21=0,$P$3*_xlfn.IFS(J21="НЕУРОЖАЙ",0.25,J21="ОБЫЧНЫЙ",1,J21="РЕКОРД",1.25,J21="",1),0))-$O$3</f>
        <v>-134734.77070184043</v>
      </c>
      <c r="H21" s="62">
        <f t="shared" si="6"/>
        <v>-0.67550612644288055</v>
      </c>
      <c r="I21" s="76">
        <f t="shared" si="8"/>
        <v>-0.47285428851001637</v>
      </c>
      <c r="J21" s="59" t="str">
        <f t="shared" ca="1" si="9"/>
        <v/>
      </c>
      <c r="K21" s="59" t="str">
        <f t="shared" ca="1" si="10"/>
        <v/>
      </c>
      <c r="L21" t="str">
        <f t="shared" ca="1" si="11"/>
        <v/>
      </c>
      <c r="M21" s="63">
        <f t="shared" si="12"/>
        <v>6</v>
      </c>
      <c r="R21" s="59">
        <v>6</v>
      </c>
      <c r="T21" s="61">
        <f t="shared" si="16"/>
        <v>1119221.1677889489</v>
      </c>
      <c r="U21" s="62">
        <f t="shared" si="13"/>
        <v>5.6113262504380605</v>
      </c>
      <c r="V21" t="str">
        <f t="shared" si="17"/>
        <v/>
      </c>
      <c r="W21">
        <f t="shared" si="14"/>
        <v>2</v>
      </c>
      <c r="X21">
        <f t="shared" si="15"/>
        <v>6</v>
      </c>
    </row>
    <row r="22" spans="1:24" x14ac:dyDescent="0.25">
      <c r="A22" t="str">
        <f t="shared" si="7"/>
        <v/>
      </c>
      <c r="B22" s="59">
        <v>7</v>
      </c>
      <c r="C22" s="59"/>
      <c r="D22" s="59"/>
      <c r="E22" s="60"/>
      <c r="F22" s="60"/>
      <c r="G22" s="61" cm="1">
        <f t="array" ref="G22">IF(G21&gt;0,G21*(IF(SUM($R$3,0.01*$M$3)&gt;0.99,0.99,$R$3+0.01*$M$3)),G21)+(($Q$3+$Q$3*S8)+IF(M22=0,$P$3*_xlfn.IFS(J22="НЕУРОЖАЙ",0.25,J22="ОБЫЧНЫЙ",1,J22="РЕКОРД",1.25,J22="",1),0))-$O$3</f>
        <v>-287932.5817851738</v>
      </c>
      <c r="H22" s="62">
        <f t="shared" si="6"/>
        <v>-1.4435785357056601</v>
      </c>
      <c r="I22" s="76">
        <f t="shared" si="8"/>
        <v>-1.0105049749939621</v>
      </c>
      <c r="J22" s="59" t="str">
        <f t="shared" ca="1" si="9"/>
        <v/>
      </c>
      <c r="K22" s="59" t="str">
        <f t="shared" ca="1" si="10"/>
        <v/>
      </c>
      <c r="L22" t="str">
        <f t="shared" ca="1" si="11"/>
        <v/>
      </c>
      <c r="M22" s="63">
        <f t="shared" si="12"/>
        <v>7</v>
      </c>
      <c r="R22" s="59">
        <v>7</v>
      </c>
      <c r="T22" s="61">
        <f t="shared" si="16"/>
        <v>1078600.0779545244</v>
      </c>
      <c r="U22" s="62">
        <f t="shared" si="13"/>
        <v>5.4076683906071867</v>
      </c>
      <c r="V22" t="str">
        <f t="shared" si="17"/>
        <v/>
      </c>
      <c r="W22">
        <f t="shared" si="14"/>
        <v>3</v>
      </c>
      <c r="X22">
        <f t="shared" si="15"/>
        <v>7</v>
      </c>
    </row>
    <row r="23" spans="1:24" x14ac:dyDescent="0.25">
      <c r="A23" t="str">
        <f t="shared" si="7"/>
        <v>АВГУСТ</v>
      </c>
      <c r="B23" s="59">
        <v>8</v>
      </c>
      <c r="C23" s="59"/>
      <c r="D23" s="59"/>
      <c r="E23" s="60"/>
      <c r="F23" s="60"/>
      <c r="G23" s="61" cm="1">
        <f t="array" aca="1" ref="G23" ca="1">IF(G22&gt;0,G22*(IF(SUM($R$3,0.01*$M$3)&gt;0.99,0.99,$R$3+0.01*$M$3)),G22)+(($Q$3+$Q$3*S9)+IF(M23=0,$P$3*_xlfn.IFS(J23="НЕУРОЖАЙ",0.25,J23="ОБЫЧНЫЙ",1,J23="РЕКОРД",1.25,J23="",1),0))-$O$3</f>
        <v>458869.60713149275</v>
      </c>
      <c r="H23" s="62">
        <f t="shared" ca="1" si="6"/>
        <v>2.3005882538049773</v>
      </c>
      <c r="I23" s="76">
        <f t="shared" ca="1" si="8"/>
        <v>1.6104117776634841</v>
      </c>
      <c r="J23" s="59" t="str">
        <f t="shared" ca="1" si="9"/>
        <v>ОБЫЧНЫЙ</v>
      </c>
      <c r="K23" s="59">
        <f t="shared" ca="1" si="10"/>
        <v>70</v>
      </c>
      <c r="L23">
        <f t="shared" ca="1" si="11"/>
        <v>93</v>
      </c>
      <c r="M23" s="63">
        <f t="shared" si="12"/>
        <v>0</v>
      </c>
      <c r="N23">
        <v>34</v>
      </c>
      <c r="R23" s="59">
        <v>8</v>
      </c>
      <c r="T23" s="61">
        <f t="shared" si="16"/>
        <v>714398.96473374276</v>
      </c>
      <c r="U23" s="62">
        <f t="shared" si="13"/>
        <v>3.581710013594158</v>
      </c>
      <c r="V23">
        <f t="shared" si="17"/>
        <v>2</v>
      </c>
      <c r="W23">
        <f t="shared" si="14"/>
        <v>0</v>
      </c>
      <c r="X23">
        <f t="shared" si="15"/>
        <v>8</v>
      </c>
    </row>
    <row r="24" spans="1:24" x14ac:dyDescent="0.25">
      <c r="A24" t="str">
        <f t="shared" si="7"/>
        <v/>
      </c>
      <c r="B24" s="59">
        <v>9</v>
      </c>
      <c r="C24" s="59"/>
      <c r="D24" s="59"/>
      <c r="E24" s="60"/>
      <c r="F24" s="60"/>
      <c r="G24" s="61" cm="1">
        <f t="array" aca="1" ref="G24" ca="1">IF(G23&gt;0,G23*(IF(SUM($R$3,0.01*$M$3)&gt;0.99,0.99,$R$3+0.01*$M$3)),G23)+(($Q$3+$Q$3*S10)+IF(M24=0,$P$3*_xlfn.IFS(J24="НЕУРОЖАЙ",0.25,J24="ОБЫЧНЫЙ",1,J24="РЕКОРД",1.25,J24="",1),0))-$O$3</f>
        <v>168010.91390871158</v>
      </c>
      <c r="H24" s="62">
        <f t="shared" ca="1" si="6"/>
        <v>0.84233936840070478</v>
      </c>
      <c r="I24" s="76">
        <f t="shared" ca="1" si="8"/>
        <v>0.58963755788049332</v>
      </c>
      <c r="J24" s="59" t="str">
        <f t="shared" ca="1" si="9"/>
        <v/>
      </c>
      <c r="K24" s="59" t="str">
        <f t="shared" ca="1" si="10"/>
        <v/>
      </c>
      <c r="L24" t="str">
        <f t="shared" ca="1" si="11"/>
        <v/>
      </c>
      <c r="M24" s="63">
        <f t="shared" si="12"/>
        <v>1</v>
      </c>
      <c r="N24" t="str">
        <f>IF(M24=0,IF(J16="НЕУРОЖАЙ",1,N16+33),"")</f>
        <v/>
      </c>
      <c r="R24" s="59">
        <v>9</v>
      </c>
      <c r="T24" s="61">
        <f t="shared" si="16"/>
        <v>673777.87489931844</v>
      </c>
      <c r="U24" s="62">
        <f t="shared" si="13"/>
        <v>3.3780521537632846</v>
      </c>
      <c r="V24" t="str">
        <f t="shared" si="17"/>
        <v/>
      </c>
      <c r="W24">
        <f t="shared" si="14"/>
        <v>1</v>
      </c>
      <c r="X24">
        <f t="shared" si="15"/>
        <v>9</v>
      </c>
    </row>
    <row r="25" spans="1:24" x14ac:dyDescent="0.25">
      <c r="A25" t="str">
        <f t="shared" si="7"/>
        <v/>
      </c>
      <c r="B25" s="59">
        <v>10</v>
      </c>
      <c r="C25" s="59"/>
      <c r="D25" s="59"/>
      <c r="E25" s="60"/>
      <c r="F25" s="60"/>
      <c r="G25" s="61" cm="1">
        <f t="array" aca="1" ref="G25" ca="1">IF(G24&gt;0,G24*(IF(SUM($R$3,0.01*$M$3)&gt;0.99,0.99,$R$3+0.01*$M$3)),G24)+(($Q$3+$Q$3*S11)+IF(M25=0,$P$3*_xlfn.IFS(J25="НЕУРОЖАЙ",0.25,J25="ОБЫЧНЫЙ",1,J25="РЕКОРД",1.25,J25="",1),0))-$O$3</f>
        <v>-35590.171347235271</v>
      </c>
      <c r="H25" s="62">
        <f t="shared" ca="1" si="6"/>
        <v>-0.17843485138228612</v>
      </c>
      <c r="I25" s="76">
        <f t="shared" ca="1" si="8"/>
        <v>-0.12490439596760028</v>
      </c>
      <c r="J25" s="59" t="str">
        <f t="shared" ca="1" si="9"/>
        <v/>
      </c>
      <c r="K25" s="59" t="str">
        <f t="shared" ca="1" si="10"/>
        <v/>
      </c>
      <c r="L25" t="str">
        <f t="shared" ca="1" si="11"/>
        <v/>
      </c>
      <c r="M25" s="63">
        <f t="shared" si="12"/>
        <v>2</v>
      </c>
      <c r="N25" t="str">
        <f t="shared" ref="N25:N62" si="18">IF(M25=0,IF(J17="НЕУРОЖАЙ",1,N17+33),"")</f>
        <v/>
      </c>
      <c r="R25" s="59">
        <v>10</v>
      </c>
      <c r="T25" s="61">
        <f t="shared" si="16"/>
        <v>633156.78506489412</v>
      </c>
      <c r="U25" s="62">
        <f t="shared" si="13"/>
        <v>3.1743942939324117</v>
      </c>
      <c r="V25" t="str">
        <f t="shared" si="17"/>
        <v/>
      </c>
      <c r="W25">
        <f t="shared" si="14"/>
        <v>2</v>
      </c>
      <c r="X25">
        <f t="shared" si="15"/>
        <v>10</v>
      </c>
    </row>
    <row r="26" spans="1:24" x14ac:dyDescent="0.25">
      <c r="A26" t="str">
        <f t="shared" si="7"/>
        <v/>
      </c>
      <c r="B26" s="59">
        <v>11</v>
      </c>
      <c r="C26" s="59"/>
      <c r="D26" s="59"/>
      <c r="E26" s="60"/>
      <c r="F26" s="60"/>
      <c r="G26" s="61" cm="1">
        <f t="array" aca="1" ref="G26" ca="1">IF(G25&gt;0,G25*(IF(SUM($R$3,0.01*$M$3)&gt;0.99,0.99,$R$3+0.01*$M$3)),G25)+(($Q$3+$Q$3*S12)+IF(M26=0,$P$3*_xlfn.IFS(J26="НЕУРОЖАЙ",0.25,J26="ОБЫЧНЫЙ",1,J26="РЕКОРД",1.25,J26="",1),0))-$O$3</f>
        <v>-188787.98243056861</v>
      </c>
      <c r="H26" s="62">
        <f t="shared" ca="1" si="6"/>
        <v>-0.9465072606450653</v>
      </c>
      <c r="I26" s="76">
        <f t="shared" ca="1" si="8"/>
        <v>-0.66255508245154571</v>
      </c>
      <c r="J26" s="59" t="str">
        <f t="shared" ca="1" si="9"/>
        <v/>
      </c>
      <c r="K26" s="59" t="str">
        <f t="shared" ca="1" si="10"/>
        <v/>
      </c>
      <c r="L26" t="str">
        <f t="shared" ca="1" si="11"/>
        <v/>
      </c>
      <c r="M26" s="63">
        <f t="shared" si="12"/>
        <v>3</v>
      </c>
      <c r="N26" t="str">
        <f t="shared" si="18"/>
        <v/>
      </c>
      <c r="R26" s="59">
        <v>11</v>
      </c>
      <c r="T26" s="61">
        <f t="shared" si="16"/>
        <v>592535.69523046981</v>
      </c>
      <c r="U26" s="62">
        <f t="shared" si="13"/>
        <v>2.9707364341015388</v>
      </c>
      <c r="V26" t="str">
        <f t="shared" si="17"/>
        <v/>
      </c>
      <c r="W26">
        <f t="shared" si="14"/>
        <v>3</v>
      </c>
      <c r="X26">
        <f t="shared" si="15"/>
        <v>11</v>
      </c>
    </row>
    <row r="27" spans="1:24" x14ac:dyDescent="0.25">
      <c r="A27" t="str">
        <f t="shared" si="7"/>
        <v/>
      </c>
      <c r="B27" s="59">
        <v>12</v>
      </c>
      <c r="C27" s="59"/>
      <c r="D27" s="59"/>
      <c r="E27" s="60"/>
      <c r="F27" s="60"/>
      <c r="G27" s="61" cm="1">
        <f t="array" aca="1" ref="G27" ca="1">IF(G26&gt;0,G26*(IF(SUM($R$3,0.01*$M$3)&gt;0.99,0.99,$R$3+0.01*$M$3)),G26)+(($Q$3+$Q$3*S13)+IF(M27=0,$P$3*_xlfn.IFS(J27="НЕУРОЖАЙ",0.25,J27="ОБЫЧНЫЙ",1,J27="РЕКОРД",1.25,J27="",1),0))-$O$3</f>
        <v>-341985.79351390194</v>
      </c>
      <c r="H27" s="62">
        <f t="shared" ca="1" si="6"/>
        <v>-1.7145796699078446</v>
      </c>
      <c r="I27" s="76">
        <f t="shared" ca="1" si="8"/>
        <v>-1.2002057689354912</v>
      </c>
      <c r="J27" s="59" t="str">
        <f t="shared" ca="1" si="9"/>
        <v/>
      </c>
      <c r="K27" s="59" t="str">
        <f t="shared" ca="1" si="10"/>
        <v/>
      </c>
      <c r="L27" t="str">
        <f t="shared" ca="1" si="11"/>
        <v/>
      </c>
      <c r="M27" s="63">
        <f t="shared" si="12"/>
        <v>4</v>
      </c>
      <c r="N27" t="str">
        <f t="shared" si="18"/>
        <v/>
      </c>
      <c r="R27" s="59">
        <v>12</v>
      </c>
      <c r="T27" s="61">
        <f t="shared" si="16"/>
        <v>374153.8968269045</v>
      </c>
      <c r="U27" s="62">
        <f t="shared" si="13"/>
        <v>1.8758576440402037</v>
      </c>
      <c r="V27">
        <f t="shared" si="17"/>
        <v>3</v>
      </c>
      <c r="W27">
        <f t="shared" si="14"/>
        <v>0</v>
      </c>
      <c r="X27">
        <f t="shared" si="15"/>
        <v>12</v>
      </c>
    </row>
    <row r="28" spans="1:24" x14ac:dyDescent="0.25">
      <c r="A28" t="str">
        <f t="shared" si="7"/>
        <v/>
      </c>
      <c r="B28" s="59">
        <v>13</v>
      </c>
      <c r="C28" s="59"/>
      <c r="D28" s="59"/>
      <c r="E28" s="60"/>
      <c r="F28" s="60"/>
      <c r="G28" s="61" cm="1">
        <f t="array" aca="1" ref="G28" ca="1">IF(G27&gt;0,G27*(IF(SUM($R$3,0.01*$M$3)&gt;0.99,0.99,$R$3+0.01*$M$3)),G27)+(($Q$3+$Q$3*S14)+IF(M28=0,$P$3*_xlfn.IFS(J28="НЕУРОЖАЙ",0.25,J28="ОБЫЧНЫЙ",1,J28="РЕКОРД",1.25,J28="",1),0))-$O$3</f>
        <v>-495183.60459723527</v>
      </c>
      <c r="H28" s="62">
        <f t="shared" ca="1" si="6"/>
        <v>-2.4826520791706237</v>
      </c>
      <c r="I28" s="76">
        <f t="shared" ca="1" si="8"/>
        <v>-1.7378564554194365</v>
      </c>
      <c r="J28" s="59" t="str">
        <f t="shared" ca="1" si="9"/>
        <v/>
      </c>
      <c r="K28" s="59" t="str">
        <f t="shared" ca="1" si="10"/>
        <v/>
      </c>
      <c r="L28" t="str">
        <f t="shared" ca="1" si="11"/>
        <v/>
      </c>
      <c r="M28" s="63">
        <f t="shared" si="12"/>
        <v>5</v>
      </c>
      <c r="N28" t="str">
        <f t="shared" si="18"/>
        <v/>
      </c>
      <c r="R28" s="59">
        <v>13</v>
      </c>
      <c r="T28" s="61">
        <f t="shared" si="16"/>
        <v>333532.80699248018</v>
      </c>
      <c r="U28" s="62">
        <f t="shared" si="13"/>
        <v>1.6721997842093306</v>
      </c>
      <c r="V28" t="str">
        <f t="shared" si="17"/>
        <v/>
      </c>
      <c r="W28">
        <f t="shared" si="14"/>
        <v>1</v>
      </c>
      <c r="X28">
        <f t="shared" si="15"/>
        <v>13</v>
      </c>
    </row>
    <row r="29" spans="1:24" x14ac:dyDescent="0.25">
      <c r="A29" t="str">
        <f t="shared" si="7"/>
        <v/>
      </c>
      <c r="B29" s="59">
        <v>14</v>
      </c>
      <c r="C29" s="59"/>
      <c r="D29" s="59"/>
      <c r="E29" s="60"/>
      <c r="F29" s="60"/>
      <c r="G29" s="61" cm="1">
        <f t="array" aca="1" ref="G29" ca="1">IF(G28&gt;0,G28*(IF(SUM($R$3,0.01*$M$3)&gt;0.99,0.99,$R$3+0.01*$M$3)),G28)+(($Q$3+$Q$3*S15)+IF(M29=0,$P$3*_xlfn.IFS(J29="НЕУРОЖАЙ",0.25,J29="ОБЫЧНЫЙ",1,J29="РЕКОРД",1.25,J29="",1),0))-$O$3</f>
        <v>-648381.41568056867</v>
      </c>
      <c r="H29" s="62">
        <f t="shared" ca="1" si="6"/>
        <v>-3.2507244884334034</v>
      </c>
      <c r="I29" s="76">
        <f t="shared" ca="1" si="8"/>
        <v>-2.2755071419033821</v>
      </c>
      <c r="J29" s="59" t="str">
        <f t="shared" ca="1" si="9"/>
        <v/>
      </c>
      <c r="K29" s="59" t="str">
        <f t="shared" ca="1" si="10"/>
        <v/>
      </c>
      <c r="L29" t="str">
        <f t="shared" ca="1" si="11"/>
        <v/>
      </c>
      <c r="M29" s="63">
        <f t="shared" si="12"/>
        <v>6</v>
      </c>
      <c r="N29" t="str">
        <f t="shared" si="18"/>
        <v/>
      </c>
      <c r="R29" s="59">
        <v>14</v>
      </c>
      <c r="T29" s="61">
        <f t="shared" si="16"/>
        <v>292911.71715805586</v>
      </c>
      <c r="U29" s="62">
        <f t="shared" si="13"/>
        <v>1.4685419243784574</v>
      </c>
      <c r="V29" t="str">
        <f t="shared" si="17"/>
        <v/>
      </c>
      <c r="W29">
        <f t="shared" si="14"/>
        <v>2</v>
      </c>
      <c r="X29">
        <f t="shared" si="15"/>
        <v>14</v>
      </c>
    </row>
    <row r="30" spans="1:24" x14ac:dyDescent="0.25">
      <c r="A30" t="str">
        <f t="shared" si="7"/>
        <v/>
      </c>
      <c r="B30" s="59">
        <v>15</v>
      </c>
      <c r="C30" s="59"/>
      <c r="D30" s="59"/>
      <c r="E30" s="60"/>
      <c r="F30" s="60"/>
      <c r="G30" s="61" cm="1">
        <f t="array" aca="1" ref="G30" ca="1">IF(G29&gt;0,G29*(IF(SUM($R$3,0.01*$M$3)&gt;0.99,0.99,$R$3+0.01*$M$3)),G29)+(($Q$3+$Q$3*S16)+IF(M30=0,$P$3*_xlfn.IFS(J30="НЕУРОЖАЙ",0.25,J30="ОБЫЧНЫЙ",1,J30="РЕКОРД",1.25,J30="",1),0))-$O$3</f>
        <v>-801579.226763902</v>
      </c>
      <c r="H30" s="62">
        <f t="shared" ca="1" si="6"/>
        <v>-4.0187968976961823</v>
      </c>
      <c r="I30" s="76">
        <f t="shared" ca="1" si="8"/>
        <v>-2.8131578283873275</v>
      </c>
      <c r="J30" s="59" t="str">
        <f t="shared" ca="1" si="9"/>
        <v/>
      </c>
      <c r="K30" s="59" t="str">
        <f t="shared" ca="1" si="10"/>
        <v/>
      </c>
      <c r="L30" t="str">
        <f t="shared" ca="1" si="11"/>
        <v/>
      </c>
      <c r="M30" s="63">
        <f t="shared" si="12"/>
        <v>7</v>
      </c>
      <c r="N30" t="str">
        <f t="shared" si="18"/>
        <v/>
      </c>
      <c r="R30" s="59">
        <v>15</v>
      </c>
      <c r="T30" s="61">
        <f t="shared" si="16"/>
        <v>252290.62732363155</v>
      </c>
      <c r="U30" s="62">
        <f t="shared" si="13"/>
        <v>1.2648840645475845</v>
      </c>
      <c r="V30" t="str">
        <f t="shared" si="17"/>
        <v/>
      </c>
      <c r="W30">
        <f t="shared" si="14"/>
        <v>3</v>
      </c>
      <c r="X30">
        <f t="shared" si="15"/>
        <v>15</v>
      </c>
    </row>
    <row r="31" spans="1:24" x14ac:dyDescent="0.25">
      <c r="A31" t="str">
        <f t="shared" si="7"/>
        <v>АВГУСТ</v>
      </c>
      <c r="B31" s="59">
        <v>16</v>
      </c>
      <c r="C31" s="59"/>
      <c r="D31" s="59"/>
      <c r="E31" s="60"/>
      <c r="F31" s="60"/>
      <c r="G31" s="61" cm="1">
        <f t="array" aca="1" ref="G31" ca="1">IF(G30&gt;0,G30*(IF(SUM($R$3,0.01*$M$3)&gt;0.99,0.99,$R$3+0.01*$M$3)),G30)+(($Q$3+$Q$3*S17)+IF(M31=0,$P$3*_xlfn.IFS(J31="НЕУРОЖАЙ",0.25,J31="ОБЫЧНЫЙ",1,J31="РЕКОРД",1.25,J31="",1),0))-$O$3</f>
        <v>-54777.037847235391</v>
      </c>
      <c r="H31" s="62">
        <f t="shared" ca="1" si="6"/>
        <v>-0.27463010818554506</v>
      </c>
      <c r="I31" s="76">
        <f t="shared" ca="1" si="8"/>
        <v>-0.19224107572988153</v>
      </c>
      <c r="J31" s="59" t="str">
        <f t="shared" ca="1" si="9"/>
        <v>ОБЫЧНЫЙ</v>
      </c>
      <c r="K31" s="59">
        <f t="shared" ca="1" si="10"/>
        <v>72</v>
      </c>
      <c r="L31">
        <f t="shared" ca="1" si="11"/>
        <v>97</v>
      </c>
      <c r="M31" s="63">
        <f t="shared" si="12"/>
        <v>0</v>
      </c>
      <c r="N31">
        <f t="shared" ca="1" si="18"/>
        <v>67</v>
      </c>
      <c r="R31" s="59">
        <v>16</v>
      </c>
      <c r="T31" s="61">
        <f t="shared" si="16"/>
        <v>135982.34929211769</v>
      </c>
      <c r="U31" s="62">
        <f t="shared" si="13"/>
        <v>0.68176098535243568</v>
      </c>
      <c r="V31">
        <f t="shared" si="17"/>
        <v>4</v>
      </c>
      <c r="W31">
        <f t="shared" si="14"/>
        <v>0</v>
      </c>
      <c r="X31">
        <f t="shared" si="15"/>
        <v>16</v>
      </c>
    </row>
    <row r="32" spans="1:24" x14ac:dyDescent="0.25">
      <c r="A32" t="str">
        <f t="shared" si="7"/>
        <v/>
      </c>
      <c r="B32" s="59">
        <v>17</v>
      </c>
      <c r="C32" s="59"/>
      <c r="D32" s="59"/>
      <c r="E32" s="60"/>
      <c r="F32" s="60"/>
      <c r="G32" s="61" cm="1">
        <f t="array" aca="1" ref="G32" ca="1">IF(G31&gt;0,G31*(IF(SUM($R$3,0.01*$M$3)&gt;0.99,0.99,$R$3+0.01*$M$3)),G31)+(($Q$3+$Q$3*S18)+IF(M32=0,$P$3*_xlfn.IFS(J32="НЕУРОЖАЙ",0.25,J32="ОБЫЧНЫЙ",1,J32="РЕКОРД",1.25,J32="",1),0))-$O$3</f>
        <v>-207974.84893056873</v>
      </c>
      <c r="H32" s="62">
        <f t="shared" ca="1" si="6"/>
        <v>-1.0427025174483242</v>
      </c>
      <c r="I32" s="76">
        <f t="shared" ca="1" si="8"/>
        <v>-0.7298917622138269</v>
      </c>
      <c r="J32" s="59" t="str">
        <f t="shared" ca="1" si="9"/>
        <v/>
      </c>
      <c r="K32" s="59" t="str">
        <f t="shared" ref="K32:K63" ca="1" si="19">IF(M32=0,RANDBETWEEN(1,100),"")</f>
        <v/>
      </c>
      <c r="L32" t="str">
        <f t="shared" ref="L32:L63" ca="1" si="20">IF(AND(M32=0,K32&gt;33),RANDBETWEEN(1,100),"")</f>
        <v/>
      </c>
      <c r="M32" s="63">
        <f t="shared" si="12"/>
        <v>1</v>
      </c>
      <c r="N32" t="str">
        <f t="shared" si="18"/>
        <v/>
      </c>
      <c r="R32" s="59">
        <v>17</v>
      </c>
      <c r="T32" s="61">
        <f t="shared" si="16"/>
        <v>95361.259457693333</v>
      </c>
      <c r="U32" s="62">
        <f t="shared" si="13"/>
        <v>0.47810312552156231</v>
      </c>
      <c r="V32" t="str">
        <f t="shared" si="17"/>
        <v/>
      </c>
      <c r="W32">
        <f t="shared" si="14"/>
        <v>1</v>
      </c>
      <c r="X32">
        <f t="shared" si="15"/>
        <v>17</v>
      </c>
    </row>
    <row r="33" spans="1:27" x14ac:dyDescent="0.25">
      <c r="A33" t="str">
        <f t="shared" si="7"/>
        <v/>
      </c>
      <c r="B33" s="59">
        <v>18</v>
      </c>
      <c r="C33" s="59"/>
      <c r="D33" s="59"/>
      <c r="E33" s="60"/>
      <c r="F33" s="60"/>
      <c r="G33" s="61" cm="1">
        <f t="array" aca="1" ref="G33" ca="1">IF(G32&gt;0,G32*(IF(SUM($R$3,0.01*$M$3)&gt;0.99,0.99,$R$3+0.01*$M$3)),G32)+(($Q$3+$Q$3*S19)+IF(M33=0,$P$3*_xlfn.IFS(J33="НЕУРОЖАЙ",0.25,J33="ОБЫЧНЫЙ",1,J33="РЕКОРД",1.25,J33="",1),0))-$O$3</f>
        <v>-361172.66001390206</v>
      </c>
      <c r="H33" s="62">
        <f t="shared" ca="1" si="6"/>
        <v>-1.8107749267111035</v>
      </c>
      <c r="I33" s="76">
        <f t="shared" ca="1" si="8"/>
        <v>-1.2675424486977724</v>
      </c>
      <c r="J33" s="59" t="str">
        <f t="shared" ca="1" si="9"/>
        <v/>
      </c>
      <c r="K33" s="59" t="str">
        <f t="shared" ca="1" si="19"/>
        <v/>
      </c>
      <c r="L33" t="str">
        <f t="shared" ca="1" si="20"/>
        <v/>
      </c>
      <c r="M33" s="63">
        <f t="shared" si="12"/>
        <v>2</v>
      </c>
      <c r="N33" t="str">
        <f t="shared" si="18"/>
        <v/>
      </c>
      <c r="R33" s="59">
        <v>18</v>
      </c>
      <c r="T33" s="61">
        <f t="shared" si="16"/>
        <v>54740.169623268972</v>
      </c>
      <c r="U33" s="62">
        <f t="shared" si="13"/>
        <v>0.27444526569068906</v>
      </c>
      <c r="V33" t="str">
        <f t="shared" si="17"/>
        <v/>
      </c>
      <c r="W33">
        <f t="shared" si="14"/>
        <v>2</v>
      </c>
      <c r="X33">
        <f t="shared" si="15"/>
        <v>18</v>
      </c>
    </row>
    <row r="34" spans="1:27" x14ac:dyDescent="0.25">
      <c r="A34" t="str">
        <f t="shared" si="7"/>
        <v/>
      </c>
      <c r="B34" s="59">
        <v>19</v>
      </c>
      <c r="C34" s="59"/>
      <c r="D34" s="59"/>
      <c r="E34" s="60"/>
      <c r="F34" s="60"/>
      <c r="G34" s="61" cm="1">
        <f t="array" aca="1" ref="G34" ca="1">IF(G33&gt;0,G33*(IF(SUM($R$3,0.01*$M$3)&gt;0.99,0.99,$R$3+0.01*$M$3)),G33)+(($Q$3+$Q$3*S20)+IF(M34=0,$P$3*_xlfn.IFS(J34="НЕУРОЖАЙ",0.25,J34="ОБЫЧНЫЙ",1,J34="РЕКОРД",1.25,J34="",1),0))-$O$3</f>
        <v>-514370.47109723539</v>
      </c>
      <c r="H34" s="62">
        <f t="shared" ca="1" si="6"/>
        <v>-2.5788473359738826</v>
      </c>
      <c r="I34" s="76">
        <f t="shared" ca="1" si="8"/>
        <v>-1.8051931351817176</v>
      </c>
      <c r="J34" s="59" t="str">
        <f t="shared" ca="1" si="9"/>
        <v/>
      </c>
      <c r="K34" s="59" t="str">
        <f t="shared" ca="1" si="19"/>
        <v/>
      </c>
      <c r="L34" t="str">
        <f t="shared" ca="1" si="20"/>
        <v/>
      </c>
      <c r="M34" s="63">
        <f t="shared" si="12"/>
        <v>3</v>
      </c>
      <c r="N34" t="str">
        <f t="shared" si="18"/>
        <v/>
      </c>
      <c r="R34" s="59">
        <v>19</v>
      </c>
      <c r="T34" s="61">
        <f t="shared" si="16"/>
        <v>14119.07978884461</v>
      </c>
      <c r="U34" s="62">
        <f t="shared" si="13"/>
        <v>7.078740585981573E-2</v>
      </c>
      <c r="V34" t="str">
        <f t="shared" si="17"/>
        <v/>
      </c>
      <c r="W34">
        <f t="shared" si="14"/>
        <v>3</v>
      </c>
      <c r="X34">
        <f t="shared" si="15"/>
        <v>19</v>
      </c>
    </row>
    <row r="35" spans="1:27" x14ac:dyDescent="0.25">
      <c r="A35" t="str">
        <f t="shared" si="7"/>
        <v/>
      </c>
      <c r="B35" s="59">
        <v>20</v>
      </c>
      <c r="C35" s="59"/>
      <c r="D35" s="59"/>
      <c r="E35" s="60"/>
      <c r="F35" s="60"/>
      <c r="G35" s="61" cm="1">
        <f t="array" aca="1" ref="G35" ca="1">IF(G34&gt;0,G34*(IF(SUM($R$3,0.01*$M$3)&gt;0.99,0.99,$R$3+0.01*$M$3)),G34)+(($Q$3+$Q$3*S21)+IF(M35=0,$P$3*_xlfn.IFS(J35="НЕУРОЖАЙ",0.25,J35="ОБЫЧНЫЙ",1,J35="РЕКОРД",1.25,J35="",1),0))-$O$3</f>
        <v>-667568.28218056867</v>
      </c>
      <c r="H35" s="62">
        <f t="shared" ca="1" si="6"/>
        <v>-3.3469197452366619</v>
      </c>
      <c r="I35" s="76">
        <f t="shared" ca="1" si="8"/>
        <v>-2.3428438216656633</v>
      </c>
      <c r="J35" s="59" t="str">
        <f t="shared" ca="1" si="9"/>
        <v/>
      </c>
      <c r="K35" s="59" t="str">
        <f t="shared" ca="1" si="19"/>
        <v/>
      </c>
      <c r="L35" t="str">
        <f t="shared" ca="1" si="20"/>
        <v/>
      </c>
      <c r="M35" s="63">
        <f t="shared" si="12"/>
        <v>4</v>
      </c>
      <c r="N35" t="str">
        <f t="shared" si="18"/>
        <v/>
      </c>
      <c r="R35" s="59">
        <v>20</v>
      </c>
      <c r="T35" s="61">
        <f t="shared" si="16"/>
        <v>-30737.733982233134</v>
      </c>
      <c r="U35" s="62">
        <f t="shared" si="13"/>
        <v>-0.1541066757290023</v>
      </c>
      <c r="V35">
        <f t="shared" si="17"/>
        <v>5</v>
      </c>
      <c r="W35">
        <f t="shared" si="14"/>
        <v>0</v>
      </c>
      <c r="X35">
        <f t="shared" si="15"/>
        <v>20</v>
      </c>
    </row>
    <row r="36" spans="1:27" x14ac:dyDescent="0.25">
      <c r="A36" t="str">
        <f t="shared" si="7"/>
        <v/>
      </c>
      <c r="B36" s="59">
        <v>21</v>
      </c>
      <c r="C36" s="59"/>
      <c r="D36" s="59"/>
      <c r="E36" s="60"/>
      <c r="F36" s="60"/>
      <c r="G36" s="61" cm="1">
        <f t="array" aca="1" ref="G36" ca="1">IF(G35&gt;0,G35*(IF(SUM($R$3,0.01*$M$3)&gt;0.99,0.99,$R$3+0.01*$M$3)),G35)+(($Q$3+$Q$3*S22)+IF(M36=0,$P$3*_xlfn.IFS(J36="НЕУРОЖАЙ",0.25,J36="ОБЫЧНЫЙ",1,J36="РЕКОРД",1.25,J36="",1),0))-$O$3</f>
        <v>-820766.093263902</v>
      </c>
      <c r="H36" s="62">
        <f t="shared" ca="1" si="6"/>
        <v>-4.1149921544994408</v>
      </c>
      <c r="I36" s="76">
        <f t="shared" ca="1" si="8"/>
        <v>-2.8804945081496083</v>
      </c>
      <c r="J36" s="59" t="str">
        <f t="shared" ca="1" si="9"/>
        <v/>
      </c>
      <c r="K36" s="59" t="str">
        <f t="shared" ca="1" si="19"/>
        <v/>
      </c>
      <c r="L36" t="str">
        <f t="shared" ca="1" si="20"/>
        <v/>
      </c>
      <c r="M36" s="63">
        <f t="shared" si="12"/>
        <v>5</v>
      </c>
      <c r="N36" t="str">
        <f t="shared" si="18"/>
        <v/>
      </c>
      <c r="R36" s="59">
        <v>21</v>
      </c>
      <c r="T36" s="61">
        <f t="shared" si="16"/>
        <v>-71358.823816657503</v>
      </c>
      <c r="U36" s="62">
        <f t="shared" si="13"/>
        <v>-0.35776453555987564</v>
      </c>
      <c r="V36" t="str">
        <f t="shared" si="17"/>
        <v/>
      </c>
      <c r="W36">
        <f t="shared" si="14"/>
        <v>1</v>
      </c>
      <c r="X36">
        <f t="shared" si="15"/>
        <v>21</v>
      </c>
    </row>
    <row r="37" spans="1:27" x14ac:dyDescent="0.25">
      <c r="A37" t="str">
        <f t="shared" si="7"/>
        <v/>
      </c>
      <c r="B37" s="59">
        <v>22</v>
      </c>
      <c r="C37" s="59"/>
      <c r="D37" s="59"/>
      <c r="E37" s="60"/>
      <c r="F37" s="60"/>
      <c r="G37" s="61" cm="1">
        <f t="array" aca="1" ref="G37" ca="1">IF(G36&gt;0,G36*(IF(SUM($R$3,0.01*$M$3)&gt;0.99,0.99,$R$3+0.01*$M$3)),G36)+(($Q$3+$Q$3*S23)+IF(M37=0,$P$3*_xlfn.IFS(J37="НЕУРОЖАЙ",0.25,J37="ОБЫЧНЫЙ",1,J37="РЕКОРД",1.25,J37="",1),0))-$O$3</f>
        <v>-973963.90434723534</v>
      </c>
      <c r="H37" s="62">
        <f t="shared" ca="1" si="6"/>
        <v>-4.8830645637622201</v>
      </c>
      <c r="I37" s="76">
        <f t="shared" ca="1" si="8"/>
        <v>-3.4181451946335537</v>
      </c>
      <c r="J37" s="59" t="str">
        <f t="shared" ca="1" si="9"/>
        <v/>
      </c>
      <c r="K37" s="59" t="str">
        <f t="shared" ca="1" si="19"/>
        <v/>
      </c>
      <c r="L37" t="str">
        <f t="shared" ca="1" si="20"/>
        <v/>
      </c>
      <c r="M37" s="63">
        <f t="shared" si="12"/>
        <v>6</v>
      </c>
      <c r="N37" t="str">
        <f t="shared" si="18"/>
        <v/>
      </c>
      <c r="R37" s="59">
        <v>22</v>
      </c>
      <c r="T37" s="61">
        <f t="shared" si="16"/>
        <v>-111979.91365108186</v>
      </c>
      <c r="U37" s="62">
        <f t="shared" si="13"/>
        <v>-0.5614223953907489</v>
      </c>
      <c r="V37" t="str">
        <f t="shared" si="17"/>
        <v/>
      </c>
      <c r="W37">
        <f t="shared" si="14"/>
        <v>2</v>
      </c>
      <c r="X37">
        <f t="shared" si="15"/>
        <v>22</v>
      </c>
    </row>
    <row r="38" spans="1:27" x14ac:dyDescent="0.25">
      <c r="A38" t="str">
        <f t="shared" si="7"/>
        <v/>
      </c>
      <c r="B38" s="59">
        <v>23</v>
      </c>
      <c r="C38" s="59"/>
      <c r="D38" s="59"/>
      <c r="E38" s="60"/>
      <c r="F38" s="60"/>
      <c r="G38" s="61" cm="1">
        <f t="array" aca="1" ref="G38" ca="1">IF(G37&gt;0,G37*(IF(SUM($R$3,0.01*$M$3)&gt;0.99,0.99,$R$3+0.01*$M$3)),G37)+(($Q$3+$Q$3*S24)+IF(M38=0,$P$3*_xlfn.IFS(J38="НЕУРОЖАЙ",0.25,J38="ОБЫЧНЫЙ",1,J38="РЕКОРД",1.25,J38="",1),0))-$O$3</f>
        <v>-1127161.7154305687</v>
      </c>
      <c r="H38" s="62">
        <f t="shared" ca="1" si="6"/>
        <v>-5.6511369730249994</v>
      </c>
      <c r="I38" s="76">
        <f t="shared" ca="1" si="8"/>
        <v>-3.9557958811174991</v>
      </c>
      <c r="J38" s="59" t="str">
        <f t="shared" ca="1" si="9"/>
        <v/>
      </c>
      <c r="K38" s="59" t="str">
        <f t="shared" ca="1" si="19"/>
        <v/>
      </c>
      <c r="L38" t="str">
        <f t="shared" ca="1" si="20"/>
        <v/>
      </c>
      <c r="M38" s="63">
        <f t="shared" si="12"/>
        <v>7</v>
      </c>
      <c r="N38" t="str">
        <f t="shared" si="18"/>
        <v/>
      </c>
      <c r="R38" s="59">
        <v>23</v>
      </c>
      <c r="T38" s="61">
        <f t="shared" si="16"/>
        <v>-152601.00348550623</v>
      </c>
      <c r="U38" s="62">
        <f t="shared" si="13"/>
        <v>-0.76508025522162226</v>
      </c>
      <c r="V38" t="str">
        <f t="shared" si="17"/>
        <v/>
      </c>
      <c r="W38">
        <f t="shared" si="14"/>
        <v>3</v>
      </c>
      <c r="X38">
        <f t="shared" si="15"/>
        <v>23</v>
      </c>
    </row>
    <row r="39" spans="1:27" x14ac:dyDescent="0.25">
      <c r="A39" t="str">
        <f t="shared" si="7"/>
        <v>АВГУСТ</v>
      </c>
      <c r="B39" s="59">
        <v>24</v>
      </c>
      <c r="C39" s="59"/>
      <c r="D39" s="59"/>
      <c r="E39" s="60"/>
      <c r="F39" s="60"/>
      <c r="G39" s="61" cm="1">
        <f t="array" aca="1" ref="G39" ca="1">IF(G38&gt;0,G38*(IF(SUM($R$3,0.01*$M$3)&gt;0.99,0.99,$R$3+0.01*$M$3)),G38)+(($Q$3+$Q$3*S25)+IF(M39=0,$P$3*_xlfn.IFS(J39="НЕУРОЖАЙ",0.25,J39="ОБЫЧНЫЙ",1,J39="РЕКОРД",1.25,J39="",1),0))-$O$3</f>
        <v>-380359.52651390206</v>
      </c>
      <c r="H39" s="62">
        <f t="shared" ca="1" si="6"/>
        <v>-1.906970183514362</v>
      </c>
      <c r="I39" s="76">
        <f t="shared" ca="1" si="8"/>
        <v>-1.3348791284600534</v>
      </c>
      <c r="J39" s="59" t="str">
        <f t="shared" ca="1" si="9"/>
        <v>ОБЫЧНЫЙ</v>
      </c>
      <c r="K39" s="59">
        <f t="shared" ca="1" si="19"/>
        <v>67</v>
      </c>
      <c r="L39">
        <f t="shared" ca="1" si="20"/>
        <v>47</v>
      </c>
      <c r="M39" s="63">
        <f t="shared" si="12"/>
        <v>0</v>
      </c>
      <c r="N39">
        <f t="shared" ca="1" si="18"/>
        <v>100</v>
      </c>
      <c r="R39" s="59">
        <v>24</v>
      </c>
      <c r="T39" s="61">
        <f t="shared" si="16"/>
        <v>-193222.0933199306</v>
      </c>
      <c r="U39" s="62">
        <f t="shared" si="13"/>
        <v>-0.96873811505249563</v>
      </c>
      <c r="V39">
        <f t="shared" si="17"/>
        <v>6</v>
      </c>
      <c r="W39">
        <f t="shared" si="14"/>
        <v>0</v>
      </c>
      <c r="X39">
        <f t="shared" si="15"/>
        <v>24</v>
      </c>
    </row>
    <row r="40" spans="1:27" x14ac:dyDescent="0.25">
      <c r="A40" t="str">
        <f t="shared" si="7"/>
        <v/>
      </c>
      <c r="B40" s="59">
        <v>25</v>
      </c>
      <c r="C40" s="59"/>
      <c r="D40" s="59"/>
      <c r="E40" s="60"/>
      <c r="F40" s="60"/>
      <c r="G40" s="61" cm="1">
        <f t="array" aca="1" ref="G40" ca="1">IF(G39&gt;0,G39*(IF(SUM($R$3,0.01*$M$3)&gt;0.99,0.99,$R$3+0.01*$M$3)),G39)+(($Q$3+$Q$3*S26)+IF(M40=0,$P$3*_xlfn.IFS(J40="НЕУРОЖАЙ",0.25,J40="ОБЫЧНЫЙ",1,J40="РЕКОРД",1.25,J40="",1),0))-$O$3</f>
        <v>-533557.33759723534</v>
      </c>
      <c r="H40" s="62">
        <f t="shared" ca="1" si="6"/>
        <v>-2.6750425927771406</v>
      </c>
      <c r="I40" s="76">
        <f t="shared" ca="1" si="8"/>
        <v>-1.8725298149439984</v>
      </c>
      <c r="J40" s="59" t="str">
        <f t="shared" ca="1" si="9"/>
        <v/>
      </c>
      <c r="K40" s="59" t="str">
        <f t="shared" ca="1" si="19"/>
        <v/>
      </c>
      <c r="L40" t="str">
        <f t="shared" ca="1" si="20"/>
        <v/>
      </c>
      <c r="M40" s="63">
        <f t="shared" si="12"/>
        <v>1</v>
      </c>
      <c r="N40" t="str">
        <f t="shared" si="18"/>
        <v/>
      </c>
      <c r="R40" s="59">
        <v>25</v>
      </c>
      <c r="T40" s="61">
        <f t="shared" si="16"/>
        <v>-233843.18315435498</v>
      </c>
      <c r="U40" s="62">
        <f t="shared" si="13"/>
        <v>-1.172395974883369</v>
      </c>
      <c r="V40" t="str">
        <f t="shared" si="17"/>
        <v/>
      </c>
      <c r="W40">
        <f t="shared" si="14"/>
        <v>1</v>
      </c>
      <c r="X40">
        <f t="shared" si="15"/>
        <v>25</v>
      </c>
    </row>
    <row r="41" spans="1:27" x14ac:dyDescent="0.25">
      <c r="A41" t="str">
        <f t="shared" si="7"/>
        <v/>
      </c>
      <c r="B41" s="59">
        <v>26</v>
      </c>
      <c r="C41" s="59"/>
      <c r="D41" s="59"/>
      <c r="E41" s="60"/>
      <c r="F41" s="60"/>
      <c r="G41" s="61" cm="1">
        <f t="array" aca="1" ref="G41" ca="1">IF(G40&gt;0,G40*(IF(SUM($R$3,0.01*$M$3)&gt;0.99,0.99,$R$3+0.01*$M$3)),G40)+(($Q$3+$Q$3*S27)+IF(M41=0,$P$3*_xlfn.IFS(J41="НЕУРОЖАЙ",0.25,J41="ОБЫЧНЫЙ",1,J41="РЕКОРД",1.25,J41="",1),0))-$O$3</f>
        <v>-686755.14868056867</v>
      </c>
      <c r="H41" s="62">
        <f t="shared" ca="1" si="6"/>
        <v>-3.4431150020399199</v>
      </c>
      <c r="I41" s="76">
        <f t="shared" ca="1" si="8"/>
        <v>-2.4101805014279436</v>
      </c>
      <c r="J41" s="59" t="str">
        <f t="shared" ca="1" si="9"/>
        <v/>
      </c>
      <c r="K41" s="59" t="str">
        <f t="shared" ca="1" si="19"/>
        <v/>
      </c>
      <c r="L41" t="str">
        <f t="shared" ca="1" si="20"/>
        <v/>
      </c>
      <c r="M41" s="63">
        <f t="shared" si="12"/>
        <v>2</v>
      </c>
      <c r="N41" t="str">
        <f t="shared" si="18"/>
        <v/>
      </c>
      <c r="R41" s="59">
        <v>26</v>
      </c>
      <c r="T41" s="61">
        <f t="shared" si="16"/>
        <v>-274464.27298877935</v>
      </c>
      <c r="U41" s="62">
        <f t="shared" si="13"/>
        <v>-1.3760538347142424</v>
      </c>
      <c r="V41" t="str">
        <f t="shared" si="17"/>
        <v/>
      </c>
      <c r="W41">
        <f t="shared" si="14"/>
        <v>2</v>
      </c>
      <c r="X41">
        <f t="shared" si="15"/>
        <v>26</v>
      </c>
    </row>
    <row r="42" spans="1:27" x14ac:dyDescent="0.25">
      <c r="A42" t="str">
        <f t="shared" si="7"/>
        <v/>
      </c>
      <c r="B42" s="59">
        <v>27</v>
      </c>
      <c r="C42" s="59"/>
      <c r="D42" s="59"/>
      <c r="E42" s="60"/>
      <c r="F42" s="60"/>
      <c r="G42" s="61" cm="1">
        <f t="array" aca="1" ref="G42" ca="1">IF(G41&gt;0,G41*(IF(SUM($R$3,0.01*$M$3)&gt;0.99,0.99,$R$3+0.01*$M$3)),G41)+(($Q$3+$Q$3*S28)+IF(M42=0,$P$3*_xlfn.IFS(J42="НЕУРОЖАЙ",0.25,J42="ОБЫЧНЫЙ",1,J42="РЕКОРД",1.25,J42="",1),0))-$O$3</f>
        <v>-839952.95976390201</v>
      </c>
      <c r="H42" s="62">
        <f t="shared" ca="1" si="6"/>
        <v>-4.2111874113026992</v>
      </c>
      <c r="I42" s="76">
        <f t="shared" ca="1" si="8"/>
        <v>-2.9478311879118895</v>
      </c>
      <c r="J42" s="59" t="str">
        <f t="shared" ca="1" si="9"/>
        <v/>
      </c>
      <c r="K42" s="59" t="str">
        <f t="shared" ca="1" si="19"/>
        <v/>
      </c>
      <c r="L42" t="str">
        <f t="shared" ca="1" si="20"/>
        <v/>
      </c>
      <c r="M42" s="63">
        <f t="shared" si="12"/>
        <v>3</v>
      </c>
      <c r="N42" t="str">
        <f t="shared" si="18"/>
        <v/>
      </c>
      <c r="R42" s="59">
        <v>27</v>
      </c>
      <c r="T42" s="61">
        <f t="shared" si="16"/>
        <v>-315085.36282320367</v>
      </c>
      <c r="U42" s="62">
        <f t="shared" si="13"/>
        <v>-1.5797116945451155</v>
      </c>
      <c r="V42" t="str">
        <f t="shared" si="17"/>
        <v/>
      </c>
      <c r="W42">
        <f t="shared" si="14"/>
        <v>3</v>
      </c>
      <c r="X42">
        <f t="shared" si="15"/>
        <v>27</v>
      </c>
    </row>
    <row r="43" spans="1:27" x14ac:dyDescent="0.25">
      <c r="A43" t="str">
        <f t="shared" si="7"/>
        <v/>
      </c>
      <c r="B43" s="59">
        <v>28</v>
      </c>
      <c r="C43" s="59"/>
      <c r="D43" s="59"/>
      <c r="E43" s="60"/>
      <c r="F43" s="60"/>
      <c r="G43" s="61" cm="1">
        <f t="array" aca="1" ref="G43" ca="1">IF(G42&gt;0,G42*(IF(SUM($R$3,0.01*$M$3)&gt;0.99,0.99,$R$3+0.01*$M$3)),G42)+(($Q$3+$Q$3*S29)+IF(M43=0,$P$3*_xlfn.IFS(J43="НЕУРОЖАЙ",0.25,J43="ОБЫЧНЫЙ",1,J43="РЕКОРД",1.25,J43="",1),0))-$O$3</f>
        <v>-993150.77084723534</v>
      </c>
      <c r="H43" s="62">
        <f t="shared" ca="1" si="6"/>
        <v>-4.9792598205654786</v>
      </c>
      <c r="I43" s="76">
        <f t="shared" ca="1" si="8"/>
        <v>-3.4854818743958349</v>
      </c>
      <c r="J43" s="59" t="str">
        <f t="shared" ca="1" si="9"/>
        <v/>
      </c>
      <c r="K43" s="59" t="str">
        <f t="shared" ca="1" si="19"/>
        <v/>
      </c>
      <c r="L43" t="str">
        <f t="shared" ca="1" si="20"/>
        <v/>
      </c>
      <c r="M43" s="63">
        <f t="shared" si="12"/>
        <v>4</v>
      </c>
      <c r="N43" t="str">
        <f t="shared" si="18"/>
        <v/>
      </c>
      <c r="R43" s="59">
        <v>28</v>
      </c>
      <c r="T43" s="61">
        <f t="shared" si="16"/>
        <v>-355706.45265762799</v>
      </c>
      <c r="U43" s="62">
        <f t="shared" si="13"/>
        <v>-1.7833695543759887</v>
      </c>
      <c r="V43">
        <f t="shared" si="17"/>
        <v>7</v>
      </c>
      <c r="W43">
        <f t="shared" si="14"/>
        <v>0</v>
      </c>
      <c r="X43">
        <f t="shared" si="15"/>
        <v>28</v>
      </c>
    </row>
    <row r="44" spans="1:27" x14ac:dyDescent="0.25">
      <c r="A44" t="str">
        <f t="shared" si="7"/>
        <v/>
      </c>
      <c r="B44" s="59">
        <v>29</v>
      </c>
      <c r="C44" s="59"/>
      <c r="D44" s="59"/>
      <c r="E44" s="60"/>
      <c r="F44" s="60"/>
      <c r="G44" s="61" cm="1">
        <f t="array" aca="1" ref="G44" ca="1">IF(G43&gt;0,G43*(IF(SUM($R$3,0.01*$M$3)&gt;0.99,0.99,$R$3+0.01*$M$3)),G43)+(($Q$3+$Q$3*S30)+IF(M44=0,$P$3*_xlfn.IFS(J44="НЕУРОЖАЙ",0.25,J44="ОБЫЧНЫЙ",1,J44="РЕКОРД",1.25,J44="",1),0))-$O$3</f>
        <v>-1146348.5819305687</v>
      </c>
      <c r="H44" s="62">
        <f t="shared" ca="1" si="6"/>
        <v>-5.7473322298282579</v>
      </c>
      <c r="I44" s="76">
        <f t="shared" ca="1" si="8"/>
        <v>-4.0231325608797803</v>
      </c>
      <c r="J44" s="59" t="str">
        <f t="shared" ca="1" si="9"/>
        <v/>
      </c>
      <c r="K44" s="59" t="str">
        <f t="shared" ca="1" si="19"/>
        <v/>
      </c>
      <c r="L44" t="str">
        <f t="shared" ca="1" si="20"/>
        <v/>
      </c>
      <c r="M44" s="63">
        <f t="shared" si="12"/>
        <v>5</v>
      </c>
      <c r="N44" t="str">
        <f t="shared" si="18"/>
        <v/>
      </c>
      <c r="R44" s="59">
        <v>29</v>
      </c>
      <c r="T44" s="61">
        <f t="shared" si="16"/>
        <v>-396327.54249205231</v>
      </c>
      <c r="U44" s="62">
        <f t="shared" si="13"/>
        <v>-1.9870274142068616</v>
      </c>
      <c r="V44" t="str">
        <f t="shared" si="17"/>
        <v/>
      </c>
      <c r="W44">
        <f t="shared" si="14"/>
        <v>1</v>
      </c>
      <c r="X44">
        <f t="shared" si="15"/>
        <v>29</v>
      </c>
    </row>
    <row r="45" spans="1:27" x14ac:dyDescent="0.25">
      <c r="A45" t="str">
        <f t="shared" si="7"/>
        <v/>
      </c>
      <c r="B45" s="59">
        <v>30</v>
      </c>
      <c r="C45" s="59"/>
      <c r="D45" s="59"/>
      <c r="E45" s="60"/>
      <c r="F45" s="60"/>
      <c r="G45" s="61" cm="1">
        <f t="array" aca="1" ref="G45" ca="1">IF(G44&gt;0,G44*(IF(SUM($R$3,0.01*$M$3)&gt;0.99,0.99,$R$3+0.01*$M$3)),G44)+(($Q$3+$Q$3*S31)+IF(M45=0,$P$3*_xlfn.IFS(J45="НЕУРОЖАЙ",0.25,J45="ОБЫЧНЫЙ",1,J45="РЕКОРД",1.25,J45="",1),0))-$O$3</f>
        <v>-1299546.393013902</v>
      </c>
      <c r="H45" s="62">
        <f t="shared" ca="1" si="6"/>
        <v>-6.5154046390910372</v>
      </c>
      <c r="I45" s="76">
        <f t="shared" ca="1" si="8"/>
        <v>-4.5607832473637258</v>
      </c>
      <c r="J45" s="59" t="str">
        <f t="shared" ca="1" si="9"/>
        <v/>
      </c>
      <c r="K45" s="59" t="str">
        <f t="shared" ca="1" si="19"/>
        <v/>
      </c>
      <c r="L45" t="str">
        <f t="shared" ca="1" si="20"/>
        <v/>
      </c>
      <c r="M45" s="63">
        <f t="shared" si="12"/>
        <v>6</v>
      </c>
      <c r="N45" t="str">
        <f t="shared" si="18"/>
        <v/>
      </c>
      <c r="R45" s="59">
        <v>30</v>
      </c>
      <c r="T45" s="61">
        <f t="shared" si="16"/>
        <v>-436948.63232647663</v>
      </c>
      <c r="U45" s="62">
        <f t="shared" si="13"/>
        <v>-2.1906852740377349</v>
      </c>
      <c r="V45" t="str">
        <f t="shared" si="17"/>
        <v/>
      </c>
      <c r="W45">
        <f t="shared" si="14"/>
        <v>2</v>
      </c>
      <c r="X45">
        <f t="shared" si="15"/>
        <v>30</v>
      </c>
    </row>
    <row r="46" spans="1:27" x14ac:dyDescent="0.25">
      <c r="A46" t="str">
        <f t="shared" si="7"/>
        <v/>
      </c>
      <c r="B46" s="59">
        <v>31</v>
      </c>
      <c r="C46" s="59"/>
      <c r="D46" s="59"/>
      <c r="E46" s="60"/>
      <c r="F46" s="60"/>
      <c r="G46" s="61" cm="1">
        <f t="array" aca="1" ref="G46" ca="1">IF(G45&gt;0,G45*(IF(SUM($R$3,0.01*$M$3)&gt;0.99,0.99,$R$3+0.01*$M$3)),G45)+(($Q$3+$Q$3*S32)+IF(M46=0,$P$3*_xlfn.IFS(J46="НЕУРОЖАЙ",0.25,J46="ОБЫЧНЫЙ",1,J46="РЕКОРД",1.25,J46="",1),0))-$O$3</f>
        <v>-1452744.2040972353</v>
      </c>
      <c r="H46" s="62">
        <f t="shared" ca="1" si="6"/>
        <v>-7.2834770483538165</v>
      </c>
      <c r="I46" s="76">
        <f t="shared" ca="1" si="8"/>
        <v>-5.0984339338476712</v>
      </c>
      <c r="J46" s="59" t="str">
        <f t="shared" ca="1" si="9"/>
        <v/>
      </c>
      <c r="K46" s="59" t="str">
        <f t="shared" ca="1" si="19"/>
        <v/>
      </c>
      <c r="L46" t="str">
        <f t="shared" ca="1" si="20"/>
        <v/>
      </c>
      <c r="M46" s="63">
        <f t="shared" si="12"/>
        <v>7</v>
      </c>
      <c r="N46" t="str">
        <f t="shared" si="18"/>
        <v/>
      </c>
      <c r="R46" s="59">
        <v>31</v>
      </c>
      <c r="T46" s="61">
        <f t="shared" si="16"/>
        <v>-477569.72216090094</v>
      </c>
      <c r="U46" s="62">
        <f t="shared" si="13"/>
        <v>-2.3943431338686079</v>
      </c>
      <c r="V46" t="str">
        <f t="shared" si="17"/>
        <v/>
      </c>
      <c r="W46">
        <f t="shared" si="14"/>
        <v>3</v>
      </c>
      <c r="X46">
        <f t="shared" si="15"/>
        <v>31</v>
      </c>
    </row>
    <row r="47" spans="1:27" x14ac:dyDescent="0.25">
      <c r="A47" t="str">
        <f t="shared" si="7"/>
        <v>АВГУСТ</v>
      </c>
      <c r="B47" s="59">
        <v>32</v>
      </c>
      <c r="C47" s="59"/>
      <c r="D47" s="59"/>
      <c r="E47" s="60"/>
      <c r="F47" s="60"/>
      <c r="G47" s="61" cm="1">
        <f t="array" aca="1" ref="G47" ca="1">IF(G46&gt;0,G46*(IF(SUM($R$3,0.01*$M$3)&gt;0.99,0.99,$R$3+0.01*$M$3)),G46)+(($Q$3+$Q$3*S33)+IF(M47=0,$P$3*_xlfn.IFS(J47="НЕУРОЖАЙ",0.25,J47="ОБЫЧНЫЙ",1,J47="РЕКОРД",1.25,J47="",1),0))-$O$3</f>
        <v>-705942.01518056868</v>
      </c>
      <c r="H47" s="62">
        <f t="shared" ca="1" si="6"/>
        <v>-3.5393102588431784</v>
      </c>
      <c r="I47" s="76">
        <f t="shared" ca="1" si="8"/>
        <v>-2.4775171811902248</v>
      </c>
      <c r="J47" s="59" t="str">
        <f t="shared" ca="1" si="9"/>
        <v>ОБЫЧНЫЙ</v>
      </c>
      <c r="K47" s="59">
        <f t="shared" ca="1" si="19"/>
        <v>63</v>
      </c>
      <c r="L47">
        <f t="shared" ca="1" si="20"/>
        <v>23</v>
      </c>
      <c r="M47" s="63">
        <f t="shared" si="12"/>
        <v>0</v>
      </c>
      <c r="N47">
        <f t="shared" ca="1" si="18"/>
        <v>133</v>
      </c>
      <c r="R47" s="59">
        <v>32</v>
      </c>
      <c r="T47" s="61">
        <f t="shared" ca="1" si="16"/>
        <v>381809.18800467474</v>
      </c>
      <c r="U47" s="62">
        <f t="shared" ca="1" si="13"/>
        <v>1.9142382050739362</v>
      </c>
      <c r="V47">
        <f t="shared" si="17"/>
        <v>8</v>
      </c>
      <c r="W47">
        <f t="shared" si="14"/>
        <v>0</v>
      </c>
      <c r="X47">
        <f t="shared" si="15"/>
        <v>0</v>
      </c>
      <c r="Y47" s="59" t="str">
        <f ca="1">J23</f>
        <v>ОБЫЧНЫЙ</v>
      </c>
      <c r="Z47" s="59">
        <f ca="1">K23</f>
        <v>70</v>
      </c>
      <c r="AA47" s="59">
        <f>N23</f>
        <v>34</v>
      </c>
    </row>
    <row r="48" spans="1:27" x14ac:dyDescent="0.25">
      <c r="A48" t="str">
        <f t="shared" si="7"/>
        <v/>
      </c>
      <c r="B48" s="59">
        <v>33</v>
      </c>
      <c r="C48" s="59"/>
      <c r="D48" s="59"/>
      <c r="E48" s="60"/>
      <c r="F48" s="60"/>
      <c r="G48" s="61" cm="1">
        <f t="array" aca="1" ref="G48" ca="1">IF(G47&gt;0,G47*(IF(SUM($R$3,0.01*$M$3)&gt;0.99,0.99,$R$3+0.01*$M$3)),G47)+(($Q$3+$Q$3*S34)+IF(M48=0,$P$3*_xlfn.IFS(J48="НЕУРОЖАЙ",0.25,J48="ОБЫЧНЫЙ",1,J48="РЕКОРД",1.25,J48="",1),0))-$O$3</f>
        <v>-859139.82626390201</v>
      </c>
      <c r="H48" s="62">
        <f t="shared" ca="1" si="6"/>
        <v>-4.3073826681059577</v>
      </c>
      <c r="I48" s="76">
        <f t="shared" ca="1" si="8"/>
        <v>-3.0151678676741702</v>
      </c>
      <c r="J48" s="59" t="str">
        <f t="shared" ca="1" si="9"/>
        <v/>
      </c>
      <c r="K48" s="59" t="str">
        <f t="shared" ca="1" si="19"/>
        <v/>
      </c>
      <c r="L48" t="str">
        <f t="shared" ca="1" si="20"/>
        <v/>
      </c>
      <c r="M48" s="63">
        <f t="shared" si="12"/>
        <v>1</v>
      </c>
      <c r="N48" t="str">
        <f t="shared" si="18"/>
        <v/>
      </c>
      <c r="R48" s="59">
        <v>33</v>
      </c>
      <c r="T48" s="61">
        <f t="shared" ca="1" si="16"/>
        <v>341188.09817025042</v>
      </c>
      <c r="U48" s="62">
        <f t="shared" ca="1" si="13"/>
        <v>1.710580345243063</v>
      </c>
      <c r="V48" t="str">
        <f t="shared" si="17"/>
        <v/>
      </c>
      <c r="W48">
        <f t="shared" si="14"/>
        <v>1</v>
      </c>
      <c r="X48">
        <f t="shared" si="15"/>
        <v>1</v>
      </c>
    </row>
    <row r="49" spans="1:24" x14ac:dyDescent="0.25">
      <c r="A49" t="str">
        <f t="shared" si="7"/>
        <v/>
      </c>
      <c r="B49" s="59">
        <v>34</v>
      </c>
      <c r="C49" s="59"/>
      <c r="D49" s="59"/>
      <c r="E49" s="60"/>
      <c r="F49" s="60"/>
      <c r="G49" s="61" cm="1">
        <f t="array" aca="1" ref="G49" ca="1">IF(G48&gt;0,G48*(IF(SUM($R$3,0.01*$M$3)&gt;0.99,0.99,$R$3+0.01*$M$3)),G48)+(($Q$3+$Q$3*S35)+IF(M49=0,$P$3*_xlfn.IFS(J49="НЕУРОЖАЙ",0.25,J49="ОБЫЧНЫЙ",1,J49="РЕКОРД",1.25,J49="",1),0))-$O$3</f>
        <v>-1012337.6373472353</v>
      </c>
      <c r="H49" s="62">
        <f t="shared" ca="1" si="6"/>
        <v>-5.075455077368737</v>
      </c>
      <c r="I49" s="76">
        <f t="shared" ca="1" si="8"/>
        <v>-3.5528185541581156</v>
      </c>
      <c r="J49" s="59" t="str">
        <f t="shared" ca="1" si="9"/>
        <v/>
      </c>
      <c r="K49" s="59" t="str">
        <f t="shared" ca="1" si="19"/>
        <v/>
      </c>
      <c r="L49" t="str">
        <f t="shared" ca="1" si="20"/>
        <v/>
      </c>
      <c r="M49" s="63">
        <f t="shared" si="12"/>
        <v>2</v>
      </c>
      <c r="N49" t="str">
        <f t="shared" si="18"/>
        <v/>
      </c>
      <c r="R49" s="59">
        <v>34</v>
      </c>
      <c r="T49" s="61">
        <f t="shared" ca="1" si="16"/>
        <v>300567.0083358261</v>
      </c>
      <c r="U49" s="62">
        <f t="shared" ca="1" si="13"/>
        <v>1.5069224854121899</v>
      </c>
      <c r="V49" t="str">
        <f t="shared" si="17"/>
        <v/>
      </c>
      <c r="W49">
        <f t="shared" si="14"/>
        <v>2</v>
      </c>
      <c r="X49">
        <f t="shared" si="15"/>
        <v>2</v>
      </c>
    </row>
    <row r="50" spans="1:24" x14ac:dyDescent="0.25">
      <c r="A50" t="str">
        <f t="shared" si="7"/>
        <v/>
      </c>
      <c r="B50" s="59">
        <v>35</v>
      </c>
      <c r="C50" s="59"/>
      <c r="D50" s="59"/>
      <c r="E50" s="60"/>
      <c r="F50" s="60"/>
      <c r="G50" s="61" cm="1">
        <f t="array" aca="1" ref="G50" ca="1">IF(G49&gt;0,G49*(IF(SUM($R$3,0.01*$M$3)&gt;0.99,0.99,$R$3+0.01*$M$3)),G49)+(($Q$3+$Q$3*S36)+IF(M50=0,$P$3*_xlfn.IFS(J50="НЕУРОЖАЙ",0.25,J50="ОБЫЧНЫЙ",1,J50="РЕКОРД",1.25,J50="",1),0))-$O$3</f>
        <v>-1165535.4484305687</v>
      </c>
      <c r="H50" s="62">
        <f t="shared" ca="1" si="6"/>
        <v>-5.8435274866315163</v>
      </c>
      <c r="I50" s="76">
        <f t="shared" ca="1" si="8"/>
        <v>-4.0904692406420615</v>
      </c>
      <c r="J50" s="59" t="str">
        <f t="shared" ca="1" si="9"/>
        <v/>
      </c>
      <c r="K50" s="59" t="str">
        <f t="shared" ca="1" si="19"/>
        <v/>
      </c>
      <c r="L50" t="str">
        <f t="shared" ca="1" si="20"/>
        <v/>
      </c>
      <c r="M50" s="63">
        <f t="shared" si="12"/>
        <v>3</v>
      </c>
      <c r="N50" t="str">
        <f t="shared" si="18"/>
        <v/>
      </c>
      <c r="R50" s="59">
        <v>35</v>
      </c>
      <c r="T50" s="61">
        <f t="shared" ca="1" si="16"/>
        <v>259945.91850140179</v>
      </c>
      <c r="U50" s="62">
        <f t="shared" ca="1" si="13"/>
        <v>1.3032646255813167</v>
      </c>
      <c r="V50" t="str">
        <f t="shared" si="17"/>
        <v/>
      </c>
      <c r="W50">
        <f t="shared" si="14"/>
        <v>3</v>
      </c>
      <c r="X50">
        <f t="shared" si="15"/>
        <v>3</v>
      </c>
    </row>
    <row r="51" spans="1:24" x14ac:dyDescent="0.25">
      <c r="A51" t="str">
        <f t="shared" si="7"/>
        <v/>
      </c>
      <c r="B51" s="59">
        <v>36</v>
      </c>
      <c r="C51" s="59"/>
      <c r="D51" s="59"/>
      <c r="E51" s="60"/>
      <c r="F51" s="60"/>
      <c r="G51" s="61" cm="1">
        <f t="array" aca="1" ref="G51" ca="1">IF(G50&gt;0,G50*(IF(SUM($R$3,0.01*$M$3)&gt;0.99,0.99,$R$3+0.01*$M$3)),G50)+(($Q$3+$Q$3*S37)+IF(M51=0,$P$3*_xlfn.IFS(J51="НЕУРОЖАЙ",0.25,J51="ОБЫЧНЫЙ",1,J51="РЕКОРД",1.25,J51="",1),0))-$O$3</f>
        <v>-1318733.259513902</v>
      </c>
      <c r="H51" s="62">
        <f t="shared" ca="1" si="6"/>
        <v>-6.6115998958942956</v>
      </c>
      <c r="I51" s="76">
        <f t="shared" ca="1" si="8"/>
        <v>-4.6281199271260069</v>
      </c>
      <c r="J51" s="59" t="str">
        <f t="shared" ca="1" si="9"/>
        <v/>
      </c>
      <c r="K51" s="59" t="str">
        <f t="shared" ca="1" si="19"/>
        <v/>
      </c>
      <c r="L51" t="str">
        <f t="shared" ca="1" si="20"/>
        <v/>
      </c>
      <c r="M51" s="63">
        <f t="shared" si="12"/>
        <v>4</v>
      </c>
      <c r="N51" t="str">
        <f t="shared" si="18"/>
        <v/>
      </c>
      <c r="R51" s="59">
        <v>36</v>
      </c>
      <c r="T51" s="61">
        <f t="shared" ca="1" si="16"/>
        <v>141341.0531165569</v>
      </c>
      <c r="U51" s="62">
        <f t="shared" ca="1" si="13"/>
        <v>0.70862737807604848</v>
      </c>
      <c r="V51">
        <f t="shared" si="17"/>
        <v>9</v>
      </c>
      <c r="W51">
        <f t="shared" si="14"/>
        <v>0</v>
      </c>
      <c r="X51">
        <f t="shared" si="15"/>
        <v>4</v>
      </c>
    </row>
    <row r="52" spans="1:24" x14ac:dyDescent="0.25">
      <c r="A52" t="str">
        <f t="shared" si="7"/>
        <v/>
      </c>
      <c r="B52" s="59">
        <v>37</v>
      </c>
      <c r="C52" s="59"/>
      <c r="D52" s="59"/>
      <c r="E52" s="60"/>
      <c r="F52" s="60"/>
      <c r="G52" s="61" cm="1">
        <f t="array" aca="1" ref="G52" ca="1">IF(G51&gt;0,G51*(IF(SUM($R$3,0.01*$M$3)&gt;0.99,0.99,$R$3+0.01*$M$3)),G51)+(($Q$3+$Q$3*S38)+IF(M52=0,$P$3*_xlfn.IFS(J52="НЕУРОЖАЙ",0.25,J52="ОБЫЧНЫЙ",1,J52="РЕКОРД",1.25,J52="",1),0))-$O$3</f>
        <v>-1471931.0705972353</v>
      </c>
      <c r="H52" s="62">
        <f t="shared" ca="1" si="6"/>
        <v>-7.379672305157075</v>
      </c>
      <c r="I52" s="76">
        <f t="shared" ca="1" si="8"/>
        <v>-5.1657706136099524</v>
      </c>
      <c r="J52" s="59" t="str">
        <f t="shared" ca="1" si="9"/>
        <v/>
      </c>
      <c r="K52" s="59" t="str">
        <f t="shared" ca="1" si="19"/>
        <v/>
      </c>
      <c r="L52" t="str">
        <f t="shared" ca="1" si="20"/>
        <v/>
      </c>
      <c r="M52" s="63">
        <f t="shared" si="12"/>
        <v>5</v>
      </c>
      <c r="N52" t="str">
        <f t="shared" si="18"/>
        <v/>
      </c>
      <c r="R52" s="59">
        <v>37</v>
      </c>
      <c r="T52" s="61">
        <f t="shared" ca="1" si="16"/>
        <v>100719.96328213254</v>
      </c>
      <c r="U52" s="62">
        <f t="shared" ca="1" si="13"/>
        <v>0.50496951824517522</v>
      </c>
      <c r="V52" t="str">
        <f t="shared" si="17"/>
        <v/>
      </c>
      <c r="W52">
        <f t="shared" si="14"/>
        <v>1</v>
      </c>
      <c r="X52">
        <f t="shared" si="15"/>
        <v>5</v>
      </c>
    </row>
    <row r="53" spans="1:24" x14ac:dyDescent="0.25">
      <c r="A53" t="str">
        <f t="shared" si="7"/>
        <v/>
      </c>
      <c r="B53" s="59">
        <v>38</v>
      </c>
      <c r="C53" s="59"/>
      <c r="D53" s="59"/>
      <c r="E53" s="60"/>
      <c r="F53" s="60"/>
      <c r="G53" s="61" cm="1">
        <f t="array" aca="1" ref="G53" ca="1">IF(G52&gt;0,G52*(IF(SUM($R$3,0.01*$M$3)&gt;0.99,0.99,$R$3+0.01*$M$3)),G52)+(($Q$3+$Q$3*S39)+IF(M53=0,$P$3*_xlfn.IFS(J53="НЕУРОЖАЙ",0.25,J53="ОБЫЧНЫЙ",1,J53="РЕКОРД",1.25,J53="",1),0))-$O$3</f>
        <v>-1625128.8816805687</v>
      </c>
      <c r="H53" s="62">
        <f t="shared" ca="1" si="6"/>
        <v>-8.1477447144198543</v>
      </c>
      <c r="I53" s="76">
        <f t="shared" ca="1" si="8"/>
        <v>-5.7034213000938978</v>
      </c>
      <c r="J53" s="59" t="str">
        <f t="shared" ca="1" si="9"/>
        <v/>
      </c>
      <c r="K53" s="59" t="str">
        <f t="shared" ca="1" si="19"/>
        <v/>
      </c>
      <c r="L53" t="str">
        <f t="shared" ca="1" si="20"/>
        <v/>
      </c>
      <c r="M53" s="63">
        <f t="shared" si="12"/>
        <v>6</v>
      </c>
      <c r="N53" t="str">
        <f t="shared" si="18"/>
        <v/>
      </c>
      <c r="R53" s="59">
        <v>38</v>
      </c>
      <c r="T53" s="61">
        <f t="shared" ca="1" si="16"/>
        <v>60098.873447708174</v>
      </c>
      <c r="U53" s="62">
        <f t="shared" ca="1" si="13"/>
        <v>0.30131165841430191</v>
      </c>
      <c r="V53" t="str">
        <f t="shared" si="17"/>
        <v/>
      </c>
      <c r="W53">
        <f t="shared" si="14"/>
        <v>2</v>
      </c>
      <c r="X53">
        <f t="shared" si="15"/>
        <v>6</v>
      </c>
    </row>
    <row r="54" spans="1:24" x14ac:dyDescent="0.25">
      <c r="A54" t="str">
        <f t="shared" si="7"/>
        <v/>
      </c>
      <c r="B54" s="59">
        <v>39</v>
      </c>
      <c r="C54" s="59"/>
      <c r="D54" s="59"/>
      <c r="E54" s="60"/>
      <c r="F54" s="60"/>
      <c r="G54" s="61" cm="1">
        <f t="array" aca="1" ref="G54" ca="1">IF(G53&gt;0,G53*(IF(SUM($R$3,0.01*$M$3)&gt;0.99,0.99,$R$3+0.01*$M$3)),G53)+(($Q$3+$Q$3*S40)+IF(M54=0,$P$3*_xlfn.IFS(J54="НЕУРОЖАЙ",0.25,J54="ОБЫЧНЫЙ",1,J54="РЕКОРД",1.25,J54="",1),0))-$O$3</f>
        <v>-1778326.692763902</v>
      </c>
      <c r="H54" s="62">
        <f t="shared" ca="1" si="6"/>
        <v>-8.9158171236826327</v>
      </c>
      <c r="I54" s="76">
        <f t="shared" ca="1" si="8"/>
        <v>-6.2410719865778423</v>
      </c>
      <c r="J54" s="59" t="str">
        <f t="shared" ca="1" si="9"/>
        <v/>
      </c>
      <c r="K54" s="59" t="str">
        <f t="shared" ca="1" si="19"/>
        <v/>
      </c>
      <c r="L54" t="str">
        <f t="shared" ca="1" si="20"/>
        <v/>
      </c>
      <c r="M54" s="63">
        <f t="shared" si="12"/>
        <v>7</v>
      </c>
      <c r="N54" t="str">
        <f t="shared" si="18"/>
        <v/>
      </c>
      <c r="R54" s="59">
        <v>39</v>
      </c>
      <c r="T54" s="61">
        <f t="shared" ca="1" si="16"/>
        <v>19477.783613283813</v>
      </c>
      <c r="U54" s="62">
        <f t="shared" ca="1" si="13"/>
        <v>9.7653798583428597E-2</v>
      </c>
      <c r="V54" t="str">
        <f t="shared" si="17"/>
        <v/>
      </c>
      <c r="W54">
        <f t="shared" si="14"/>
        <v>3</v>
      </c>
      <c r="X54">
        <f t="shared" si="15"/>
        <v>7</v>
      </c>
    </row>
    <row r="55" spans="1:24" x14ac:dyDescent="0.25">
      <c r="A55" t="str">
        <f t="shared" si="7"/>
        <v>АВГУСТ</v>
      </c>
      <c r="B55" s="59">
        <v>40</v>
      </c>
      <c r="C55" s="59"/>
      <c r="D55" s="59"/>
      <c r="E55" s="60"/>
      <c r="F55" s="60"/>
      <c r="G55" s="61" cm="1">
        <f t="array" aca="1" ref="G55" ca="1">IF(G54&gt;0,G54*(IF(SUM($R$3,0.01*$M$3)&gt;0.99,0.99,$R$3+0.01*$M$3)),G54)+(($Q$3+$Q$3*S41)+IF(M55=0,$P$3*_xlfn.IFS(J55="НЕУРОЖАЙ",0.25,J55="ОБЫЧНЫЙ",1,J55="РЕКОРД",1.25,J55="",1),0))-$O$3</f>
        <v>-1031524.5038472353</v>
      </c>
      <c r="H55" s="62">
        <f t="shared" ca="1" si="6"/>
        <v>-5.1716503341719955</v>
      </c>
      <c r="I55" s="76">
        <f t="shared" ca="1" si="8"/>
        <v>-3.6201552339203964</v>
      </c>
      <c r="J55" s="59" t="str">
        <f t="shared" ca="1" si="9"/>
        <v>ОБЫЧНЫЙ</v>
      </c>
      <c r="K55" s="59">
        <f t="shared" ca="1" si="19"/>
        <v>72</v>
      </c>
      <c r="L55">
        <f t="shared" ca="1" si="20"/>
        <v>89</v>
      </c>
      <c r="M55" s="63">
        <f t="shared" si="12"/>
        <v>0</v>
      </c>
      <c r="N55">
        <f t="shared" ca="1" si="18"/>
        <v>166</v>
      </c>
      <c r="R55" s="59">
        <v>40</v>
      </c>
      <c r="T55" s="61">
        <f t="shared" ca="1" si="16"/>
        <v>-26986.64130512569</v>
      </c>
      <c r="U55" s="62">
        <f t="shared" ca="1" si="13"/>
        <v>-0.13530020082247327</v>
      </c>
      <c r="V55">
        <f t="shared" si="17"/>
        <v>10</v>
      </c>
      <c r="W55">
        <f t="shared" si="14"/>
        <v>0</v>
      </c>
      <c r="X55">
        <f t="shared" si="15"/>
        <v>8</v>
      </c>
    </row>
    <row r="56" spans="1:24" x14ac:dyDescent="0.25">
      <c r="A56" t="str">
        <f t="shared" si="7"/>
        <v/>
      </c>
      <c r="B56" s="59">
        <v>41</v>
      </c>
      <c r="C56" s="59"/>
      <c r="D56" s="59"/>
      <c r="E56" s="60"/>
      <c r="F56" s="60"/>
      <c r="G56" s="61" cm="1">
        <f t="array" aca="1" ref="G56" ca="1">IF(G55&gt;0,G55*(IF(SUM($R$3,0.01*$M$3)&gt;0.99,0.99,$R$3+0.01*$M$3)),G55)+(($Q$3+$Q$3*S42)+IF(M56=0,$P$3*_xlfn.IFS(J56="НЕУРОЖАЙ",0.25,J56="ОБЫЧНЫЙ",1,J56="РЕКОРД",1.25,J56="",1),0))-$O$3</f>
        <v>-1184722.3149305687</v>
      </c>
      <c r="H56" s="62">
        <f t="shared" ca="1" si="6"/>
        <v>-5.9397227434347748</v>
      </c>
      <c r="I56" s="76">
        <f t="shared" ca="1" si="8"/>
        <v>-4.1578059204043418</v>
      </c>
      <c r="J56" s="59" t="str">
        <f t="shared" ca="1" si="9"/>
        <v/>
      </c>
      <c r="K56" s="59" t="str">
        <f t="shared" ca="1" si="19"/>
        <v/>
      </c>
      <c r="L56" t="str">
        <f t="shared" ca="1" si="20"/>
        <v/>
      </c>
      <c r="M56" s="63">
        <f t="shared" si="12"/>
        <v>1</v>
      </c>
      <c r="N56" t="str">
        <f t="shared" si="18"/>
        <v/>
      </c>
      <c r="R56" s="59">
        <v>41</v>
      </c>
      <c r="T56" s="61">
        <f t="shared" ca="1" si="16"/>
        <v>-67607.731139550044</v>
      </c>
      <c r="U56" s="62">
        <f t="shared" ca="1" si="13"/>
        <v>-0.33895806065334655</v>
      </c>
      <c r="V56" t="str">
        <f t="shared" si="17"/>
        <v/>
      </c>
      <c r="W56">
        <f t="shared" si="14"/>
        <v>1</v>
      </c>
      <c r="X56">
        <f t="shared" si="15"/>
        <v>9</v>
      </c>
    </row>
    <row r="57" spans="1:24" x14ac:dyDescent="0.25">
      <c r="A57" t="str">
        <f t="shared" si="7"/>
        <v/>
      </c>
      <c r="B57" s="59">
        <v>42</v>
      </c>
      <c r="C57" s="59"/>
      <c r="D57" s="59"/>
      <c r="E57" s="60"/>
      <c r="F57" s="60"/>
      <c r="G57" s="61" cm="1">
        <f t="array" aca="1" ref="G57" ca="1">IF(G56&gt;0,G56*(IF(SUM($R$3,0.01*$M$3)&gt;0.99,0.99,$R$3+0.01*$M$3)),G56)+(($Q$3+$Q$3*S43)+IF(M57=0,$P$3*_xlfn.IFS(J57="НЕУРОЖАЙ",0.25,J57="ОБЫЧНЫЙ",1,J57="РЕКОРД",1.25,J57="",1),0))-$O$3</f>
        <v>-1337920.126013902</v>
      </c>
      <c r="H57" s="62">
        <f t="shared" ca="1" si="6"/>
        <v>-6.7077951526975541</v>
      </c>
      <c r="I57" s="76">
        <f t="shared" ca="1" si="8"/>
        <v>-4.6954566068882873</v>
      </c>
      <c r="J57" s="59" t="str">
        <f t="shared" ca="1" si="9"/>
        <v/>
      </c>
      <c r="K57" s="59" t="str">
        <f t="shared" ca="1" si="19"/>
        <v/>
      </c>
      <c r="L57" t="str">
        <f t="shared" ca="1" si="20"/>
        <v/>
      </c>
      <c r="M57" s="63">
        <f t="shared" si="12"/>
        <v>2</v>
      </c>
      <c r="N57" t="str">
        <f t="shared" si="18"/>
        <v/>
      </c>
      <c r="R57" s="59">
        <v>42</v>
      </c>
      <c r="T57" s="61">
        <f t="shared" ca="1" si="16"/>
        <v>-108228.82097397441</v>
      </c>
      <c r="U57" s="62">
        <f t="shared" ca="1" si="13"/>
        <v>-0.5426159204842198</v>
      </c>
      <c r="V57" t="str">
        <f t="shared" si="17"/>
        <v/>
      </c>
      <c r="W57">
        <f t="shared" si="14"/>
        <v>2</v>
      </c>
      <c r="X57">
        <f t="shared" si="15"/>
        <v>10</v>
      </c>
    </row>
    <row r="58" spans="1:24" x14ac:dyDescent="0.25">
      <c r="A58" t="str">
        <f t="shared" si="7"/>
        <v/>
      </c>
      <c r="B58" s="59">
        <v>43</v>
      </c>
      <c r="C58" s="59"/>
      <c r="D58" s="59"/>
      <c r="E58" s="60"/>
      <c r="F58" s="60"/>
      <c r="G58" s="61" cm="1">
        <f t="array" aca="1" ref="G58" ca="1">IF(G57&gt;0,G57*(IF(SUM($R$3,0.01*$M$3)&gt;0.99,0.99,$R$3+0.01*$M$3)),G57)+(($Q$3+$Q$3*S44)+IF(M58=0,$P$3*_xlfn.IFS(J58="НЕУРОЖАЙ",0.25,J58="ОБЫЧНЫЙ",1,J58="РЕКОРД",1.25,J58="",1),0))-$O$3</f>
        <v>-1491117.9370972353</v>
      </c>
      <c r="H58" s="62">
        <f t="shared" ca="1" si="6"/>
        <v>-7.4758675619603325</v>
      </c>
      <c r="I58" s="76">
        <f t="shared" ca="1" si="8"/>
        <v>-5.2331072933722327</v>
      </c>
      <c r="J58" s="59" t="str">
        <f t="shared" ca="1" si="9"/>
        <v/>
      </c>
      <c r="K58" s="59" t="str">
        <f t="shared" ca="1" si="19"/>
        <v/>
      </c>
      <c r="L58" t="str">
        <f t="shared" ca="1" si="20"/>
        <v/>
      </c>
      <c r="M58" s="63">
        <f t="shared" si="12"/>
        <v>3</v>
      </c>
      <c r="N58" t="str">
        <f t="shared" si="18"/>
        <v/>
      </c>
      <c r="R58" s="59">
        <v>43</v>
      </c>
      <c r="T58" s="61">
        <f t="shared" ca="1" si="16"/>
        <v>-148849.91080839877</v>
      </c>
      <c r="U58" s="62">
        <f t="shared" ca="1" si="13"/>
        <v>-0.74627378031509317</v>
      </c>
      <c r="V58" t="str">
        <f t="shared" si="17"/>
        <v/>
      </c>
      <c r="W58">
        <f t="shared" si="14"/>
        <v>3</v>
      </c>
      <c r="X58">
        <f t="shared" si="15"/>
        <v>11</v>
      </c>
    </row>
    <row r="59" spans="1:24" x14ac:dyDescent="0.25">
      <c r="A59" t="str">
        <f t="shared" si="7"/>
        <v/>
      </c>
      <c r="B59" s="59">
        <v>44</v>
      </c>
      <c r="C59" s="59"/>
      <c r="D59" s="59"/>
      <c r="E59" s="60"/>
      <c r="F59" s="60"/>
      <c r="G59" s="61" cm="1">
        <f t="array" aca="1" ref="G59" ca="1">IF(G58&gt;0,G58*(IF(SUM($R$3,0.01*$M$3)&gt;0.99,0.99,$R$3+0.01*$M$3)),G58)+(($Q$3+$Q$3*S45)+IF(M59=0,$P$3*_xlfn.IFS(J59="НЕУРОЖАЙ",0.25,J59="ОБЫЧНЫЙ",1,J59="РЕКОРД",1.25,J59="",1),0))-$O$3</f>
        <v>-1644315.7481805687</v>
      </c>
      <c r="H59" s="62">
        <f t="shared" ca="1" si="6"/>
        <v>-8.2439399712231118</v>
      </c>
      <c r="I59" s="76">
        <f t="shared" ca="1" si="8"/>
        <v>-5.7707579798561781</v>
      </c>
      <c r="J59" s="59" t="str">
        <f t="shared" ca="1" si="9"/>
        <v/>
      </c>
      <c r="K59" s="59" t="str">
        <f t="shared" ca="1" si="19"/>
        <v/>
      </c>
      <c r="L59" t="str">
        <f t="shared" ca="1" si="20"/>
        <v/>
      </c>
      <c r="M59" s="63">
        <f t="shared" si="12"/>
        <v>4</v>
      </c>
      <c r="N59" t="str">
        <f t="shared" si="18"/>
        <v/>
      </c>
      <c r="R59" s="59">
        <v>44</v>
      </c>
      <c r="T59" s="61">
        <f t="shared" ca="1" si="16"/>
        <v>-189471.00064282311</v>
      </c>
      <c r="U59" s="62">
        <f t="shared" ca="1" si="13"/>
        <v>-0.94993164014596643</v>
      </c>
      <c r="V59">
        <f t="shared" si="17"/>
        <v>11</v>
      </c>
      <c r="W59">
        <f t="shared" si="14"/>
        <v>0</v>
      </c>
      <c r="X59">
        <f t="shared" si="15"/>
        <v>12</v>
      </c>
    </row>
    <row r="60" spans="1:24" x14ac:dyDescent="0.25">
      <c r="A60" t="str">
        <f t="shared" si="7"/>
        <v/>
      </c>
      <c r="B60" s="59">
        <v>45</v>
      </c>
      <c r="C60" s="59"/>
      <c r="D60" s="59"/>
      <c r="E60" s="60"/>
      <c r="F60" s="60"/>
      <c r="G60" s="61" cm="1">
        <f t="array" aca="1" ref="G60" ca="1">IF(G59&gt;0,G59*(IF(SUM($R$3,0.01*$M$3)&gt;0.99,0.99,$R$3+0.01*$M$3)),G59)+(($Q$3+$Q$3*S46)+IF(M60=0,$P$3*_xlfn.IFS(J60="НЕУРОЖАЙ",0.25,J60="ОБЫЧНЫЙ",1,J60="РЕКОРД",1.25,J60="",1),0))-$O$3</f>
        <v>-1797513.559263902</v>
      </c>
      <c r="H60" s="62">
        <f t="shared" ca="1" si="6"/>
        <v>-9.012012380485892</v>
      </c>
      <c r="I60" s="76">
        <f t="shared" ca="1" si="8"/>
        <v>-6.3084086663401244</v>
      </c>
      <c r="J60" s="59" t="str">
        <f t="shared" ca="1" si="9"/>
        <v/>
      </c>
      <c r="K60" s="59" t="str">
        <f t="shared" ca="1" si="19"/>
        <v/>
      </c>
      <c r="L60" t="str">
        <f t="shared" ca="1" si="20"/>
        <v/>
      </c>
      <c r="M60" s="63">
        <f t="shared" si="12"/>
        <v>5</v>
      </c>
      <c r="N60" t="str">
        <f t="shared" si="18"/>
        <v/>
      </c>
      <c r="R60" s="59">
        <v>45</v>
      </c>
      <c r="T60" s="61">
        <f t="shared" ca="1" si="16"/>
        <v>-230092.09047724749</v>
      </c>
      <c r="U60" s="62">
        <f t="shared" ca="1" si="13"/>
        <v>-1.1535894999768397</v>
      </c>
      <c r="V60" t="str">
        <f t="shared" si="17"/>
        <v/>
      </c>
      <c r="W60">
        <f t="shared" si="14"/>
        <v>1</v>
      </c>
      <c r="X60">
        <f t="shared" si="15"/>
        <v>13</v>
      </c>
    </row>
    <row r="61" spans="1:24" x14ac:dyDescent="0.25">
      <c r="A61" t="str">
        <f t="shared" si="7"/>
        <v/>
      </c>
      <c r="B61" s="59">
        <v>46</v>
      </c>
      <c r="C61" s="59"/>
      <c r="D61" s="59"/>
      <c r="E61" s="60"/>
      <c r="F61" s="60"/>
      <c r="G61" s="61" cm="1">
        <f t="array" aca="1" ref="G61" ca="1">IF(G60&gt;0,G60*(IF(SUM($R$3,0.01*$M$3)&gt;0.99,0.99,$R$3+0.01*$M$3)),G60)+(($Q$3+$Q$3*S47)+IF(M61=0,$P$3*_xlfn.IFS(J61="НЕУРОЖАЙ",0.25,J61="ОБЫЧНЫЙ",1,J61="РЕКОРД",1.25,J61="",1),0))-$O$3</f>
        <v>-1950711.3703472354</v>
      </c>
      <c r="H61" s="62">
        <f t="shared" ca="1" si="6"/>
        <v>-9.7800847897486705</v>
      </c>
      <c r="I61" s="76">
        <f t="shared" ca="1" si="8"/>
        <v>-6.846059352824069</v>
      </c>
      <c r="J61" s="59" t="str">
        <f t="shared" ca="1" si="9"/>
        <v/>
      </c>
      <c r="K61" s="59" t="str">
        <f t="shared" ca="1" si="19"/>
        <v/>
      </c>
      <c r="L61" t="str">
        <f t="shared" ca="1" si="20"/>
        <v/>
      </c>
      <c r="M61" s="63">
        <f t="shared" si="12"/>
        <v>6</v>
      </c>
      <c r="N61" t="str">
        <f t="shared" si="18"/>
        <v/>
      </c>
      <c r="R61" s="59">
        <v>46</v>
      </c>
      <c r="T61" s="61">
        <f t="shared" ca="1" si="16"/>
        <v>-270713.18031167187</v>
      </c>
      <c r="U61" s="62">
        <f t="shared" ca="1" si="13"/>
        <v>-1.357247359807713</v>
      </c>
      <c r="V61" t="str">
        <f t="shared" si="17"/>
        <v/>
      </c>
      <c r="W61">
        <f t="shared" si="14"/>
        <v>2</v>
      </c>
      <c r="X61">
        <f t="shared" si="15"/>
        <v>14</v>
      </c>
    </row>
    <row r="62" spans="1:24" x14ac:dyDescent="0.25">
      <c r="A62" t="str">
        <f t="shared" si="7"/>
        <v/>
      </c>
      <c r="B62" s="59">
        <v>47</v>
      </c>
      <c r="C62" s="59"/>
      <c r="D62" s="59"/>
      <c r="E62" s="60"/>
      <c r="F62" s="60"/>
      <c r="G62" s="61" cm="1">
        <f t="array" aca="1" ref="G62" ca="1">IF(G61&gt;0,G61*(IF(SUM($R$3,0.01*$M$3)&gt;0.99,0.99,$R$3+0.01*$M$3)),G61)+(($Q$3+$Q$3*S48)+IF(M62=0,$P$3*_xlfn.IFS(J62="НЕУРОЖАЙ",0.25,J62="ОБЫЧНЫЙ",1,J62="РЕКОРД",1.25,J62="",1),0))-$O$3</f>
        <v>-2103909.1814305689</v>
      </c>
      <c r="H62" s="62">
        <f t="shared" ca="1" si="6"/>
        <v>-10.548157199011451</v>
      </c>
      <c r="I62" s="76">
        <f t="shared" ca="1" si="8"/>
        <v>-7.3837100393080153</v>
      </c>
      <c r="J62" s="59" t="str">
        <f t="shared" ca="1" si="9"/>
        <v/>
      </c>
      <c r="K62" s="59" t="str">
        <f t="shared" ca="1" si="19"/>
        <v/>
      </c>
      <c r="L62" t="str">
        <f t="shared" ca="1" si="20"/>
        <v/>
      </c>
      <c r="M62" s="63">
        <f t="shared" si="12"/>
        <v>7</v>
      </c>
      <c r="N62" t="str">
        <f t="shared" si="18"/>
        <v/>
      </c>
      <c r="R62" s="59">
        <v>47</v>
      </c>
      <c r="T62" s="61">
        <f t="shared" ca="1" si="16"/>
        <v>-311334.27014609624</v>
      </c>
      <c r="U62" s="62">
        <f t="shared" ca="1" si="13"/>
        <v>-1.5609052196385864</v>
      </c>
      <c r="V62" t="str">
        <f t="shared" si="17"/>
        <v/>
      </c>
      <c r="W62">
        <f t="shared" si="14"/>
        <v>3</v>
      </c>
      <c r="X62">
        <f t="shared" si="15"/>
        <v>15</v>
      </c>
    </row>
    <row r="63" spans="1:24" x14ac:dyDescent="0.25">
      <c r="A63" t="str">
        <f t="shared" si="7"/>
        <v>АВГУСТ</v>
      </c>
      <c r="B63" s="59">
        <v>48</v>
      </c>
      <c r="C63" s="59"/>
      <c r="D63" s="59"/>
      <c r="E63" s="60"/>
      <c r="F63" s="60"/>
      <c r="G63" s="61" cm="1">
        <f t="array" aca="1" ref="G63" ca="1">IF(G62&gt;0,G62*(IF(SUM($R$3,0.01*$M$3)&gt;0.99,0.99,$R$3+0.01*$M$3)),G62)+(($Q$3+$Q$3*S49)+IF(M63=0,$P$3*_xlfn.IFS(J63="НЕУРОЖАЙ",0.25,J63="ОБЫЧНЫЙ",1,J63="РЕКОРД",1.25,J63="",1),0))-$O$3</f>
        <v>-1357106.9925139023</v>
      </c>
      <c r="H63" s="62">
        <f t="shared" ca="1" si="6"/>
        <v>-6.8039904095008135</v>
      </c>
      <c r="I63" s="76">
        <f t="shared" ca="1" si="8"/>
        <v>-4.7627932866505693</v>
      </c>
      <c r="J63" s="59" t="str">
        <f ca="1">_xlfn.IFS(AND(K63&gt;0,K63&lt;34),"НЕУРОЖАЙ",AND(L63&gt;0,L63&lt;11),"РЕКОРД",NOT(M63=0),"",AND(K63&gt;33,L63&gt;10),"ОБЫЧНЫЙ")</f>
        <v>ОБЫЧНЫЙ</v>
      </c>
      <c r="K63" s="59">
        <f t="shared" ca="1" si="19"/>
        <v>87</v>
      </c>
      <c r="L63">
        <f t="shared" ca="1" si="20"/>
        <v>87</v>
      </c>
      <c r="M63" s="63">
        <f t="shared" si="12"/>
        <v>0</v>
      </c>
      <c r="N63">
        <f ca="1">IF(M63=0,IF(J55="НЕУРОЖАЙ",1,N55+33),"")</f>
        <v>199</v>
      </c>
      <c r="R63" s="59">
        <v>48</v>
      </c>
      <c r="T63" s="61">
        <f t="shared" ca="1" si="16"/>
        <v>-351955.35998052056</v>
      </c>
      <c r="U63" s="62">
        <f t="shared" ca="1" si="13"/>
        <v>-1.7645630794694596</v>
      </c>
      <c r="V63">
        <f t="shared" si="17"/>
        <v>12</v>
      </c>
      <c r="W63">
        <f t="shared" si="14"/>
        <v>0</v>
      </c>
      <c r="X63">
        <f t="shared" si="15"/>
        <v>16</v>
      </c>
    </row>
    <row r="64" spans="1:24" x14ac:dyDescent="0.25">
      <c r="R64" s="59">
        <v>49</v>
      </c>
      <c r="T64" s="61">
        <f t="shared" ca="1" si="16"/>
        <v>-392576.44981494488</v>
      </c>
      <c r="U64" s="62">
        <f t="shared" ca="1" si="13"/>
        <v>-1.9682209393003327</v>
      </c>
      <c r="V64" t="str">
        <f t="shared" si="17"/>
        <v/>
      </c>
      <c r="W64">
        <f t="shared" si="14"/>
        <v>1</v>
      </c>
      <c r="X64">
        <f t="shared" si="15"/>
        <v>17</v>
      </c>
    </row>
    <row r="65" spans="5:27" x14ac:dyDescent="0.25">
      <c r="R65" s="59">
        <v>50</v>
      </c>
      <c r="T65" s="61">
        <f t="shared" ca="1" si="16"/>
        <v>-433197.5396493692</v>
      </c>
      <c r="U65" s="62">
        <f t="shared" ca="1" si="13"/>
        <v>-2.1718787991312056</v>
      </c>
      <c r="V65" t="str">
        <f t="shared" si="17"/>
        <v/>
      </c>
      <c r="W65">
        <f t="shared" si="14"/>
        <v>2</v>
      </c>
      <c r="X65">
        <f t="shared" si="15"/>
        <v>18</v>
      </c>
    </row>
    <row r="66" spans="5:27" x14ac:dyDescent="0.25">
      <c r="R66" s="59">
        <v>51</v>
      </c>
      <c r="T66" s="61">
        <f t="shared" ca="1" si="16"/>
        <v>-473818.62948379351</v>
      </c>
      <c r="U66" s="62">
        <f t="shared" ca="1" si="13"/>
        <v>-2.375536658962079</v>
      </c>
      <c r="V66" t="str">
        <f t="shared" si="17"/>
        <v/>
      </c>
      <c r="W66">
        <f t="shared" si="14"/>
        <v>3</v>
      </c>
      <c r="X66">
        <f t="shared" si="15"/>
        <v>19</v>
      </c>
    </row>
    <row r="67" spans="5:27" x14ac:dyDescent="0.25">
      <c r="R67" s="59">
        <v>52</v>
      </c>
      <c r="T67" s="61">
        <f t="shared" ca="1" si="16"/>
        <v>-514439.71931821783</v>
      </c>
      <c r="U67" s="62">
        <f t="shared" ca="1" si="13"/>
        <v>-2.5791945187929519</v>
      </c>
      <c r="V67">
        <f t="shared" si="17"/>
        <v>13</v>
      </c>
      <c r="W67">
        <f t="shared" si="14"/>
        <v>0</v>
      </c>
      <c r="X67">
        <f t="shared" si="15"/>
        <v>20</v>
      </c>
    </row>
    <row r="68" spans="5:27" x14ac:dyDescent="0.25">
      <c r="R68" s="59">
        <v>53</v>
      </c>
      <c r="T68" s="61">
        <f t="shared" ca="1" si="16"/>
        <v>-555060.80915264215</v>
      </c>
      <c r="U68" s="62">
        <f t="shared" ca="1" si="13"/>
        <v>-2.7828523786238248</v>
      </c>
      <c r="V68" t="str">
        <f t="shared" si="17"/>
        <v/>
      </c>
      <c r="W68">
        <f t="shared" si="14"/>
        <v>1</v>
      </c>
      <c r="X68">
        <f t="shared" si="15"/>
        <v>21</v>
      </c>
    </row>
    <row r="69" spans="5:27" x14ac:dyDescent="0.25">
      <c r="R69" s="59">
        <v>54</v>
      </c>
      <c r="T69" s="61">
        <f t="shared" ca="1" si="16"/>
        <v>-595681.89898706647</v>
      </c>
      <c r="U69" s="62">
        <f t="shared" ca="1" si="13"/>
        <v>-2.9865102384546982</v>
      </c>
      <c r="V69" t="str">
        <f t="shared" si="17"/>
        <v/>
      </c>
      <c r="W69">
        <f t="shared" si="14"/>
        <v>2</v>
      </c>
      <c r="X69">
        <f t="shared" si="15"/>
        <v>22</v>
      </c>
    </row>
    <row r="70" spans="5:27" x14ac:dyDescent="0.25">
      <c r="R70" s="59">
        <v>55</v>
      </c>
      <c r="T70" s="61">
        <f t="shared" ca="1" si="16"/>
        <v>-636302.98882149078</v>
      </c>
      <c r="U70" s="62">
        <f t="shared" ca="1" si="13"/>
        <v>-3.1901680982855711</v>
      </c>
      <c r="V70" t="str">
        <f t="shared" si="17"/>
        <v/>
      </c>
      <c r="W70">
        <f t="shared" si="14"/>
        <v>3</v>
      </c>
      <c r="X70">
        <f t="shared" si="15"/>
        <v>23</v>
      </c>
    </row>
    <row r="71" spans="5:27" x14ac:dyDescent="0.25">
      <c r="R71" s="59">
        <v>56</v>
      </c>
      <c r="T71" s="61">
        <f t="shared" ca="1" si="16"/>
        <v>-676924.0786559151</v>
      </c>
      <c r="U71" s="62">
        <f t="shared" ca="1" si="13"/>
        <v>-3.3938259581164445</v>
      </c>
      <c r="V71">
        <f t="shared" si="17"/>
        <v>14</v>
      </c>
      <c r="W71">
        <f t="shared" si="14"/>
        <v>0</v>
      </c>
      <c r="X71">
        <f t="shared" si="15"/>
        <v>24</v>
      </c>
    </row>
    <row r="72" spans="5:27" x14ac:dyDescent="0.25">
      <c r="R72" s="59">
        <v>57</v>
      </c>
      <c r="T72" s="61">
        <f t="shared" ca="1" si="16"/>
        <v>-717545.16849033942</v>
      </c>
      <c r="U72" s="62">
        <f t="shared" ca="1" si="13"/>
        <v>-3.5974838179473174</v>
      </c>
      <c r="V72" t="str">
        <f t="shared" si="17"/>
        <v/>
      </c>
      <c r="W72">
        <f t="shared" si="14"/>
        <v>1</v>
      </c>
      <c r="X72">
        <f t="shared" si="15"/>
        <v>25</v>
      </c>
    </row>
    <row r="73" spans="5:27" x14ac:dyDescent="0.25">
      <c r="R73" s="59">
        <v>58</v>
      </c>
      <c r="T73" s="61">
        <f t="shared" ca="1" si="16"/>
        <v>-758166.25832476374</v>
      </c>
      <c r="U73" s="62">
        <f t="shared" ca="1" si="13"/>
        <v>-3.8011416777781903</v>
      </c>
      <c r="V73" t="str">
        <f t="shared" si="17"/>
        <v/>
      </c>
      <c r="W73">
        <f t="shared" si="14"/>
        <v>2</v>
      </c>
      <c r="X73">
        <f t="shared" si="15"/>
        <v>26</v>
      </c>
    </row>
    <row r="74" spans="5:27" x14ac:dyDescent="0.25">
      <c r="R74" s="59">
        <v>59</v>
      </c>
      <c r="T74" s="61">
        <f t="shared" ca="1" si="16"/>
        <v>-798787.34815918806</v>
      </c>
      <c r="U74" s="62">
        <f t="shared" ca="1" si="13"/>
        <v>-4.0047995376090633</v>
      </c>
      <c r="V74" t="str">
        <f t="shared" si="17"/>
        <v/>
      </c>
      <c r="W74">
        <f t="shared" si="14"/>
        <v>3</v>
      </c>
      <c r="X74">
        <f t="shared" si="15"/>
        <v>27</v>
      </c>
    </row>
    <row r="75" spans="5:27" x14ac:dyDescent="0.25">
      <c r="R75" s="59">
        <v>60</v>
      </c>
      <c r="T75" s="61">
        <f t="shared" ca="1" si="16"/>
        <v>-839408.43799361237</v>
      </c>
      <c r="U75" s="62">
        <f t="shared" ca="1" si="13"/>
        <v>-4.2084573974399371</v>
      </c>
      <c r="V75">
        <f t="shared" si="17"/>
        <v>15</v>
      </c>
      <c r="W75">
        <f t="shared" si="14"/>
        <v>0</v>
      </c>
      <c r="X75">
        <f t="shared" si="15"/>
        <v>28</v>
      </c>
    </row>
    <row r="76" spans="5:27" x14ac:dyDescent="0.25">
      <c r="R76" s="59">
        <v>61</v>
      </c>
      <c r="T76" s="61">
        <f t="shared" ca="1" si="16"/>
        <v>-880029.52782803669</v>
      </c>
      <c r="U76" s="62">
        <f t="shared" ca="1" si="13"/>
        <v>-4.41211525727081</v>
      </c>
      <c r="V76" t="str">
        <f t="shared" si="17"/>
        <v/>
      </c>
      <c r="W76">
        <f t="shared" si="14"/>
        <v>1</v>
      </c>
      <c r="X76">
        <f t="shared" si="15"/>
        <v>29</v>
      </c>
    </row>
    <row r="77" spans="5:27" x14ac:dyDescent="0.25">
      <c r="R77" s="59">
        <v>62</v>
      </c>
      <c r="T77" s="61">
        <f t="shared" ca="1" si="16"/>
        <v>-920650.61766246101</v>
      </c>
      <c r="U77" s="62">
        <f t="shared" ca="1" si="13"/>
        <v>-4.6157731171016829</v>
      </c>
      <c r="V77" t="str">
        <f t="shared" si="17"/>
        <v/>
      </c>
      <c r="W77">
        <f t="shared" si="14"/>
        <v>2</v>
      </c>
      <c r="X77">
        <f t="shared" si="15"/>
        <v>30</v>
      </c>
    </row>
    <row r="78" spans="5:27" x14ac:dyDescent="0.25">
      <c r="E78" s="61">
        <v>5555555</v>
      </c>
      <c r="F78" s="45">
        <f>E78*0.3</f>
        <v>1666666.5</v>
      </c>
      <c r="R78" s="59">
        <v>63</v>
      </c>
      <c r="T78" s="61">
        <f t="shared" ca="1" si="16"/>
        <v>-961271.70749688533</v>
      </c>
      <c r="U78" s="62">
        <f t="shared" ca="1" si="13"/>
        <v>-4.8194309769325558</v>
      </c>
      <c r="V78" t="str">
        <f t="shared" si="17"/>
        <v/>
      </c>
      <c r="W78">
        <f t="shared" si="14"/>
        <v>3</v>
      </c>
      <c r="X78">
        <f t="shared" si="15"/>
        <v>31</v>
      </c>
    </row>
    <row r="79" spans="5:27" x14ac:dyDescent="0.25">
      <c r="E79" s="45">
        <f>E78+1234567</f>
        <v>6790122</v>
      </c>
      <c r="F79" s="45">
        <f>E79-F78</f>
        <v>5123455.5</v>
      </c>
      <c r="R79" s="59">
        <v>64</v>
      </c>
      <c r="T79" s="61">
        <f t="shared" ca="1" si="16"/>
        <v>-101892.79733130966</v>
      </c>
      <c r="U79" s="62">
        <f t="shared" ca="1" si="13"/>
        <v>-0.51084963799001204</v>
      </c>
      <c r="V79">
        <f t="shared" si="17"/>
        <v>16</v>
      </c>
      <c r="W79">
        <f t="shared" si="14"/>
        <v>0</v>
      </c>
      <c r="X79">
        <f t="shared" si="15"/>
        <v>0</v>
      </c>
      <c r="Y79" s="59" t="str">
        <f ca="1">J31</f>
        <v>ОБЫЧНЫЙ</v>
      </c>
      <c r="Z79" s="59">
        <f ca="1">K31</f>
        <v>72</v>
      </c>
      <c r="AA79" s="59">
        <f ca="1">N31</f>
        <v>67</v>
      </c>
    </row>
    <row r="80" spans="5:27" x14ac:dyDescent="0.25">
      <c r="R80" s="59">
        <v>65</v>
      </c>
      <c r="T80" s="61">
        <f t="shared" ca="1" si="16"/>
        <v>-142513.88716573402</v>
      </c>
      <c r="U80" s="62">
        <f t="shared" ca="1" si="13"/>
        <v>-0.71450749782088541</v>
      </c>
      <c r="V80" t="str">
        <f t="shared" si="17"/>
        <v/>
      </c>
      <c r="W80">
        <f t="shared" si="14"/>
        <v>1</v>
      </c>
      <c r="X80">
        <f t="shared" si="15"/>
        <v>1</v>
      </c>
    </row>
    <row r="81" spans="18:24" x14ac:dyDescent="0.25">
      <c r="R81" s="59">
        <v>66</v>
      </c>
      <c r="T81" s="61">
        <f t="shared" ca="1" si="16"/>
        <v>-183134.9770001584</v>
      </c>
      <c r="U81" s="62">
        <f t="shared" ref="U81:U144" ca="1" si="21">T81/$O$3</f>
        <v>-0.91816535765175877</v>
      </c>
      <c r="V81" t="str">
        <f t="shared" si="17"/>
        <v/>
      </c>
      <c r="W81">
        <f t="shared" ref="W81:W144" si="22">MOD(R81,4)</f>
        <v>2</v>
      </c>
      <c r="X81">
        <f t="shared" ref="X81:X95" si="23">MOD(R81,32)</f>
        <v>2</v>
      </c>
    </row>
    <row r="82" spans="18:24" x14ac:dyDescent="0.25">
      <c r="R82" s="59">
        <v>67</v>
      </c>
      <c r="T82" s="61">
        <f t="shared" ref="T82:T145" ca="1" si="24">IF(AND(T81&gt;0,W82=0),T81*(IF(SUM($R$3,0.01*$M$3)&gt;0.99,0.99,$R$3+0.01*$M$3)),T81)+((($Q$3+$Q$3*$S$3)/4)+(IF(X82=0,$P$3*_xlfn.IFS(Y82="НЕУРОЖАЙ",0.25,Y82="ОБЫЧНЫЙ",1,Y82="РЕКОРД",1.25,Y82="",1),0)))-($O$3/4)</f>
        <v>-223756.06683458277</v>
      </c>
      <c r="U82" s="62">
        <f t="shared" ca="1" si="21"/>
        <v>-1.1218232174826321</v>
      </c>
      <c r="V82" t="str">
        <f t="shared" si="17"/>
        <v/>
      </c>
      <c r="W82">
        <f t="shared" si="22"/>
        <v>3</v>
      </c>
      <c r="X82">
        <f t="shared" si="23"/>
        <v>3</v>
      </c>
    </row>
    <row r="83" spans="18:24" x14ac:dyDescent="0.25">
      <c r="R83" s="59">
        <v>68</v>
      </c>
      <c r="T83" s="61">
        <f t="shared" ca="1" si="24"/>
        <v>-264377.15666900715</v>
      </c>
      <c r="U83" s="62">
        <f t="shared" ca="1" si="21"/>
        <v>-1.3254810773135055</v>
      </c>
      <c r="V83">
        <f t="shared" si="17"/>
        <v>17</v>
      </c>
      <c r="W83">
        <f t="shared" si="22"/>
        <v>0</v>
      </c>
      <c r="X83">
        <f t="shared" si="23"/>
        <v>4</v>
      </c>
    </row>
    <row r="84" spans="18:24" x14ac:dyDescent="0.25">
      <c r="R84" s="59">
        <v>69</v>
      </c>
      <c r="T84" s="61">
        <f t="shared" ca="1" si="24"/>
        <v>-304998.24650343152</v>
      </c>
      <c r="U84" s="62">
        <f t="shared" ca="1" si="21"/>
        <v>-1.5291389371443789</v>
      </c>
      <c r="V84" t="str">
        <f t="shared" ref="V84:V147" si="25">IF(W84=0,V80+1,"")</f>
        <v/>
      </c>
      <c r="W84">
        <f t="shared" si="22"/>
        <v>1</v>
      </c>
      <c r="X84">
        <f t="shared" si="23"/>
        <v>5</v>
      </c>
    </row>
    <row r="85" spans="18:24" x14ac:dyDescent="0.25">
      <c r="R85" s="59">
        <v>70</v>
      </c>
      <c r="T85" s="61">
        <f t="shared" ca="1" si="24"/>
        <v>-345619.33633785584</v>
      </c>
      <c r="U85" s="62">
        <f t="shared" ca="1" si="21"/>
        <v>-1.732796796975252</v>
      </c>
      <c r="V85" t="str">
        <f t="shared" si="25"/>
        <v/>
      </c>
      <c r="W85">
        <f t="shared" si="22"/>
        <v>2</v>
      </c>
      <c r="X85">
        <f t="shared" si="23"/>
        <v>6</v>
      </c>
    </row>
    <row r="86" spans="18:24" x14ac:dyDescent="0.25">
      <c r="R86" s="59">
        <v>71</v>
      </c>
      <c r="T86" s="61">
        <f t="shared" ca="1" si="24"/>
        <v>-386240.42617228016</v>
      </c>
      <c r="U86" s="62">
        <f t="shared" ca="1" si="21"/>
        <v>-1.9364546568061252</v>
      </c>
      <c r="V86" t="str">
        <f t="shared" si="25"/>
        <v/>
      </c>
      <c r="W86">
        <f t="shared" si="22"/>
        <v>3</v>
      </c>
      <c r="X86">
        <f t="shared" si="23"/>
        <v>7</v>
      </c>
    </row>
    <row r="87" spans="18:24" x14ac:dyDescent="0.25">
      <c r="R87" s="59">
        <v>72</v>
      </c>
      <c r="T87" s="61">
        <f t="shared" ca="1" si="24"/>
        <v>-426861.51600670448</v>
      </c>
      <c r="U87" s="62">
        <f t="shared" ca="1" si="21"/>
        <v>-2.1401125166369983</v>
      </c>
      <c r="V87">
        <f t="shared" si="25"/>
        <v>18</v>
      </c>
      <c r="W87">
        <f t="shared" si="22"/>
        <v>0</v>
      </c>
      <c r="X87">
        <f t="shared" si="23"/>
        <v>8</v>
      </c>
    </row>
    <row r="88" spans="18:24" x14ac:dyDescent="0.25">
      <c r="R88" s="59">
        <v>73</v>
      </c>
      <c r="T88" s="61">
        <f t="shared" ca="1" si="24"/>
        <v>-467482.6058411288</v>
      </c>
      <c r="U88" s="62">
        <f t="shared" ca="1" si="21"/>
        <v>-2.3437703764678712</v>
      </c>
      <c r="V88" t="str">
        <f t="shared" si="25"/>
        <v/>
      </c>
      <c r="W88">
        <f t="shared" si="22"/>
        <v>1</v>
      </c>
      <c r="X88">
        <f t="shared" si="23"/>
        <v>9</v>
      </c>
    </row>
    <row r="89" spans="18:24" x14ac:dyDescent="0.25">
      <c r="R89" s="59">
        <v>74</v>
      </c>
      <c r="T89" s="61">
        <f t="shared" ca="1" si="24"/>
        <v>-508103.69567555311</v>
      </c>
      <c r="U89" s="62">
        <f t="shared" ca="1" si="21"/>
        <v>-2.5474282362987442</v>
      </c>
      <c r="V89" t="str">
        <f t="shared" si="25"/>
        <v/>
      </c>
      <c r="W89">
        <f t="shared" si="22"/>
        <v>2</v>
      </c>
      <c r="X89">
        <f t="shared" si="23"/>
        <v>10</v>
      </c>
    </row>
    <row r="90" spans="18:24" x14ac:dyDescent="0.25">
      <c r="R90" s="59">
        <v>75</v>
      </c>
      <c r="T90" s="61">
        <f t="shared" ca="1" si="24"/>
        <v>-548724.78550997749</v>
      </c>
      <c r="U90" s="62">
        <f t="shared" ca="1" si="21"/>
        <v>-2.7510860961296175</v>
      </c>
      <c r="V90" t="str">
        <f t="shared" si="25"/>
        <v/>
      </c>
      <c r="W90">
        <f t="shared" si="22"/>
        <v>3</v>
      </c>
      <c r="X90">
        <f t="shared" si="23"/>
        <v>11</v>
      </c>
    </row>
    <row r="91" spans="18:24" x14ac:dyDescent="0.25">
      <c r="R91" s="59">
        <v>76</v>
      </c>
      <c r="T91" s="61">
        <f t="shared" ca="1" si="24"/>
        <v>-589345.87534440181</v>
      </c>
      <c r="U91" s="62">
        <f t="shared" ca="1" si="21"/>
        <v>-2.9547439559604909</v>
      </c>
      <c r="V91">
        <f t="shared" si="25"/>
        <v>19</v>
      </c>
      <c r="W91">
        <f t="shared" si="22"/>
        <v>0</v>
      </c>
      <c r="X91">
        <f t="shared" si="23"/>
        <v>12</v>
      </c>
    </row>
    <row r="92" spans="18:24" x14ac:dyDescent="0.25">
      <c r="R92" s="59">
        <v>77</v>
      </c>
      <c r="T92" s="61">
        <f t="shared" ca="1" si="24"/>
        <v>-629966.96517882613</v>
      </c>
      <c r="U92" s="62">
        <f t="shared" ca="1" si="21"/>
        <v>-3.1584018157913638</v>
      </c>
      <c r="V92" t="str">
        <f t="shared" si="25"/>
        <v/>
      </c>
      <c r="W92">
        <f t="shared" si="22"/>
        <v>1</v>
      </c>
      <c r="X92">
        <f t="shared" si="23"/>
        <v>13</v>
      </c>
    </row>
    <row r="93" spans="18:24" x14ac:dyDescent="0.25">
      <c r="R93" s="59">
        <v>78</v>
      </c>
      <c r="T93" s="61">
        <f t="shared" ca="1" si="24"/>
        <v>-670588.05501325044</v>
      </c>
      <c r="U93" s="62">
        <f t="shared" ca="1" si="21"/>
        <v>-3.3620596756222372</v>
      </c>
      <c r="V93" t="str">
        <f t="shared" si="25"/>
        <v/>
      </c>
      <c r="W93">
        <f t="shared" si="22"/>
        <v>2</v>
      </c>
      <c r="X93">
        <f t="shared" si="23"/>
        <v>14</v>
      </c>
    </row>
    <row r="94" spans="18:24" x14ac:dyDescent="0.25">
      <c r="R94" s="59">
        <v>79</v>
      </c>
      <c r="T94" s="61">
        <f t="shared" ca="1" si="24"/>
        <v>-711209.14484767476</v>
      </c>
      <c r="U94" s="62">
        <f t="shared" ca="1" si="21"/>
        <v>-3.5657175354531101</v>
      </c>
      <c r="V94" t="str">
        <f t="shared" si="25"/>
        <v/>
      </c>
      <c r="W94">
        <f t="shared" si="22"/>
        <v>3</v>
      </c>
      <c r="X94">
        <f t="shared" si="23"/>
        <v>15</v>
      </c>
    </row>
    <row r="95" spans="18:24" x14ac:dyDescent="0.25">
      <c r="R95" s="59">
        <v>80</v>
      </c>
      <c r="T95" s="61">
        <f t="shared" ca="1" si="24"/>
        <v>-751830.23468209908</v>
      </c>
      <c r="U95" s="62">
        <f t="shared" ca="1" si="21"/>
        <v>-3.769375395283983</v>
      </c>
      <c r="V95">
        <f t="shared" si="25"/>
        <v>20</v>
      </c>
      <c r="W95">
        <f t="shared" si="22"/>
        <v>0</v>
      </c>
      <c r="X95">
        <f t="shared" si="23"/>
        <v>16</v>
      </c>
    </row>
    <row r="96" spans="18:24" x14ac:dyDescent="0.25">
      <c r="R96" s="59">
        <v>81</v>
      </c>
      <c r="T96" s="61">
        <f t="shared" ca="1" si="24"/>
        <v>-792451.3245165234</v>
      </c>
      <c r="U96" s="62">
        <f t="shared" ca="1" si="21"/>
        <v>-3.9730332551148564</v>
      </c>
      <c r="V96" t="str">
        <f t="shared" si="25"/>
        <v/>
      </c>
      <c r="W96">
        <f t="shared" si="22"/>
        <v>1</v>
      </c>
      <c r="X96">
        <f t="shared" ref="X96:X159" si="26">MOD(R96,32)</f>
        <v>17</v>
      </c>
    </row>
    <row r="97" spans="18:27" x14ac:dyDescent="0.25">
      <c r="R97" s="59">
        <v>82</v>
      </c>
      <c r="T97" s="61">
        <f t="shared" ca="1" si="24"/>
        <v>-833072.41435094771</v>
      </c>
      <c r="U97" s="62">
        <f t="shared" ca="1" si="21"/>
        <v>-4.1766911149457293</v>
      </c>
      <c r="V97" t="str">
        <f t="shared" si="25"/>
        <v/>
      </c>
      <c r="W97">
        <f t="shared" si="22"/>
        <v>2</v>
      </c>
      <c r="X97">
        <f t="shared" si="26"/>
        <v>18</v>
      </c>
    </row>
    <row r="98" spans="18:27" x14ac:dyDescent="0.25">
      <c r="R98" s="59">
        <v>83</v>
      </c>
      <c r="T98" s="61">
        <f t="shared" ca="1" si="24"/>
        <v>-873693.50418537203</v>
      </c>
      <c r="U98" s="62">
        <f t="shared" ca="1" si="21"/>
        <v>-4.3803489747766022</v>
      </c>
      <c r="V98" t="str">
        <f t="shared" si="25"/>
        <v/>
      </c>
      <c r="W98">
        <f t="shared" si="22"/>
        <v>3</v>
      </c>
      <c r="X98">
        <f t="shared" si="26"/>
        <v>19</v>
      </c>
    </row>
    <row r="99" spans="18:27" x14ac:dyDescent="0.25">
      <c r="R99" s="59">
        <v>84</v>
      </c>
      <c r="T99" s="61">
        <f t="shared" ca="1" si="24"/>
        <v>-914314.59401979635</v>
      </c>
      <c r="U99" s="62">
        <f t="shared" ca="1" si="21"/>
        <v>-4.5840068346074752</v>
      </c>
      <c r="V99">
        <f t="shared" si="25"/>
        <v>21</v>
      </c>
      <c r="W99">
        <f t="shared" si="22"/>
        <v>0</v>
      </c>
      <c r="X99">
        <f t="shared" si="26"/>
        <v>20</v>
      </c>
    </row>
    <row r="100" spans="18:27" x14ac:dyDescent="0.25">
      <c r="R100" s="59">
        <v>85</v>
      </c>
      <c r="T100" s="61">
        <f t="shared" ca="1" si="24"/>
        <v>-954935.68385422067</v>
      </c>
      <c r="U100" s="62">
        <f t="shared" ca="1" si="21"/>
        <v>-4.787664694438349</v>
      </c>
      <c r="V100" t="str">
        <f t="shared" si="25"/>
        <v/>
      </c>
      <c r="W100">
        <f t="shared" si="22"/>
        <v>1</v>
      </c>
      <c r="X100">
        <f t="shared" si="26"/>
        <v>21</v>
      </c>
    </row>
    <row r="101" spans="18:27" x14ac:dyDescent="0.25">
      <c r="R101" s="59">
        <v>86</v>
      </c>
      <c r="T101" s="61">
        <f t="shared" ca="1" si="24"/>
        <v>-995556.77368864499</v>
      </c>
      <c r="U101" s="62">
        <f t="shared" ca="1" si="21"/>
        <v>-4.9913225542692219</v>
      </c>
      <c r="V101" t="str">
        <f t="shared" si="25"/>
        <v/>
      </c>
      <c r="W101">
        <f t="shared" si="22"/>
        <v>2</v>
      </c>
      <c r="X101">
        <f t="shared" si="26"/>
        <v>22</v>
      </c>
    </row>
    <row r="102" spans="18:27" x14ac:dyDescent="0.25">
      <c r="R102" s="59">
        <v>87</v>
      </c>
      <c r="T102" s="61">
        <f t="shared" ca="1" si="24"/>
        <v>-1036177.8635230693</v>
      </c>
      <c r="U102" s="62">
        <f t="shared" ca="1" si="21"/>
        <v>-5.1949804141000948</v>
      </c>
      <c r="V102" t="str">
        <f t="shared" si="25"/>
        <v/>
      </c>
      <c r="W102">
        <f t="shared" si="22"/>
        <v>3</v>
      </c>
      <c r="X102">
        <f t="shared" si="26"/>
        <v>23</v>
      </c>
    </row>
    <row r="103" spans="18:27" x14ac:dyDescent="0.25">
      <c r="R103" s="59">
        <v>88</v>
      </c>
      <c r="T103" s="61">
        <f t="shared" ca="1" si="24"/>
        <v>-1076798.9533574937</v>
      </c>
      <c r="U103" s="62">
        <f t="shared" ca="1" si="21"/>
        <v>-5.3986382739309686</v>
      </c>
      <c r="V103">
        <f t="shared" si="25"/>
        <v>22</v>
      </c>
      <c r="W103">
        <f t="shared" si="22"/>
        <v>0</v>
      </c>
      <c r="X103">
        <f t="shared" si="26"/>
        <v>24</v>
      </c>
    </row>
    <row r="104" spans="18:27" x14ac:dyDescent="0.25">
      <c r="R104" s="59">
        <v>89</v>
      </c>
      <c r="T104" s="61">
        <f t="shared" ca="1" si="24"/>
        <v>-1117420.0431919182</v>
      </c>
      <c r="U104" s="62">
        <f t="shared" ca="1" si="21"/>
        <v>-5.6022961337618424</v>
      </c>
      <c r="V104" t="str">
        <f t="shared" si="25"/>
        <v/>
      </c>
      <c r="W104">
        <f t="shared" si="22"/>
        <v>1</v>
      </c>
      <c r="X104">
        <f t="shared" si="26"/>
        <v>25</v>
      </c>
    </row>
    <row r="105" spans="18:27" x14ac:dyDescent="0.25">
      <c r="R105" s="59">
        <v>90</v>
      </c>
      <c r="T105" s="61">
        <f t="shared" ca="1" si="24"/>
        <v>-1158041.1330263426</v>
      </c>
      <c r="U105" s="62">
        <f t="shared" ca="1" si="21"/>
        <v>-5.8059539935927154</v>
      </c>
      <c r="V105" t="str">
        <f t="shared" si="25"/>
        <v/>
      </c>
      <c r="W105">
        <f t="shared" si="22"/>
        <v>2</v>
      </c>
      <c r="X105">
        <f t="shared" si="26"/>
        <v>26</v>
      </c>
    </row>
    <row r="106" spans="18:27" x14ac:dyDescent="0.25">
      <c r="R106" s="59">
        <v>91</v>
      </c>
      <c r="T106" s="61">
        <f t="shared" ca="1" si="24"/>
        <v>-1198662.222860767</v>
      </c>
      <c r="U106" s="62">
        <f t="shared" ca="1" si="21"/>
        <v>-6.0096118534235892</v>
      </c>
      <c r="V106" t="str">
        <f t="shared" si="25"/>
        <v/>
      </c>
      <c r="W106">
        <f t="shared" si="22"/>
        <v>3</v>
      </c>
      <c r="X106">
        <f t="shared" si="26"/>
        <v>27</v>
      </c>
    </row>
    <row r="107" spans="18:27" x14ac:dyDescent="0.25">
      <c r="R107" s="59">
        <v>92</v>
      </c>
      <c r="T107" s="61">
        <f t="shared" ca="1" si="24"/>
        <v>-1239283.3126951915</v>
      </c>
      <c r="U107" s="62">
        <f t="shared" ca="1" si="21"/>
        <v>-6.213269713254463</v>
      </c>
      <c r="V107">
        <f t="shared" si="25"/>
        <v>23</v>
      </c>
      <c r="W107">
        <f t="shared" si="22"/>
        <v>0</v>
      </c>
      <c r="X107">
        <f t="shared" si="26"/>
        <v>28</v>
      </c>
    </row>
    <row r="108" spans="18:27" x14ac:dyDescent="0.25">
      <c r="R108" s="59">
        <v>93</v>
      </c>
      <c r="T108" s="61">
        <f t="shared" ca="1" si="24"/>
        <v>-1279904.4025296159</v>
      </c>
      <c r="U108" s="62">
        <f t="shared" ca="1" si="21"/>
        <v>-6.4169275730853368</v>
      </c>
      <c r="V108" t="str">
        <f t="shared" si="25"/>
        <v/>
      </c>
      <c r="W108">
        <f t="shared" si="22"/>
        <v>1</v>
      </c>
      <c r="X108">
        <f t="shared" si="26"/>
        <v>29</v>
      </c>
    </row>
    <row r="109" spans="18:27" x14ac:dyDescent="0.25">
      <c r="R109" s="59">
        <v>94</v>
      </c>
      <c r="T109" s="61">
        <f t="shared" ca="1" si="24"/>
        <v>-1320525.4923640403</v>
      </c>
      <c r="U109" s="62">
        <f t="shared" ca="1" si="21"/>
        <v>-6.6205854329162106</v>
      </c>
      <c r="V109" t="str">
        <f t="shared" si="25"/>
        <v/>
      </c>
      <c r="W109">
        <f t="shared" si="22"/>
        <v>2</v>
      </c>
      <c r="X109">
        <f t="shared" si="26"/>
        <v>30</v>
      </c>
    </row>
    <row r="110" spans="18:27" x14ac:dyDescent="0.25">
      <c r="R110" s="59">
        <v>95</v>
      </c>
      <c r="T110" s="61">
        <f t="shared" ca="1" si="24"/>
        <v>-1361146.5821984648</v>
      </c>
      <c r="U110" s="62">
        <f t="shared" ca="1" si="21"/>
        <v>-6.8242432927470844</v>
      </c>
      <c r="V110" t="str">
        <f t="shared" si="25"/>
        <v/>
      </c>
      <c r="W110">
        <f t="shared" si="22"/>
        <v>3</v>
      </c>
      <c r="X110">
        <f t="shared" si="26"/>
        <v>31</v>
      </c>
    </row>
    <row r="111" spans="18:27" x14ac:dyDescent="0.25">
      <c r="R111" s="59">
        <v>96</v>
      </c>
      <c r="T111" s="61">
        <f t="shared" ca="1" si="24"/>
        <v>-501767.6720328891</v>
      </c>
      <c r="U111" s="62">
        <f t="shared" ca="1" si="21"/>
        <v>-2.5156619538045404</v>
      </c>
      <c r="V111">
        <f t="shared" si="25"/>
        <v>24</v>
      </c>
      <c r="W111">
        <f t="shared" si="22"/>
        <v>0</v>
      </c>
      <c r="X111">
        <f t="shared" si="26"/>
        <v>0</v>
      </c>
      <c r="Y111" s="59" t="str">
        <f ca="1">J39</f>
        <v>ОБЫЧНЫЙ</v>
      </c>
      <c r="Z111" s="59">
        <f ca="1">K39</f>
        <v>67</v>
      </c>
      <c r="AA111" s="59">
        <f ca="1">N39</f>
        <v>100</v>
      </c>
    </row>
    <row r="112" spans="18:27" x14ac:dyDescent="0.25">
      <c r="R112" s="59">
        <v>97</v>
      </c>
      <c r="T112" s="61">
        <f t="shared" ca="1" si="24"/>
        <v>-542388.76186731341</v>
      </c>
      <c r="U112" s="62">
        <f t="shared" ca="1" si="21"/>
        <v>-2.7193198136354133</v>
      </c>
      <c r="V112" t="str">
        <f t="shared" si="25"/>
        <v/>
      </c>
      <c r="W112">
        <f t="shared" si="22"/>
        <v>1</v>
      </c>
      <c r="X112">
        <f t="shared" si="26"/>
        <v>1</v>
      </c>
    </row>
    <row r="113" spans="18:24" x14ac:dyDescent="0.25">
      <c r="R113" s="59">
        <v>98</v>
      </c>
      <c r="T113" s="61">
        <f t="shared" ca="1" si="24"/>
        <v>-583009.85170173773</v>
      </c>
      <c r="U113" s="62">
        <f t="shared" ca="1" si="21"/>
        <v>-2.9229776734662862</v>
      </c>
      <c r="V113" t="str">
        <f t="shared" si="25"/>
        <v/>
      </c>
      <c r="W113">
        <f t="shared" si="22"/>
        <v>2</v>
      </c>
      <c r="X113">
        <f t="shared" si="26"/>
        <v>2</v>
      </c>
    </row>
    <row r="114" spans="18:24" x14ac:dyDescent="0.25">
      <c r="R114" s="59">
        <v>99</v>
      </c>
      <c r="T114" s="61">
        <f t="shared" ca="1" si="24"/>
        <v>-623630.94153616205</v>
      </c>
      <c r="U114" s="62">
        <f t="shared" ca="1" si="21"/>
        <v>-3.1266355332971596</v>
      </c>
      <c r="V114" t="str">
        <f t="shared" si="25"/>
        <v/>
      </c>
      <c r="W114">
        <f t="shared" si="22"/>
        <v>3</v>
      </c>
      <c r="X114">
        <f t="shared" si="26"/>
        <v>3</v>
      </c>
    </row>
    <row r="115" spans="18:24" x14ac:dyDescent="0.25">
      <c r="R115" s="59">
        <v>100</v>
      </c>
      <c r="T115" s="61">
        <f t="shared" ca="1" si="24"/>
        <v>-664252.03137058637</v>
      </c>
      <c r="U115" s="62">
        <f t="shared" ca="1" si="21"/>
        <v>-3.3302933931280325</v>
      </c>
      <c r="V115">
        <f t="shared" si="25"/>
        <v>25</v>
      </c>
      <c r="W115">
        <f t="shared" si="22"/>
        <v>0</v>
      </c>
      <c r="X115">
        <f t="shared" si="26"/>
        <v>4</v>
      </c>
    </row>
    <row r="116" spans="18:24" x14ac:dyDescent="0.25">
      <c r="R116" s="59">
        <v>101</v>
      </c>
      <c r="T116" s="61">
        <f t="shared" ca="1" si="24"/>
        <v>-704873.12120501068</v>
      </c>
      <c r="U116" s="62">
        <f t="shared" ca="1" si="21"/>
        <v>-3.5339512529589054</v>
      </c>
      <c r="V116" t="str">
        <f t="shared" si="25"/>
        <v/>
      </c>
      <c r="W116">
        <f t="shared" si="22"/>
        <v>1</v>
      </c>
      <c r="X116">
        <f t="shared" si="26"/>
        <v>5</v>
      </c>
    </row>
    <row r="117" spans="18:24" x14ac:dyDescent="0.25">
      <c r="R117" s="59">
        <v>102</v>
      </c>
      <c r="T117" s="61">
        <f t="shared" ca="1" si="24"/>
        <v>-745494.211039435</v>
      </c>
      <c r="U117" s="62">
        <f t="shared" ca="1" si="21"/>
        <v>-3.7376091127897788</v>
      </c>
      <c r="V117" t="str">
        <f t="shared" si="25"/>
        <v/>
      </c>
      <c r="W117">
        <f t="shared" si="22"/>
        <v>2</v>
      </c>
      <c r="X117">
        <f t="shared" si="26"/>
        <v>6</v>
      </c>
    </row>
    <row r="118" spans="18:24" x14ac:dyDescent="0.25">
      <c r="R118" s="59">
        <v>103</v>
      </c>
      <c r="T118" s="61">
        <f t="shared" ca="1" si="24"/>
        <v>-786115.30087385932</v>
      </c>
      <c r="U118" s="62">
        <f t="shared" ca="1" si="21"/>
        <v>-3.9412669726206517</v>
      </c>
      <c r="V118" t="str">
        <f t="shared" si="25"/>
        <v/>
      </c>
      <c r="W118">
        <f t="shared" si="22"/>
        <v>3</v>
      </c>
      <c r="X118">
        <f t="shared" si="26"/>
        <v>7</v>
      </c>
    </row>
    <row r="119" spans="18:24" x14ac:dyDescent="0.25">
      <c r="R119" s="59">
        <v>104</v>
      </c>
      <c r="T119" s="61">
        <f t="shared" ca="1" si="24"/>
        <v>-826736.39070828364</v>
      </c>
      <c r="U119" s="62">
        <f t="shared" ca="1" si="21"/>
        <v>-4.1449248324515251</v>
      </c>
      <c r="V119">
        <f t="shared" si="25"/>
        <v>26</v>
      </c>
      <c r="W119">
        <f t="shared" si="22"/>
        <v>0</v>
      </c>
      <c r="X119">
        <f t="shared" si="26"/>
        <v>8</v>
      </c>
    </row>
    <row r="120" spans="18:24" x14ac:dyDescent="0.25">
      <c r="R120" s="59">
        <v>105</v>
      </c>
      <c r="T120" s="61">
        <f t="shared" ca="1" si="24"/>
        <v>-867357.48054270796</v>
      </c>
      <c r="U120" s="62">
        <f t="shared" ca="1" si="21"/>
        <v>-4.348582692282398</v>
      </c>
      <c r="V120" t="str">
        <f t="shared" si="25"/>
        <v/>
      </c>
      <c r="W120">
        <f t="shared" si="22"/>
        <v>1</v>
      </c>
      <c r="X120">
        <f t="shared" si="26"/>
        <v>9</v>
      </c>
    </row>
    <row r="121" spans="18:24" x14ac:dyDescent="0.25">
      <c r="R121" s="59">
        <v>106</v>
      </c>
      <c r="T121" s="61">
        <f t="shared" ca="1" si="24"/>
        <v>-907978.57037713227</v>
      </c>
      <c r="U121" s="62">
        <f t="shared" ca="1" si="21"/>
        <v>-4.5522405521132709</v>
      </c>
      <c r="V121" t="str">
        <f t="shared" si="25"/>
        <v/>
      </c>
      <c r="W121">
        <f t="shared" si="22"/>
        <v>2</v>
      </c>
      <c r="X121">
        <f t="shared" si="26"/>
        <v>10</v>
      </c>
    </row>
    <row r="122" spans="18:24" x14ac:dyDescent="0.25">
      <c r="R122" s="59">
        <v>107</v>
      </c>
      <c r="T122" s="61">
        <f t="shared" ca="1" si="24"/>
        <v>-948599.66021155659</v>
      </c>
      <c r="U122" s="62">
        <f t="shared" ca="1" si="21"/>
        <v>-4.7558984119441439</v>
      </c>
      <c r="V122" t="str">
        <f t="shared" si="25"/>
        <v/>
      </c>
      <c r="W122">
        <f t="shared" si="22"/>
        <v>3</v>
      </c>
      <c r="X122">
        <f t="shared" si="26"/>
        <v>11</v>
      </c>
    </row>
    <row r="123" spans="18:24" x14ac:dyDescent="0.25">
      <c r="R123" s="59">
        <v>108</v>
      </c>
      <c r="T123" s="61">
        <f t="shared" ca="1" si="24"/>
        <v>-989220.75004598091</v>
      </c>
      <c r="U123" s="62">
        <f t="shared" ca="1" si="21"/>
        <v>-4.9595562717750177</v>
      </c>
      <c r="V123">
        <f t="shared" si="25"/>
        <v>27</v>
      </c>
      <c r="W123">
        <f t="shared" si="22"/>
        <v>0</v>
      </c>
      <c r="X123">
        <f t="shared" si="26"/>
        <v>12</v>
      </c>
    </row>
    <row r="124" spans="18:24" x14ac:dyDescent="0.25">
      <c r="R124" s="59">
        <v>109</v>
      </c>
      <c r="T124" s="61">
        <f t="shared" ca="1" si="24"/>
        <v>-1029841.8398804052</v>
      </c>
      <c r="U124" s="62">
        <f t="shared" ca="1" si="21"/>
        <v>-5.1632141316058906</v>
      </c>
      <c r="V124" t="str">
        <f t="shared" si="25"/>
        <v/>
      </c>
      <c r="W124">
        <f t="shared" si="22"/>
        <v>1</v>
      </c>
      <c r="X124">
        <f t="shared" si="26"/>
        <v>13</v>
      </c>
    </row>
    <row r="125" spans="18:24" x14ac:dyDescent="0.25">
      <c r="R125" s="59">
        <v>110</v>
      </c>
      <c r="T125" s="61">
        <f t="shared" ca="1" si="24"/>
        <v>-1070462.9297148297</v>
      </c>
      <c r="U125" s="62">
        <f t="shared" ca="1" si="21"/>
        <v>-5.3668719914367644</v>
      </c>
      <c r="V125" t="str">
        <f t="shared" si="25"/>
        <v/>
      </c>
      <c r="W125">
        <f t="shared" si="22"/>
        <v>2</v>
      </c>
      <c r="X125">
        <f t="shared" si="26"/>
        <v>14</v>
      </c>
    </row>
    <row r="126" spans="18:24" x14ac:dyDescent="0.25">
      <c r="R126" s="59">
        <v>111</v>
      </c>
      <c r="T126" s="61">
        <f t="shared" ca="1" si="24"/>
        <v>-1111084.0195492541</v>
      </c>
      <c r="U126" s="62">
        <f t="shared" ca="1" si="21"/>
        <v>-5.5705298512676373</v>
      </c>
      <c r="V126" t="str">
        <f t="shared" si="25"/>
        <v/>
      </c>
      <c r="W126">
        <f t="shared" si="22"/>
        <v>3</v>
      </c>
      <c r="X126">
        <f t="shared" si="26"/>
        <v>15</v>
      </c>
    </row>
    <row r="127" spans="18:24" x14ac:dyDescent="0.25">
      <c r="R127" s="59">
        <v>112</v>
      </c>
      <c r="T127" s="61">
        <f t="shared" ca="1" si="24"/>
        <v>-1151705.1093836785</v>
      </c>
      <c r="U127" s="62">
        <f t="shared" ca="1" si="21"/>
        <v>-5.7741877110985111</v>
      </c>
      <c r="V127">
        <f t="shared" si="25"/>
        <v>28</v>
      </c>
      <c r="W127">
        <f t="shared" si="22"/>
        <v>0</v>
      </c>
      <c r="X127">
        <f t="shared" si="26"/>
        <v>16</v>
      </c>
    </row>
    <row r="128" spans="18:24" x14ac:dyDescent="0.25">
      <c r="R128" s="59">
        <v>113</v>
      </c>
      <c r="T128" s="61">
        <f t="shared" ca="1" si="24"/>
        <v>-1192326.199218103</v>
      </c>
      <c r="U128" s="62">
        <f t="shared" ca="1" si="21"/>
        <v>-5.977845570929385</v>
      </c>
      <c r="V128" t="str">
        <f t="shared" si="25"/>
        <v/>
      </c>
      <c r="W128">
        <f t="shared" si="22"/>
        <v>1</v>
      </c>
      <c r="X128">
        <f t="shared" si="26"/>
        <v>17</v>
      </c>
    </row>
    <row r="129" spans="18:24" x14ac:dyDescent="0.25">
      <c r="R129" s="59">
        <v>114</v>
      </c>
      <c r="T129" s="61">
        <f t="shared" ca="1" si="24"/>
        <v>-1232947.2890525274</v>
      </c>
      <c r="U129" s="62">
        <f t="shared" ca="1" si="21"/>
        <v>-6.1815034307602588</v>
      </c>
      <c r="V129" t="str">
        <f t="shared" si="25"/>
        <v/>
      </c>
      <c r="W129">
        <f t="shared" si="22"/>
        <v>2</v>
      </c>
      <c r="X129">
        <f t="shared" si="26"/>
        <v>18</v>
      </c>
    </row>
    <row r="130" spans="18:24" x14ac:dyDescent="0.25">
      <c r="R130" s="59">
        <v>115</v>
      </c>
      <c r="T130" s="61">
        <f t="shared" ca="1" si="24"/>
        <v>-1273568.3788869518</v>
      </c>
      <c r="U130" s="62">
        <f t="shared" ca="1" si="21"/>
        <v>-6.3851612905911326</v>
      </c>
      <c r="V130" t="str">
        <f t="shared" si="25"/>
        <v/>
      </c>
      <c r="W130">
        <f t="shared" si="22"/>
        <v>3</v>
      </c>
      <c r="X130">
        <f t="shared" si="26"/>
        <v>19</v>
      </c>
    </row>
    <row r="131" spans="18:24" x14ac:dyDescent="0.25">
      <c r="R131" s="59">
        <v>116</v>
      </c>
      <c r="T131" s="61">
        <f t="shared" ca="1" si="24"/>
        <v>-1314189.4687213763</v>
      </c>
      <c r="U131" s="62">
        <f t="shared" ca="1" si="21"/>
        <v>-6.5888191504220064</v>
      </c>
      <c r="V131">
        <f t="shared" si="25"/>
        <v>29</v>
      </c>
      <c r="W131">
        <f t="shared" si="22"/>
        <v>0</v>
      </c>
      <c r="X131">
        <f t="shared" si="26"/>
        <v>20</v>
      </c>
    </row>
    <row r="132" spans="18:24" x14ac:dyDescent="0.25">
      <c r="R132" s="59">
        <v>117</v>
      </c>
      <c r="T132" s="61">
        <f t="shared" ca="1" si="24"/>
        <v>-1354810.5585558007</v>
      </c>
      <c r="U132" s="62">
        <f t="shared" ca="1" si="21"/>
        <v>-6.7924770102528793</v>
      </c>
      <c r="V132" t="str">
        <f t="shared" si="25"/>
        <v/>
      </c>
      <c r="W132">
        <f t="shared" si="22"/>
        <v>1</v>
      </c>
      <c r="X132">
        <f t="shared" si="26"/>
        <v>21</v>
      </c>
    </row>
    <row r="133" spans="18:24" x14ac:dyDescent="0.25">
      <c r="R133" s="59">
        <v>118</v>
      </c>
      <c r="T133" s="61">
        <f t="shared" ca="1" si="24"/>
        <v>-1395431.6483902251</v>
      </c>
      <c r="U133" s="62">
        <f t="shared" ca="1" si="21"/>
        <v>-6.9961348700837531</v>
      </c>
      <c r="V133" t="str">
        <f t="shared" si="25"/>
        <v/>
      </c>
      <c r="W133">
        <f t="shared" si="22"/>
        <v>2</v>
      </c>
      <c r="X133">
        <f t="shared" si="26"/>
        <v>22</v>
      </c>
    </row>
    <row r="134" spans="18:24" x14ac:dyDescent="0.25">
      <c r="R134" s="59">
        <v>119</v>
      </c>
      <c r="T134" s="61">
        <f t="shared" ca="1" si="24"/>
        <v>-1436052.7382246496</v>
      </c>
      <c r="U134" s="62">
        <f t="shared" ca="1" si="21"/>
        <v>-7.1997927299146269</v>
      </c>
      <c r="V134" t="str">
        <f t="shared" si="25"/>
        <v/>
      </c>
      <c r="W134">
        <f t="shared" si="22"/>
        <v>3</v>
      </c>
      <c r="X134">
        <f t="shared" si="26"/>
        <v>23</v>
      </c>
    </row>
    <row r="135" spans="18:24" x14ac:dyDescent="0.25">
      <c r="R135" s="59">
        <v>120</v>
      </c>
      <c r="T135" s="61">
        <f t="shared" ca="1" si="24"/>
        <v>-1476673.828059074</v>
      </c>
      <c r="U135" s="62">
        <f t="shared" ca="1" si="21"/>
        <v>-7.4034505897455007</v>
      </c>
      <c r="V135">
        <f t="shared" si="25"/>
        <v>30</v>
      </c>
      <c r="W135">
        <f t="shared" si="22"/>
        <v>0</v>
      </c>
      <c r="X135">
        <f t="shared" si="26"/>
        <v>24</v>
      </c>
    </row>
    <row r="136" spans="18:24" x14ac:dyDescent="0.25">
      <c r="R136" s="59">
        <v>121</v>
      </c>
      <c r="T136" s="61">
        <f t="shared" ca="1" si="24"/>
        <v>-1517294.9178934984</v>
      </c>
      <c r="U136" s="62">
        <f t="shared" ca="1" si="21"/>
        <v>-7.6071084495763746</v>
      </c>
      <c r="V136" t="str">
        <f t="shared" si="25"/>
        <v/>
      </c>
      <c r="W136">
        <f t="shared" si="22"/>
        <v>1</v>
      </c>
      <c r="X136">
        <f t="shared" si="26"/>
        <v>25</v>
      </c>
    </row>
    <row r="137" spans="18:24" x14ac:dyDescent="0.25">
      <c r="R137" s="59">
        <v>122</v>
      </c>
      <c r="T137" s="61">
        <f t="shared" ca="1" si="24"/>
        <v>-1557916.0077279229</v>
      </c>
      <c r="U137" s="62">
        <f t="shared" ca="1" si="21"/>
        <v>-7.8107663094072484</v>
      </c>
      <c r="V137" t="str">
        <f t="shared" si="25"/>
        <v/>
      </c>
      <c r="W137">
        <f t="shared" si="22"/>
        <v>2</v>
      </c>
      <c r="X137">
        <f t="shared" si="26"/>
        <v>26</v>
      </c>
    </row>
    <row r="138" spans="18:24" x14ac:dyDescent="0.25">
      <c r="R138" s="59">
        <v>123</v>
      </c>
      <c r="T138" s="61">
        <f t="shared" ca="1" si="24"/>
        <v>-1598537.0975623473</v>
      </c>
      <c r="U138" s="62">
        <f t="shared" ca="1" si="21"/>
        <v>-8.0144241692381222</v>
      </c>
      <c r="V138" t="str">
        <f t="shared" si="25"/>
        <v/>
      </c>
      <c r="W138">
        <f t="shared" si="22"/>
        <v>3</v>
      </c>
      <c r="X138">
        <f t="shared" si="26"/>
        <v>27</v>
      </c>
    </row>
    <row r="139" spans="18:24" x14ac:dyDescent="0.25">
      <c r="R139" s="59">
        <v>124</v>
      </c>
      <c r="T139" s="61">
        <f t="shared" ca="1" si="24"/>
        <v>-1639158.1873967717</v>
      </c>
      <c r="U139" s="62">
        <f t="shared" ca="1" si="21"/>
        <v>-8.2180820290689951</v>
      </c>
      <c r="V139">
        <f t="shared" si="25"/>
        <v>31</v>
      </c>
      <c r="W139">
        <f t="shared" si="22"/>
        <v>0</v>
      </c>
      <c r="X139">
        <f t="shared" si="26"/>
        <v>28</v>
      </c>
    </row>
    <row r="140" spans="18:24" x14ac:dyDescent="0.25">
      <c r="R140" s="59">
        <v>125</v>
      </c>
      <c r="T140" s="61">
        <f t="shared" ca="1" si="24"/>
        <v>-1679779.2772311962</v>
      </c>
      <c r="U140" s="62">
        <f t="shared" ca="1" si="21"/>
        <v>-8.4217398888998698</v>
      </c>
      <c r="V140" t="str">
        <f t="shared" si="25"/>
        <v/>
      </c>
      <c r="W140">
        <f t="shared" si="22"/>
        <v>1</v>
      </c>
      <c r="X140">
        <f t="shared" si="26"/>
        <v>29</v>
      </c>
    </row>
    <row r="141" spans="18:24" x14ac:dyDescent="0.25">
      <c r="R141" s="59">
        <v>126</v>
      </c>
      <c r="T141" s="61">
        <f t="shared" ca="1" si="24"/>
        <v>-1720400.3670656206</v>
      </c>
      <c r="U141" s="62">
        <f t="shared" ca="1" si="21"/>
        <v>-8.6253977487307427</v>
      </c>
      <c r="V141" t="str">
        <f t="shared" si="25"/>
        <v/>
      </c>
      <c r="W141">
        <f t="shared" si="22"/>
        <v>2</v>
      </c>
      <c r="X141">
        <f t="shared" si="26"/>
        <v>30</v>
      </c>
    </row>
    <row r="142" spans="18:24" x14ac:dyDescent="0.25">
      <c r="R142" s="59">
        <v>127</v>
      </c>
      <c r="T142" s="61">
        <f t="shared" ca="1" si="24"/>
        <v>-1761021.456900045</v>
      </c>
      <c r="U142" s="62">
        <f t="shared" ca="1" si="21"/>
        <v>-8.8290556085616156</v>
      </c>
      <c r="V142" t="str">
        <f t="shared" si="25"/>
        <v/>
      </c>
      <c r="W142">
        <f t="shared" si="22"/>
        <v>3</v>
      </c>
      <c r="X142">
        <f t="shared" si="26"/>
        <v>31</v>
      </c>
    </row>
    <row r="143" spans="18:24" x14ac:dyDescent="0.25">
      <c r="R143" s="59">
        <v>128</v>
      </c>
      <c r="T143" s="61">
        <f t="shared" ca="1" si="24"/>
        <v>-901642.54673446936</v>
      </c>
      <c r="U143" s="62">
        <f t="shared" ca="1" si="21"/>
        <v>-4.5204742696190721</v>
      </c>
      <c r="V143">
        <f t="shared" si="25"/>
        <v>32</v>
      </c>
      <c r="W143">
        <f t="shared" si="22"/>
        <v>0</v>
      </c>
      <c r="X143">
        <f t="shared" si="26"/>
        <v>0</v>
      </c>
    </row>
    <row r="144" spans="18:24" x14ac:dyDescent="0.25">
      <c r="R144" s="59">
        <v>129</v>
      </c>
      <c r="T144" s="61">
        <f t="shared" ca="1" si="24"/>
        <v>-942263.63656889368</v>
      </c>
      <c r="U144" s="62">
        <f t="shared" ca="1" si="21"/>
        <v>-4.7241321294499459</v>
      </c>
      <c r="V144" t="str">
        <f t="shared" si="25"/>
        <v/>
      </c>
      <c r="W144">
        <f t="shared" si="22"/>
        <v>1</v>
      </c>
      <c r="X144">
        <f t="shared" si="26"/>
        <v>1</v>
      </c>
    </row>
    <row r="145" spans="18:24" x14ac:dyDescent="0.25">
      <c r="R145" s="59">
        <v>130</v>
      </c>
      <c r="T145" s="61">
        <f t="shared" ca="1" si="24"/>
        <v>-982884.726403318</v>
      </c>
      <c r="U145" s="62">
        <f t="shared" ref="U145:U159" ca="1" si="27">T145/$O$3</f>
        <v>-4.9277899892808188</v>
      </c>
      <c r="V145" t="str">
        <f t="shared" si="25"/>
        <v/>
      </c>
      <c r="W145">
        <f t="shared" ref="W145:W159" si="28">MOD(R145,4)</f>
        <v>2</v>
      </c>
      <c r="X145">
        <f t="shared" si="26"/>
        <v>2</v>
      </c>
    </row>
    <row r="146" spans="18:24" x14ac:dyDescent="0.25">
      <c r="R146" s="59">
        <v>131</v>
      </c>
      <c r="T146" s="61">
        <f t="shared" ref="T146:T159" ca="1" si="29">IF(AND(T145&gt;0,W146=0),T145*(IF(SUM($R$3,0.01*$M$3)&gt;0.99,0.99,$R$3+0.01*$M$3)),T145)+((($Q$3+$Q$3*$S$3)/4)+(IF(X146=0,$P$3*_xlfn.IFS(Y146="НЕУРОЖАЙ",0.25,Y146="ОБЫЧНЫЙ",1,Y146="РЕКОРД",1.25,Y146="",1),0)))-($O$3/4)</f>
        <v>-1023505.8162377423</v>
      </c>
      <c r="U146" s="62">
        <f t="shared" ca="1" si="27"/>
        <v>-5.1314478491116917</v>
      </c>
      <c r="V146" t="str">
        <f t="shared" si="25"/>
        <v/>
      </c>
      <c r="W146">
        <f t="shared" si="28"/>
        <v>3</v>
      </c>
      <c r="X146">
        <f t="shared" si="26"/>
        <v>3</v>
      </c>
    </row>
    <row r="147" spans="18:24" x14ac:dyDescent="0.25">
      <c r="R147" s="59">
        <v>132</v>
      </c>
      <c r="T147" s="61">
        <f t="shared" ca="1" si="29"/>
        <v>-1064126.9060721667</v>
      </c>
      <c r="U147" s="62">
        <f t="shared" ca="1" si="27"/>
        <v>-5.3351057089425655</v>
      </c>
      <c r="V147">
        <f t="shared" si="25"/>
        <v>33</v>
      </c>
      <c r="W147">
        <f t="shared" si="28"/>
        <v>0</v>
      </c>
      <c r="X147">
        <f t="shared" si="26"/>
        <v>4</v>
      </c>
    </row>
    <row r="148" spans="18:24" x14ac:dyDescent="0.25">
      <c r="R148" s="59">
        <v>133</v>
      </c>
      <c r="T148" s="61">
        <f t="shared" ca="1" si="29"/>
        <v>-1104747.9959065912</v>
      </c>
      <c r="U148" s="62">
        <f t="shared" ca="1" si="27"/>
        <v>-5.5387635687734393</v>
      </c>
      <c r="V148" t="str">
        <f t="shared" ref="V148:V159" si="30">IF(W148=0,V144+1,"")</f>
        <v/>
      </c>
      <c r="W148">
        <f t="shared" si="28"/>
        <v>1</v>
      </c>
      <c r="X148">
        <f t="shared" si="26"/>
        <v>5</v>
      </c>
    </row>
    <row r="149" spans="18:24" x14ac:dyDescent="0.25">
      <c r="R149" s="59">
        <v>134</v>
      </c>
      <c r="T149" s="61">
        <f t="shared" ca="1" si="29"/>
        <v>-1145369.0857410156</v>
      </c>
      <c r="U149" s="62">
        <f t="shared" ca="1" si="27"/>
        <v>-5.7424214286043131</v>
      </c>
      <c r="V149" t="str">
        <f t="shared" si="30"/>
        <v/>
      </c>
      <c r="W149">
        <f t="shared" si="28"/>
        <v>2</v>
      </c>
      <c r="X149">
        <f t="shared" si="26"/>
        <v>6</v>
      </c>
    </row>
    <row r="150" spans="18:24" x14ac:dyDescent="0.25">
      <c r="R150" s="59">
        <v>135</v>
      </c>
      <c r="T150" s="61">
        <f t="shared" ca="1" si="29"/>
        <v>-1185990.1755754401</v>
      </c>
      <c r="U150" s="62">
        <f t="shared" ca="1" si="27"/>
        <v>-5.9460792884351861</v>
      </c>
      <c r="V150" t="str">
        <f t="shared" si="30"/>
        <v/>
      </c>
      <c r="W150">
        <f t="shared" si="28"/>
        <v>3</v>
      </c>
      <c r="X150">
        <f t="shared" si="26"/>
        <v>7</v>
      </c>
    </row>
    <row r="151" spans="18:24" x14ac:dyDescent="0.25">
      <c r="R151" s="59">
        <v>136</v>
      </c>
      <c r="T151" s="61">
        <f t="shared" ca="1" si="29"/>
        <v>-1226611.2654098645</v>
      </c>
      <c r="U151" s="62">
        <f t="shared" ca="1" si="27"/>
        <v>-6.1497371482660599</v>
      </c>
      <c r="V151">
        <f t="shared" si="30"/>
        <v>34</v>
      </c>
      <c r="W151">
        <f t="shared" si="28"/>
        <v>0</v>
      </c>
      <c r="X151">
        <f t="shared" si="26"/>
        <v>8</v>
      </c>
    </row>
    <row r="152" spans="18:24" x14ac:dyDescent="0.25">
      <c r="R152" s="59">
        <v>137</v>
      </c>
      <c r="T152" s="61">
        <f t="shared" ca="1" si="29"/>
        <v>-1267232.3552442889</v>
      </c>
      <c r="U152" s="62">
        <f t="shared" ca="1" si="27"/>
        <v>-6.3533950080969337</v>
      </c>
      <c r="V152" t="str">
        <f t="shared" si="30"/>
        <v/>
      </c>
      <c r="W152">
        <f t="shared" si="28"/>
        <v>1</v>
      </c>
      <c r="X152">
        <f t="shared" si="26"/>
        <v>9</v>
      </c>
    </row>
    <row r="153" spans="18:24" x14ac:dyDescent="0.25">
      <c r="R153" s="59">
        <v>138</v>
      </c>
      <c r="T153" s="61">
        <f t="shared" ca="1" si="29"/>
        <v>-1307853.4450787134</v>
      </c>
      <c r="U153" s="62">
        <f t="shared" ca="1" si="27"/>
        <v>-6.5570528679278075</v>
      </c>
      <c r="V153" t="str">
        <f t="shared" si="30"/>
        <v/>
      </c>
      <c r="W153">
        <f t="shared" si="28"/>
        <v>2</v>
      </c>
      <c r="X153">
        <f t="shared" si="26"/>
        <v>10</v>
      </c>
    </row>
    <row r="154" spans="18:24" x14ac:dyDescent="0.25">
      <c r="R154" s="59">
        <v>139</v>
      </c>
      <c r="T154" s="61">
        <f t="shared" ca="1" si="29"/>
        <v>-1348474.5349131378</v>
      </c>
      <c r="U154" s="62">
        <f t="shared" ca="1" si="27"/>
        <v>-6.7607107277586813</v>
      </c>
      <c r="V154" t="str">
        <f t="shared" si="30"/>
        <v/>
      </c>
      <c r="W154">
        <f t="shared" si="28"/>
        <v>3</v>
      </c>
      <c r="X154">
        <f t="shared" si="26"/>
        <v>11</v>
      </c>
    </row>
    <row r="155" spans="18:24" x14ac:dyDescent="0.25">
      <c r="R155" s="59">
        <v>140</v>
      </c>
      <c r="T155" s="61">
        <f t="shared" ca="1" si="29"/>
        <v>-1389095.6247475622</v>
      </c>
      <c r="U155" s="62">
        <f t="shared" ca="1" si="27"/>
        <v>-6.9643685875895551</v>
      </c>
      <c r="V155">
        <f t="shared" si="30"/>
        <v>35</v>
      </c>
      <c r="W155">
        <f t="shared" si="28"/>
        <v>0</v>
      </c>
      <c r="X155">
        <f t="shared" si="26"/>
        <v>12</v>
      </c>
    </row>
    <row r="156" spans="18:24" x14ac:dyDescent="0.25">
      <c r="R156" s="59">
        <v>141</v>
      </c>
      <c r="T156" s="61">
        <f t="shared" ca="1" si="29"/>
        <v>-1429716.7145819867</v>
      </c>
      <c r="U156" s="62">
        <f t="shared" ca="1" si="27"/>
        <v>-7.168026447420428</v>
      </c>
      <c r="V156" t="str">
        <f t="shared" si="30"/>
        <v/>
      </c>
      <c r="W156">
        <f t="shared" si="28"/>
        <v>1</v>
      </c>
      <c r="X156">
        <f t="shared" si="26"/>
        <v>13</v>
      </c>
    </row>
    <row r="157" spans="18:24" x14ac:dyDescent="0.25">
      <c r="R157" s="59">
        <v>142</v>
      </c>
      <c r="T157" s="61">
        <f t="shared" ca="1" si="29"/>
        <v>-1470337.8044164111</v>
      </c>
      <c r="U157" s="62">
        <f t="shared" ca="1" si="27"/>
        <v>-7.3716843072513019</v>
      </c>
      <c r="V157" t="str">
        <f t="shared" si="30"/>
        <v/>
      </c>
      <c r="W157">
        <f t="shared" si="28"/>
        <v>2</v>
      </c>
      <c r="X157">
        <f t="shared" si="26"/>
        <v>14</v>
      </c>
    </row>
    <row r="158" spans="18:24" x14ac:dyDescent="0.25">
      <c r="R158" s="59">
        <v>143</v>
      </c>
      <c r="T158" s="61">
        <f t="shared" ca="1" si="29"/>
        <v>-1510958.8942508355</v>
      </c>
      <c r="U158" s="62">
        <f t="shared" ca="1" si="27"/>
        <v>-7.5753421670821757</v>
      </c>
      <c r="V158" t="str">
        <f t="shared" si="30"/>
        <v/>
      </c>
      <c r="W158">
        <f t="shared" si="28"/>
        <v>3</v>
      </c>
      <c r="X158">
        <f t="shared" si="26"/>
        <v>15</v>
      </c>
    </row>
    <row r="159" spans="18:24" x14ac:dyDescent="0.25">
      <c r="R159" s="59">
        <v>144</v>
      </c>
      <c r="T159" s="61">
        <f t="shared" ca="1" si="29"/>
        <v>-1551579.98408526</v>
      </c>
      <c r="U159" s="62">
        <f t="shared" ca="1" si="27"/>
        <v>-7.7790000269130495</v>
      </c>
      <c r="V159">
        <f t="shared" si="30"/>
        <v>36</v>
      </c>
      <c r="W159">
        <f t="shared" si="28"/>
        <v>0</v>
      </c>
      <c r="X159">
        <f t="shared" si="26"/>
        <v>16</v>
      </c>
    </row>
  </sheetData>
  <mergeCells count="6">
    <mergeCell ref="F1:I1"/>
    <mergeCell ref="E1:E2"/>
    <mergeCell ref="B1:B2"/>
    <mergeCell ref="A1:A2"/>
    <mergeCell ref="D1:D2"/>
    <mergeCell ref="C1:C2"/>
  </mergeCells>
  <conditionalFormatting sqref="G16:G63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16:T159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53FA9D-DC0F-497B-B64F-0195ADDED87D}">
          <x14:formula1>
            <xm:f>Список!$A$1:$A$10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A19-B490-438E-9BCC-A522DD820C42}">
  <dimension ref="A1:Z21"/>
  <sheetViews>
    <sheetView zoomScale="115" zoomScaleNormal="115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14" customWidth="1"/>
    <col min="2" max="2" width="7.85546875" customWidth="1"/>
    <col min="3" max="3" width="7.5703125" customWidth="1"/>
    <col min="4" max="4" width="7" customWidth="1"/>
    <col min="5" max="5" width="9" bestFit="1" customWidth="1"/>
    <col min="6" max="6" width="6.42578125" bestFit="1" customWidth="1"/>
    <col min="7" max="7" width="7" bestFit="1" customWidth="1"/>
    <col min="8" max="8" width="7.140625" bestFit="1" customWidth="1"/>
    <col min="9" max="9" width="5.7109375" bestFit="1" customWidth="1"/>
    <col min="10" max="10" width="10.42578125" customWidth="1"/>
    <col min="11" max="11" width="9.140625" bestFit="1" customWidth="1"/>
    <col min="12" max="12" width="5.28515625" bestFit="1" customWidth="1"/>
    <col min="13" max="13" width="4.85546875" bestFit="1" customWidth="1"/>
    <col min="14" max="14" width="6.85546875" customWidth="1"/>
    <col min="15" max="15" width="6.5703125" bestFit="1" customWidth="1"/>
    <col min="16" max="16" width="7.7109375" bestFit="1" customWidth="1"/>
    <col min="17" max="17" width="9.7109375" customWidth="1"/>
    <col min="18" max="18" width="7.5703125" customWidth="1"/>
    <col min="19" max="19" width="9.28515625" customWidth="1"/>
    <col min="20" max="20" width="10.28515625" customWidth="1"/>
    <col min="21" max="22" width="14.5703125" bestFit="1" customWidth="1"/>
    <col min="23" max="23" width="14.5703125" customWidth="1"/>
    <col min="24" max="24" width="11.85546875" customWidth="1"/>
    <col min="25" max="25" width="6" customWidth="1"/>
    <col min="26" max="26" width="7.42578125" bestFit="1" customWidth="1"/>
  </cols>
  <sheetData>
    <row r="1" spans="1:26" ht="15.75" customHeight="1" thickBot="1" x14ac:dyDescent="0.3">
      <c r="A1" s="162" t="s">
        <v>9</v>
      </c>
      <c r="B1" s="154" t="s">
        <v>66</v>
      </c>
      <c r="C1" s="159" t="s">
        <v>63</v>
      </c>
      <c r="D1" s="155" t="s">
        <v>64</v>
      </c>
      <c r="E1" s="164" t="s">
        <v>65</v>
      </c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6"/>
      <c r="U1" s="154" t="s">
        <v>93</v>
      </c>
      <c r="V1" s="159"/>
      <c r="W1" s="159"/>
      <c r="X1" s="155"/>
    </row>
    <row r="2" spans="1:26" ht="45.75" thickBot="1" x14ac:dyDescent="0.3">
      <c r="A2" s="163"/>
      <c r="B2" s="75" t="s">
        <v>70</v>
      </c>
      <c r="C2" s="74" t="s">
        <v>63</v>
      </c>
      <c r="D2" s="104" t="s">
        <v>64</v>
      </c>
      <c r="E2" s="54" t="s">
        <v>67</v>
      </c>
      <c r="F2" s="54" t="s">
        <v>68</v>
      </c>
      <c r="G2" s="54" t="s">
        <v>69</v>
      </c>
      <c r="H2" s="54" t="s">
        <v>72</v>
      </c>
      <c r="I2" s="125" t="s">
        <v>73</v>
      </c>
      <c r="J2" s="54" t="s">
        <v>74</v>
      </c>
      <c r="K2" s="125" t="s">
        <v>75</v>
      </c>
      <c r="L2" s="54" t="s">
        <v>76</v>
      </c>
      <c r="M2" s="54" t="s">
        <v>77</v>
      </c>
      <c r="N2" s="54" t="s">
        <v>78</v>
      </c>
      <c r="O2" s="54" t="s">
        <v>79</v>
      </c>
      <c r="P2" s="54" t="s">
        <v>80</v>
      </c>
      <c r="Q2" s="54" t="s">
        <v>81</v>
      </c>
      <c r="R2" s="125" t="s">
        <v>82</v>
      </c>
      <c r="S2" s="54" t="s">
        <v>48</v>
      </c>
      <c r="T2" s="54" t="s">
        <v>91</v>
      </c>
      <c r="U2" s="54" t="s">
        <v>85</v>
      </c>
      <c r="V2" s="54" t="s">
        <v>84</v>
      </c>
      <c r="W2" s="105" t="s">
        <v>83</v>
      </c>
      <c r="X2" s="105" t="s">
        <v>95</v>
      </c>
      <c r="Z2" s="138" t="s">
        <v>102</v>
      </c>
    </row>
    <row r="3" spans="1:26" ht="15.75" customHeight="1" x14ac:dyDescent="0.25">
      <c r="A3" s="93" t="s">
        <v>5</v>
      </c>
      <c r="B3" s="97">
        <v>1</v>
      </c>
      <c r="C3" s="98"/>
      <c r="D3" s="99"/>
      <c r="E3" s="120">
        <f>База!I3</f>
        <v>7</v>
      </c>
      <c r="F3" s="126">
        <f>База!J3</f>
        <v>7</v>
      </c>
      <c r="G3" s="126">
        <f>База!K3</f>
        <v>0</v>
      </c>
      <c r="H3" s="126">
        <v>15</v>
      </c>
      <c r="I3" s="126">
        <v>3</v>
      </c>
      <c r="J3" s="126"/>
      <c r="K3" s="126"/>
      <c r="L3" s="126"/>
      <c r="M3" s="126"/>
      <c r="N3" s="126"/>
      <c r="O3" s="126"/>
      <c r="P3" s="126"/>
      <c r="Q3" s="126"/>
      <c r="R3" s="126"/>
      <c r="S3" s="121">
        <f>Провиант!B3</f>
        <v>3</v>
      </c>
      <c r="T3" s="121">
        <f>Провиант!C3</f>
        <v>3</v>
      </c>
      <c r="U3" s="124">
        <f>IF($Z$2=$Z$12,SUMPRODUCT(E3:T3,$E$12:$T$12),SUMPRODUCT(E3:T3,$E$13:$T$13))</f>
        <v>100.25</v>
      </c>
      <c r="V3" s="124">
        <f>IF($Z$2=$Z$12,SUMPRODUCT(B3:D3,$B$12:$D$12),SUMPRODUCT(B3:D3,$B$13:$D$13))</f>
        <v>60</v>
      </c>
      <c r="W3" s="126">
        <f>V3-U3</f>
        <v>-40.25</v>
      </c>
      <c r="X3" s="131">
        <f>V3/U3</f>
        <v>0.59850374064837908</v>
      </c>
    </row>
    <row r="4" spans="1:26" x14ac:dyDescent="0.25">
      <c r="A4" s="94" t="s">
        <v>0</v>
      </c>
      <c r="B4" s="10">
        <v>3</v>
      </c>
      <c r="C4" s="2"/>
      <c r="D4" s="100"/>
      <c r="E4" s="86">
        <f>База!I4</f>
        <v>10</v>
      </c>
      <c r="F4" s="85">
        <f>База!J4</f>
        <v>13</v>
      </c>
      <c r="G4" s="85">
        <f>База!K4</f>
        <v>5</v>
      </c>
      <c r="H4" s="85">
        <v>15</v>
      </c>
      <c r="I4" s="85">
        <v>11</v>
      </c>
      <c r="J4" s="85">
        <v>2</v>
      </c>
      <c r="K4" s="85">
        <v>10</v>
      </c>
      <c r="L4" s="85"/>
      <c r="M4" s="85"/>
      <c r="N4" s="85"/>
      <c r="O4" s="85"/>
      <c r="P4" s="85"/>
      <c r="Q4" s="85"/>
      <c r="R4" s="85"/>
      <c r="S4" s="127">
        <f>Провиант!B4</f>
        <v>15</v>
      </c>
      <c r="T4" s="127">
        <f>Провиант!C4</f>
        <v>10</v>
      </c>
      <c r="U4" s="127">
        <f t="shared" ref="U4:U11" si="0">IF($Z$2=$Z$12,SUMPRODUCT(E4:T4,$E$12:$T$12),SUMPRODUCT(E4:T4,$E$13:$T$13))</f>
        <v>214.75</v>
      </c>
      <c r="V4" s="127">
        <f t="shared" ref="V4:V11" si="1">IF($Z$2=$Z$12,SUMPRODUCT(B4:D4,$B$12:$D$12),SUMPRODUCT(B4:D4,$B$13:$D$13))</f>
        <v>180</v>
      </c>
      <c r="W4" s="85">
        <f t="shared" ref="W4:W11" si="2">V4-U4</f>
        <v>-34.75</v>
      </c>
      <c r="X4" s="132">
        <f t="shared" ref="X4:X11" si="3">V4/U4</f>
        <v>0.8381839348079162</v>
      </c>
    </row>
    <row r="5" spans="1:26" x14ac:dyDescent="0.25">
      <c r="A5" s="95" t="s">
        <v>4</v>
      </c>
      <c r="B5" s="8">
        <v>2</v>
      </c>
      <c r="C5" s="4">
        <v>1</v>
      </c>
      <c r="D5" s="101"/>
      <c r="E5" s="88">
        <f>База!I5</f>
        <v>15</v>
      </c>
      <c r="F5" s="84">
        <f>База!J5</f>
        <v>7</v>
      </c>
      <c r="G5" s="84">
        <f>База!K5</f>
        <v>12</v>
      </c>
      <c r="H5" s="84">
        <v>16</v>
      </c>
      <c r="I5" s="84">
        <v>4</v>
      </c>
      <c r="J5" s="84"/>
      <c r="K5" s="84">
        <v>16</v>
      </c>
      <c r="L5" s="84"/>
      <c r="M5" s="84"/>
      <c r="N5" s="84"/>
      <c r="O5" s="84"/>
      <c r="P5" s="84"/>
      <c r="Q5" s="84"/>
      <c r="R5" s="84"/>
      <c r="S5" s="124">
        <f>Провиант!B5</f>
        <v>10</v>
      </c>
      <c r="T5" s="124">
        <f>Провиант!C5</f>
        <v>8</v>
      </c>
      <c r="U5" s="124">
        <f t="shared" si="0"/>
        <v>239.5</v>
      </c>
      <c r="V5" s="124">
        <f t="shared" si="1"/>
        <v>270</v>
      </c>
      <c r="W5" s="84">
        <f t="shared" si="2"/>
        <v>30.5</v>
      </c>
      <c r="X5" s="133">
        <f t="shared" si="3"/>
        <v>1.1273486430062631</v>
      </c>
    </row>
    <row r="6" spans="1:26" x14ac:dyDescent="0.25">
      <c r="A6" s="94" t="s">
        <v>1</v>
      </c>
      <c r="B6" s="10">
        <v>3</v>
      </c>
      <c r="C6" s="2"/>
      <c r="D6" s="100"/>
      <c r="E6" s="86">
        <f>База!I6</f>
        <v>12</v>
      </c>
      <c r="F6" s="85">
        <f>База!J6</f>
        <v>9</v>
      </c>
      <c r="G6" s="85">
        <f>База!K6</f>
        <v>3</v>
      </c>
      <c r="H6" s="85">
        <v>30</v>
      </c>
      <c r="I6" s="85">
        <v>6</v>
      </c>
      <c r="J6" s="85"/>
      <c r="K6" s="85">
        <v>1</v>
      </c>
      <c r="L6" s="85"/>
      <c r="M6" s="85"/>
      <c r="N6" s="85"/>
      <c r="O6" s="85"/>
      <c r="P6" s="85"/>
      <c r="Q6" s="85"/>
      <c r="R6" s="85"/>
      <c r="S6" s="127">
        <f>Провиант!B6</f>
        <v>22</v>
      </c>
      <c r="T6" s="127">
        <f>Провиант!C6</f>
        <v>20</v>
      </c>
      <c r="U6" s="127">
        <f t="shared" si="0"/>
        <v>193</v>
      </c>
      <c r="V6" s="127">
        <f t="shared" si="1"/>
        <v>180</v>
      </c>
      <c r="W6" s="85">
        <f t="shared" si="2"/>
        <v>-13</v>
      </c>
      <c r="X6" s="132">
        <f t="shared" si="3"/>
        <v>0.93264248704663211</v>
      </c>
    </row>
    <row r="7" spans="1:26" ht="30" x14ac:dyDescent="0.25">
      <c r="A7" s="95" t="s">
        <v>7</v>
      </c>
      <c r="B7" s="8">
        <v>3</v>
      </c>
      <c r="C7" s="4">
        <v>1</v>
      </c>
      <c r="D7" s="101"/>
      <c r="E7" s="88">
        <f>База!I7</f>
        <v>23</v>
      </c>
      <c r="F7" s="84">
        <f>База!J7</f>
        <v>12</v>
      </c>
      <c r="G7" s="84">
        <f>База!K7</f>
        <v>9</v>
      </c>
      <c r="H7" s="84">
        <v>41</v>
      </c>
      <c r="I7" s="84">
        <v>5</v>
      </c>
      <c r="J7" s="84"/>
      <c r="K7" s="84">
        <v>7</v>
      </c>
      <c r="L7" s="84"/>
      <c r="M7" s="84"/>
      <c r="N7" s="84"/>
      <c r="O7" s="84"/>
      <c r="P7" s="84"/>
      <c r="Q7" s="84"/>
      <c r="R7" s="84"/>
      <c r="S7" s="124">
        <f>Провиант!B7</f>
        <v>18</v>
      </c>
      <c r="T7" s="124">
        <f>Провиант!C7</f>
        <v>15</v>
      </c>
      <c r="U7" s="124">
        <f t="shared" si="0"/>
        <v>316.5</v>
      </c>
      <c r="V7" s="124">
        <f t="shared" si="1"/>
        <v>330</v>
      </c>
      <c r="W7" s="84">
        <f t="shared" si="2"/>
        <v>13.5</v>
      </c>
      <c r="X7" s="133">
        <f t="shared" si="3"/>
        <v>1.0426540284360191</v>
      </c>
    </row>
    <row r="8" spans="1:26" x14ac:dyDescent="0.25">
      <c r="A8" s="94" t="s">
        <v>2</v>
      </c>
      <c r="B8" s="10">
        <v>1</v>
      </c>
      <c r="C8" s="2">
        <v>2</v>
      </c>
      <c r="D8" s="100"/>
      <c r="E8" s="86">
        <f>База!I8</f>
        <v>20</v>
      </c>
      <c r="F8" s="85">
        <f>База!J8</f>
        <v>14</v>
      </c>
      <c r="G8" s="85">
        <f>База!K8</f>
        <v>7</v>
      </c>
      <c r="H8" s="85">
        <v>44</v>
      </c>
      <c r="I8" s="85">
        <v>8</v>
      </c>
      <c r="J8" s="85"/>
      <c r="K8" s="85">
        <v>7</v>
      </c>
      <c r="L8" s="85"/>
      <c r="M8" s="85"/>
      <c r="N8" s="85"/>
      <c r="O8" s="85"/>
      <c r="P8" s="85"/>
      <c r="Q8" s="85"/>
      <c r="R8" s="85"/>
      <c r="S8" s="127">
        <f>Провиант!B8</f>
        <v>8</v>
      </c>
      <c r="T8" s="127">
        <f>Провиант!C8</f>
        <v>23</v>
      </c>
      <c r="U8" s="127">
        <f t="shared" si="0"/>
        <v>310</v>
      </c>
      <c r="V8" s="127">
        <f t="shared" si="1"/>
        <v>360</v>
      </c>
      <c r="W8" s="85">
        <f t="shared" si="2"/>
        <v>50</v>
      </c>
      <c r="X8" s="132">
        <f t="shared" si="3"/>
        <v>1.1612903225806452</v>
      </c>
    </row>
    <row r="9" spans="1:26" x14ac:dyDescent="0.25">
      <c r="A9" s="95" t="s">
        <v>6</v>
      </c>
      <c r="B9" s="8">
        <v>2</v>
      </c>
      <c r="C9" s="4"/>
      <c r="D9" s="101"/>
      <c r="E9" s="88">
        <f>База!I9</f>
        <v>6</v>
      </c>
      <c r="F9" s="84">
        <f>База!J9</f>
        <v>6</v>
      </c>
      <c r="G9" s="84">
        <f>База!K9</f>
        <v>0</v>
      </c>
      <c r="H9" s="84">
        <v>7</v>
      </c>
      <c r="I9" s="84">
        <v>4</v>
      </c>
      <c r="J9" s="84"/>
      <c r="K9" s="84"/>
      <c r="L9" s="84"/>
      <c r="M9" s="84"/>
      <c r="N9" s="84"/>
      <c r="O9" s="84"/>
      <c r="P9" s="84"/>
      <c r="Q9" s="84"/>
      <c r="R9" s="84"/>
      <c r="S9" s="124">
        <f>Провиант!B9</f>
        <v>4</v>
      </c>
      <c r="T9" s="124">
        <f>Провиант!C9</f>
        <v>4</v>
      </c>
      <c r="U9" s="124">
        <f t="shared" si="0"/>
        <v>84</v>
      </c>
      <c r="V9" s="124">
        <f t="shared" si="1"/>
        <v>120</v>
      </c>
      <c r="W9" s="84">
        <f t="shared" si="2"/>
        <v>36</v>
      </c>
      <c r="X9" s="133">
        <f t="shared" si="3"/>
        <v>1.4285714285714286</v>
      </c>
    </row>
    <row r="10" spans="1:26" x14ac:dyDescent="0.25">
      <c r="A10" s="94" t="s">
        <v>8</v>
      </c>
      <c r="B10" s="10">
        <v>1</v>
      </c>
      <c r="C10" s="2"/>
      <c r="D10" s="100"/>
      <c r="E10" s="86">
        <f>База!I10</f>
        <v>3</v>
      </c>
      <c r="F10" s="85">
        <f>База!J10</f>
        <v>2</v>
      </c>
      <c r="G10" s="85">
        <f>База!K10</f>
        <v>1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127">
        <f>Провиант!B10</f>
        <v>0</v>
      </c>
      <c r="T10" s="127">
        <f>Провиант!C10</f>
        <v>0</v>
      </c>
      <c r="U10" s="127">
        <f t="shared" si="0"/>
        <v>34</v>
      </c>
      <c r="V10" s="127">
        <f t="shared" si="1"/>
        <v>60</v>
      </c>
      <c r="W10" s="85">
        <f t="shared" si="2"/>
        <v>26</v>
      </c>
      <c r="X10" s="132">
        <f t="shared" si="3"/>
        <v>1.7647058823529411</v>
      </c>
    </row>
    <row r="11" spans="1:26" ht="15.75" thickBot="1" x14ac:dyDescent="0.3">
      <c r="A11" s="96" t="s">
        <v>3</v>
      </c>
      <c r="B11" s="12">
        <v>1</v>
      </c>
      <c r="C11" s="13"/>
      <c r="D11" s="102"/>
      <c r="E11" s="89">
        <f>База!I11</f>
        <v>2</v>
      </c>
      <c r="F11" s="92">
        <f>База!J11</f>
        <v>3</v>
      </c>
      <c r="G11" s="92">
        <f>База!K11</f>
        <v>0</v>
      </c>
      <c r="H11" s="92">
        <v>4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128">
        <f>Провиант!B11</f>
        <v>15</v>
      </c>
      <c r="T11" s="128">
        <f>Провиант!C11</f>
        <v>20</v>
      </c>
      <c r="U11" s="128">
        <f t="shared" si="0"/>
        <v>45.75</v>
      </c>
      <c r="V11" s="128">
        <f t="shared" si="1"/>
        <v>60</v>
      </c>
      <c r="W11" s="92">
        <f t="shared" si="2"/>
        <v>14.25</v>
      </c>
      <c r="X11" s="134">
        <f t="shared" si="3"/>
        <v>1.3114754098360655</v>
      </c>
    </row>
    <row r="12" spans="1:26" x14ac:dyDescent="0.25">
      <c r="A12" s="139" t="s">
        <v>71</v>
      </c>
      <c r="B12" s="139">
        <v>60</v>
      </c>
      <c r="C12" s="139">
        <v>150</v>
      </c>
      <c r="D12" s="139">
        <v>500</v>
      </c>
      <c r="E12" s="139">
        <v>5</v>
      </c>
      <c r="F12" s="139">
        <v>6</v>
      </c>
      <c r="G12" s="139">
        <v>7</v>
      </c>
      <c r="H12" s="139">
        <v>1</v>
      </c>
      <c r="I12" s="139">
        <v>2</v>
      </c>
      <c r="J12" s="139">
        <v>0.5</v>
      </c>
      <c r="K12" s="139">
        <v>0.5</v>
      </c>
      <c r="L12" s="139">
        <v>0.5</v>
      </c>
      <c r="M12" s="139">
        <v>4</v>
      </c>
      <c r="N12" s="139">
        <v>0.5</v>
      </c>
      <c r="O12" s="139">
        <v>1.5</v>
      </c>
      <c r="P12" s="139">
        <v>1.5</v>
      </c>
      <c r="Q12" s="139">
        <v>15</v>
      </c>
      <c r="R12" s="139">
        <v>0.1</v>
      </c>
      <c r="S12" s="139">
        <v>0.25</v>
      </c>
      <c r="T12" s="139">
        <v>0.5</v>
      </c>
      <c r="U12" s="59"/>
      <c r="V12" s="61"/>
      <c r="W12" s="45">
        <f>SUM(W3:W11)</f>
        <v>82.25</v>
      </c>
      <c r="X12" s="103"/>
      <c r="Z12" t="s">
        <v>102</v>
      </c>
    </row>
    <row r="13" spans="1:26" x14ac:dyDescent="0.25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Z13" t="s">
        <v>103</v>
      </c>
    </row>
    <row r="15" spans="1:26" x14ac:dyDescent="0.25">
      <c r="U15" t="s">
        <v>96</v>
      </c>
      <c r="X15" s="130">
        <f>IF($X$3&lt;1,(1-$X$3)*-1,"")</f>
        <v>-0.40149625935162092</v>
      </c>
    </row>
    <row r="16" spans="1:26" x14ac:dyDescent="0.25">
      <c r="U16" t="s">
        <v>86</v>
      </c>
      <c r="X16" s="130">
        <f t="shared" ref="X16:X20" si="4">IF($X$3&lt;1,(1-$X$3)*-1,"")</f>
        <v>-0.40149625935162092</v>
      </c>
    </row>
    <row r="17" spans="21:24" x14ac:dyDescent="0.25">
      <c r="U17" t="s">
        <v>87</v>
      </c>
      <c r="X17" s="130">
        <f t="shared" si="4"/>
        <v>-0.40149625935162092</v>
      </c>
    </row>
    <row r="18" spans="21:24" x14ac:dyDescent="0.25">
      <c r="U18" t="s">
        <v>88</v>
      </c>
      <c r="X18" s="130">
        <f t="shared" si="4"/>
        <v>-0.40149625935162092</v>
      </c>
    </row>
    <row r="19" spans="21:24" x14ac:dyDescent="0.25">
      <c r="U19" t="s">
        <v>89</v>
      </c>
      <c r="X19" s="130">
        <f t="shared" si="4"/>
        <v>-0.40149625935162092</v>
      </c>
    </row>
    <row r="20" spans="21:24" x14ac:dyDescent="0.25">
      <c r="U20" t="s">
        <v>90</v>
      </c>
      <c r="X20" s="130">
        <f t="shared" si="4"/>
        <v>-0.40149625935162092</v>
      </c>
    </row>
    <row r="21" spans="21:24" x14ac:dyDescent="0.25">
      <c r="U21" t="s">
        <v>97</v>
      </c>
      <c r="X21" s="130">
        <f>IF($X$3&lt;1,(1-$X$3)*-0.5,"")</f>
        <v>-0.20074812967581046</v>
      </c>
    </row>
  </sheetData>
  <mergeCells count="4">
    <mergeCell ref="A1:A2"/>
    <mergeCell ref="B1:D1"/>
    <mergeCell ref="U1:X1"/>
    <mergeCell ref="E1:T1"/>
  </mergeCells>
  <conditionalFormatting sqref="W3:W11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Z2" xr:uid="{CF468174-D99B-46DA-AFEB-8821176AE034}">
      <formula1>электричество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7766-DFDA-4C0E-8F03-895D26D1386A}">
  <dimension ref="A1:F68"/>
  <sheetViews>
    <sheetView topLeftCell="A43" workbookViewId="0">
      <selection activeCell="G63" sqref="G63"/>
    </sheetView>
  </sheetViews>
  <sheetFormatPr defaultRowHeight="15" x14ac:dyDescent="0.25"/>
  <cols>
    <col min="1" max="1" width="4.42578125" bestFit="1" customWidth="1"/>
    <col min="2" max="2" width="16" style="52" bestFit="1" customWidth="1"/>
    <col min="3" max="3" width="14" customWidth="1"/>
    <col min="4" max="4" width="14.85546875" customWidth="1"/>
    <col min="5" max="5" width="14" bestFit="1" customWidth="1"/>
    <col min="6" max="6" width="11.85546875" bestFit="1" customWidth="1"/>
  </cols>
  <sheetData>
    <row r="1" spans="1:6" x14ac:dyDescent="0.25">
      <c r="A1" s="47">
        <v>1</v>
      </c>
      <c r="B1" s="53">
        <v>569887</v>
      </c>
      <c r="C1" s="44"/>
      <c r="D1" s="44"/>
      <c r="E1" s="49">
        <v>74106696</v>
      </c>
      <c r="F1" s="48">
        <f>E1/COUNT(A:A)</f>
        <v>1089804.3529411764</v>
      </c>
    </row>
    <row r="2" spans="1:6" x14ac:dyDescent="0.25">
      <c r="A2" s="47">
        <v>2</v>
      </c>
      <c r="B2" s="53">
        <v>1150336</v>
      </c>
      <c r="C2" s="44"/>
      <c r="D2" s="44"/>
      <c r="E2" s="44">
        <f>SUM(B:B)</f>
        <v>75685389</v>
      </c>
    </row>
    <row r="3" spans="1:6" x14ac:dyDescent="0.25">
      <c r="A3" s="47">
        <v>3</v>
      </c>
      <c r="B3" s="53">
        <v>945862</v>
      </c>
      <c r="C3" s="44"/>
      <c r="D3" s="44"/>
      <c r="E3" s="44">
        <f>E1-E2</f>
        <v>-1578693</v>
      </c>
    </row>
    <row r="4" spans="1:6" x14ac:dyDescent="0.25">
      <c r="A4" s="47">
        <v>4</v>
      </c>
      <c r="B4" s="53">
        <v>409835</v>
      </c>
    </row>
    <row r="5" spans="1:6" x14ac:dyDescent="0.25">
      <c r="A5" s="47">
        <v>5</v>
      </c>
      <c r="B5" s="53">
        <v>526987</v>
      </c>
      <c r="C5" s="45"/>
    </row>
    <row r="6" spans="1:6" x14ac:dyDescent="0.25">
      <c r="A6" s="47">
        <v>6</v>
      </c>
      <c r="B6" s="53">
        <v>785603</v>
      </c>
    </row>
    <row r="7" spans="1:6" x14ac:dyDescent="0.25">
      <c r="A7" s="47">
        <v>7</v>
      </c>
      <c r="B7" s="53">
        <v>517896</v>
      </c>
    </row>
    <row r="8" spans="1:6" x14ac:dyDescent="0.25">
      <c r="A8" s="47">
        <v>8</v>
      </c>
      <c r="B8" s="53">
        <v>598852</v>
      </c>
    </row>
    <row r="9" spans="1:6" x14ac:dyDescent="0.25">
      <c r="A9" s="47">
        <v>9</v>
      </c>
      <c r="B9" s="53">
        <v>788916</v>
      </c>
    </row>
    <row r="10" spans="1:6" x14ac:dyDescent="0.25">
      <c r="A10" s="47">
        <v>10</v>
      </c>
      <c r="B10" s="53">
        <v>568974</v>
      </c>
    </row>
    <row r="11" spans="1:6" x14ac:dyDescent="0.25">
      <c r="A11" s="47">
        <v>11</v>
      </c>
      <c r="B11" s="53">
        <v>569874</v>
      </c>
    </row>
    <row r="12" spans="1:6" x14ac:dyDescent="0.25">
      <c r="A12" s="47">
        <v>12</v>
      </c>
      <c r="B12" s="53">
        <v>548996</v>
      </c>
    </row>
    <row r="13" spans="1:6" x14ac:dyDescent="0.25">
      <c r="A13" s="47">
        <v>13</v>
      </c>
      <c r="B13" s="53">
        <v>123658</v>
      </c>
    </row>
    <row r="14" spans="1:6" x14ac:dyDescent="0.25">
      <c r="A14" s="47">
        <v>14</v>
      </c>
      <c r="B14" s="53">
        <v>541289</v>
      </c>
    </row>
    <row r="15" spans="1:6" x14ac:dyDescent="0.25">
      <c r="A15" s="47">
        <v>15</v>
      </c>
      <c r="B15" s="53">
        <v>457851</v>
      </c>
    </row>
    <row r="16" spans="1:6" x14ac:dyDescent="0.25">
      <c r="A16" s="47">
        <v>16</v>
      </c>
      <c r="B16" s="53">
        <v>896532</v>
      </c>
    </row>
    <row r="17" spans="1:2" x14ac:dyDescent="0.25">
      <c r="A17" s="47">
        <v>17</v>
      </c>
      <c r="B17" s="53">
        <v>569841</v>
      </c>
    </row>
    <row r="18" spans="1:2" x14ac:dyDescent="0.25">
      <c r="A18" s="47">
        <v>18</v>
      </c>
      <c r="B18" s="53">
        <v>452369</v>
      </c>
    </row>
    <row r="19" spans="1:2" x14ac:dyDescent="0.25">
      <c r="A19" s="47">
        <v>19</v>
      </c>
      <c r="B19" s="53">
        <v>614589</v>
      </c>
    </row>
    <row r="20" spans="1:2" x14ac:dyDescent="0.25">
      <c r="A20" s="47">
        <v>20</v>
      </c>
      <c r="B20" s="53">
        <v>595950</v>
      </c>
    </row>
    <row r="21" spans="1:2" x14ac:dyDescent="0.25">
      <c r="A21" s="47">
        <v>21</v>
      </c>
      <c r="B21" s="53">
        <v>985321</v>
      </c>
    </row>
    <row r="22" spans="1:2" x14ac:dyDescent="0.25">
      <c r="A22" s="47">
        <v>22</v>
      </c>
      <c r="B22" s="53">
        <v>585124</v>
      </c>
    </row>
    <row r="23" spans="1:2" x14ac:dyDescent="0.25">
      <c r="A23" s="47">
        <v>23</v>
      </c>
      <c r="B23" s="53">
        <v>678532</v>
      </c>
    </row>
    <row r="24" spans="1:2" x14ac:dyDescent="0.25">
      <c r="A24" s="47">
        <v>24</v>
      </c>
      <c r="B24" s="53">
        <v>1246384</v>
      </c>
    </row>
    <row r="25" spans="1:2" x14ac:dyDescent="0.25">
      <c r="A25" s="47">
        <v>25</v>
      </c>
      <c r="B25" s="53">
        <v>654123</v>
      </c>
    </row>
    <row r="26" spans="1:2" x14ac:dyDescent="0.25">
      <c r="A26" s="47">
        <v>26</v>
      </c>
      <c r="B26" s="53">
        <v>745112</v>
      </c>
    </row>
    <row r="27" spans="1:2" x14ac:dyDescent="0.25">
      <c r="A27" s="47">
        <v>27</v>
      </c>
      <c r="B27" s="53">
        <v>1452365</v>
      </c>
    </row>
    <row r="28" spans="1:2" x14ac:dyDescent="0.25">
      <c r="A28" s="47">
        <v>28</v>
      </c>
      <c r="B28" s="53">
        <v>541258</v>
      </c>
    </row>
    <row r="29" spans="1:2" x14ac:dyDescent="0.25">
      <c r="A29" s="47">
        <v>29</v>
      </c>
      <c r="B29" s="53">
        <v>854125</v>
      </c>
    </row>
    <row r="30" spans="1:2" x14ac:dyDescent="0.25">
      <c r="A30" s="47">
        <v>30</v>
      </c>
      <c r="B30" s="53">
        <v>985412</v>
      </c>
    </row>
    <row r="31" spans="1:2" x14ac:dyDescent="0.25">
      <c r="A31" s="47">
        <v>31</v>
      </c>
      <c r="B31" s="53">
        <v>745512</v>
      </c>
    </row>
    <row r="32" spans="1:2" x14ac:dyDescent="0.25">
      <c r="A32" s="47">
        <v>32</v>
      </c>
      <c r="B32" s="53">
        <v>845233</v>
      </c>
    </row>
    <row r="33" spans="1:3" x14ac:dyDescent="0.25">
      <c r="A33" s="47">
        <v>33</v>
      </c>
      <c r="B33" s="53">
        <v>745213</v>
      </c>
    </row>
    <row r="34" spans="1:3" x14ac:dyDescent="0.25">
      <c r="A34" s="47">
        <v>34</v>
      </c>
      <c r="B34" s="53">
        <v>985412</v>
      </c>
    </row>
    <row r="35" spans="1:3" x14ac:dyDescent="0.25">
      <c r="A35" s="47">
        <v>35</v>
      </c>
      <c r="B35" s="53">
        <v>854123</v>
      </c>
    </row>
    <row r="36" spans="1:3" x14ac:dyDescent="0.25">
      <c r="A36" s="47">
        <v>36</v>
      </c>
      <c r="B36" s="53">
        <v>652388</v>
      </c>
    </row>
    <row r="37" spans="1:3" x14ac:dyDescent="0.25">
      <c r="A37" s="47">
        <v>37</v>
      </c>
      <c r="B37" s="53">
        <v>741552</v>
      </c>
    </row>
    <row r="38" spans="1:3" x14ac:dyDescent="0.25">
      <c r="A38" s="47">
        <v>38</v>
      </c>
      <c r="B38" s="53">
        <v>658892</v>
      </c>
    </row>
    <row r="39" spans="1:3" x14ac:dyDescent="0.25">
      <c r="A39" s="47">
        <v>39</v>
      </c>
      <c r="B39" s="53">
        <v>955144</v>
      </c>
    </row>
    <row r="40" spans="1:3" x14ac:dyDescent="0.25">
      <c r="A40" s="47">
        <v>40</v>
      </c>
      <c r="B40" s="53">
        <v>1451258</v>
      </c>
    </row>
    <row r="41" spans="1:3" x14ac:dyDescent="0.25">
      <c r="A41" s="47">
        <v>41</v>
      </c>
      <c r="B41" s="53">
        <v>1000255</v>
      </c>
    </row>
    <row r="42" spans="1:3" x14ac:dyDescent="0.25">
      <c r="A42" s="47">
        <v>42</v>
      </c>
      <c r="B42" s="53">
        <v>1204455</v>
      </c>
    </row>
    <row r="43" spans="1:3" x14ac:dyDescent="0.25">
      <c r="A43" s="47">
        <v>43</v>
      </c>
      <c r="B43" s="53">
        <v>955125</v>
      </c>
    </row>
    <row r="44" spans="1:3" x14ac:dyDescent="0.25">
      <c r="A44" s="47">
        <v>44</v>
      </c>
      <c r="B44" s="53">
        <v>785123</v>
      </c>
    </row>
    <row r="45" spans="1:3" x14ac:dyDescent="0.25">
      <c r="A45" s="47">
        <v>45</v>
      </c>
      <c r="B45" s="53">
        <v>2100255</v>
      </c>
    </row>
    <row r="46" spans="1:3" x14ac:dyDescent="0.25">
      <c r="A46" s="47">
        <v>46</v>
      </c>
      <c r="B46" s="53">
        <v>7541256</v>
      </c>
      <c r="C46" t="s">
        <v>44</v>
      </c>
    </row>
    <row r="47" spans="1:3" x14ac:dyDescent="0.25">
      <c r="A47" s="47">
        <v>47</v>
      </c>
      <c r="B47" s="53">
        <v>1852233</v>
      </c>
    </row>
    <row r="48" spans="1:3" x14ac:dyDescent="0.25">
      <c r="A48" s="47">
        <v>48</v>
      </c>
      <c r="B48" s="53">
        <v>1563214</v>
      </c>
    </row>
    <row r="49" spans="1:2" x14ac:dyDescent="0.25">
      <c r="A49" s="47">
        <v>49</v>
      </c>
      <c r="B49" s="53">
        <v>1324520</v>
      </c>
    </row>
    <row r="50" spans="1:2" x14ac:dyDescent="0.25">
      <c r="A50" s="47">
        <v>50</v>
      </c>
      <c r="B50" s="53">
        <v>1025233</v>
      </c>
    </row>
    <row r="51" spans="1:2" x14ac:dyDescent="0.25">
      <c r="A51" s="47">
        <v>51</v>
      </c>
      <c r="B51" s="53">
        <v>985412</v>
      </c>
    </row>
    <row r="52" spans="1:2" x14ac:dyDescent="0.25">
      <c r="A52" s="47">
        <v>52</v>
      </c>
      <c r="B52" s="53">
        <v>845452</v>
      </c>
    </row>
    <row r="53" spans="1:2" x14ac:dyDescent="0.25">
      <c r="A53" s="47">
        <v>53</v>
      </c>
      <c r="B53" s="53">
        <v>965234</v>
      </c>
    </row>
    <row r="54" spans="1:2" x14ac:dyDescent="0.25">
      <c r="A54" s="47">
        <v>54</v>
      </c>
      <c r="B54" s="53">
        <v>742560</v>
      </c>
    </row>
    <row r="55" spans="1:2" x14ac:dyDescent="0.25">
      <c r="A55" s="47">
        <v>55</v>
      </c>
      <c r="B55" s="53">
        <v>802536</v>
      </c>
    </row>
    <row r="56" spans="1:2" x14ac:dyDescent="0.25">
      <c r="A56" s="47">
        <v>56</v>
      </c>
      <c r="B56" s="53">
        <v>905012</v>
      </c>
    </row>
    <row r="57" spans="1:2" x14ac:dyDescent="0.25">
      <c r="A57" s="47">
        <v>57</v>
      </c>
      <c r="B57" s="53">
        <v>741205</v>
      </c>
    </row>
    <row r="58" spans="1:2" x14ac:dyDescent="0.25">
      <c r="A58" s="47">
        <v>58</v>
      </c>
      <c r="B58" s="53">
        <v>714023</v>
      </c>
    </row>
    <row r="59" spans="1:2" x14ac:dyDescent="0.25">
      <c r="A59" s="47">
        <v>59</v>
      </c>
      <c r="B59" s="53">
        <v>1025223</v>
      </c>
    </row>
    <row r="60" spans="1:2" x14ac:dyDescent="0.25">
      <c r="A60" s="47">
        <v>60</v>
      </c>
      <c r="B60" s="53">
        <v>1541256</v>
      </c>
    </row>
    <row r="61" spans="1:2" x14ac:dyDescent="0.25">
      <c r="A61" s="47">
        <v>61</v>
      </c>
      <c r="B61" s="53">
        <v>852210</v>
      </c>
    </row>
    <row r="62" spans="1:2" x14ac:dyDescent="0.25">
      <c r="A62" s="47">
        <v>62</v>
      </c>
      <c r="B62" s="53">
        <v>905236</v>
      </c>
    </row>
    <row r="63" spans="1:2" x14ac:dyDescent="0.25">
      <c r="A63" s="47">
        <v>63</v>
      </c>
      <c r="B63" s="53">
        <v>1804125</v>
      </c>
    </row>
    <row r="64" spans="1:2" x14ac:dyDescent="0.25">
      <c r="A64" s="47">
        <v>64</v>
      </c>
      <c r="B64" s="53">
        <v>1750652</v>
      </c>
    </row>
    <row r="65" spans="1:2" x14ac:dyDescent="0.25">
      <c r="A65" s="47">
        <v>65</v>
      </c>
      <c r="B65" s="53">
        <v>4512369</v>
      </c>
    </row>
    <row r="66" spans="1:2" x14ac:dyDescent="0.25">
      <c r="A66" s="47">
        <v>66</v>
      </c>
      <c r="B66" s="53">
        <v>3564125</v>
      </c>
    </row>
    <row r="67" spans="1:2" x14ac:dyDescent="0.25">
      <c r="A67" s="47">
        <v>67</v>
      </c>
      <c r="B67" s="53">
        <v>2564889</v>
      </c>
    </row>
    <row r="68" spans="1:2" x14ac:dyDescent="0.25">
      <c r="A68" s="47">
        <v>68</v>
      </c>
      <c r="B68" s="53">
        <v>1515621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3A51-2CA5-4822-8601-FF14FDEC312B}">
  <dimension ref="A1:C10"/>
  <sheetViews>
    <sheetView workbookViewId="0">
      <selection activeCell="E21" sqref="E21"/>
    </sheetView>
  </sheetViews>
  <sheetFormatPr defaultRowHeight="15" x14ac:dyDescent="0.25"/>
  <cols>
    <col min="1" max="1" width="28.140625" customWidth="1"/>
  </cols>
  <sheetData>
    <row r="1" spans="1:3" ht="15.75" customHeight="1" x14ac:dyDescent="0.25">
      <c r="A1" t="s">
        <v>5</v>
      </c>
      <c r="C1" t="s">
        <v>102</v>
      </c>
    </row>
    <row r="2" spans="1:3" ht="15.75" customHeight="1" x14ac:dyDescent="0.25">
      <c r="A2" t="s">
        <v>0</v>
      </c>
      <c r="C2" t="s">
        <v>103</v>
      </c>
    </row>
    <row r="3" spans="1:3" ht="15.75" customHeight="1" x14ac:dyDescent="0.25">
      <c r="A3" t="s">
        <v>4</v>
      </c>
    </row>
    <row r="4" spans="1:3" ht="15.75" customHeight="1" x14ac:dyDescent="0.25">
      <c r="A4" t="s">
        <v>1</v>
      </c>
    </row>
    <row r="5" spans="1:3" ht="15.75" customHeight="1" x14ac:dyDescent="0.25">
      <c r="A5" t="s">
        <v>7</v>
      </c>
    </row>
    <row r="6" spans="1:3" ht="15.75" customHeight="1" x14ac:dyDescent="0.25">
      <c r="A6" t="s">
        <v>2</v>
      </c>
    </row>
    <row r="7" spans="1:3" ht="15.75" customHeight="1" x14ac:dyDescent="0.25">
      <c r="A7" t="s">
        <v>6</v>
      </c>
    </row>
    <row r="8" spans="1:3" ht="15.75" customHeight="1" x14ac:dyDescent="0.25">
      <c r="A8" t="s">
        <v>8</v>
      </c>
    </row>
    <row r="9" spans="1:3" ht="15.75" customHeight="1" x14ac:dyDescent="0.25">
      <c r="A9" t="s">
        <v>3</v>
      </c>
    </row>
    <row r="10" spans="1:3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База</vt:lpstr>
      <vt:lpstr>Провиант</vt:lpstr>
      <vt:lpstr>Энергия</vt:lpstr>
      <vt:lpstr>Лист2</vt:lpstr>
      <vt:lpstr>Список</vt:lpstr>
      <vt:lpstr>страны</vt:lpstr>
      <vt:lpstr>электричество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LipatovKA</dc:creator>
  <cp:lastModifiedBy>LipatovKA</cp:lastModifiedBy>
  <dcterms:created xsi:type="dcterms:W3CDTF">2015-06-05T18:19:34Z</dcterms:created>
  <dcterms:modified xsi:type="dcterms:W3CDTF">2024-09-24T14:08:02Z</dcterms:modified>
</cp:coreProperties>
</file>