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D:\YeShengLong\DataAnalysis-main\【莳槡】戴森球计划数值计算统计(更新中)\"/>
    </mc:Choice>
  </mc:AlternateContent>
  <xr:revisionPtr revIDLastSave="0" documentId="13_ncr:1_{F8EE80AE-3C80-49D2-B133-2487452FCBE8}" xr6:coauthVersionLast="47" xr6:coauthVersionMax="47" xr10:uidLastSave="{00000000-0000-0000-0000-000000000000}"/>
  <bookViews>
    <workbookView xWindow="0" yWindow="0" windowWidth="29040" windowHeight="16200" tabRatio="902" firstSheet="11" activeTab="22" xr2:uid="{00000000-000D-0000-FFFF-FFFF00000000}"/>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 name="恒星光度-戴森球半径关系" sheetId="21" r:id="rId20"/>
    <sheet name="行星数量、轨道半径等生成概率分布" sheetId="22" r:id="rId21"/>
    <sheet name="气巨冰巨多卫星等" sheetId="23" r:id="rId22"/>
    <sheet name="星球类型温度需求" sheetId="24" r:id="rId2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22" l="1"/>
  <c r="C58" i="22"/>
  <c r="D58" i="22"/>
  <c r="A58" i="22"/>
  <c r="B54" i="22"/>
  <c r="A54" i="22"/>
  <c r="G54" i="22"/>
  <c r="C54" i="22"/>
  <c r="D54" i="22"/>
  <c r="E54" i="22"/>
  <c r="F54" i="22"/>
  <c r="R3" i="21"/>
  <c r="N19" i="22"/>
  <c r="R151" i="21"/>
  <c r="Q152" i="21"/>
  <c r="U140" i="21"/>
  <c r="U141" i="21"/>
  <c r="Q151" i="21"/>
  <c r="V137" i="21"/>
  <c r="V138" i="21"/>
  <c r="V139" i="21"/>
  <c r="V140" i="21"/>
  <c r="U134" i="21"/>
  <c r="V133" i="21" s="1"/>
  <c r="U135" i="21"/>
  <c r="V134" i="21" s="1"/>
  <c r="U136" i="21"/>
  <c r="V136" i="21" s="1"/>
  <c r="U137" i="21"/>
  <c r="U138" i="21"/>
  <c r="U139" i="21"/>
  <c r="V16" i="21"/>
  <c r="V32" i="21"/>
  <c r="V48" i="21"/>
  <c r="V64" i="21"/>
  <c r="V80" i="21"/>
  <c r="V96" i="21"/>
  <c r="V112" i="21"/>
  <c r="V128" i="21"/>
  <c r="U4" i="21"/>
  <c r="U5" i="21"/>
  <c r="V4" i="21" s="1"/>
  <c r="U6" i="21"/>
  <c r="V5" i="21" s="1"/>
  <c r="U7" i="21"/>
  <c r="V6" i="21" s="1"/>
  <c r="U8" i="21"/>
  <c r="V7" i="21" s="1"/>
  <c r="U9" i="21"/>
  <c r="V8" i="21" s="1"/>
  <c r="U10" i="21"/>
  <c r="V9" i="21" s="1"/>
  <c r="U11" i="21"/>
  <c r="V10" i="21" s="1"/>
  <c r="U12" i="21"/>
  <c r="V11" i="21" s="1"/>
  <c r="U13" i="21"/>
  <c r="V12" i="21" s="1"/>
  <c r="U14" i="21"/>
  <c r="V13" i="21" s="1"/>
  <c r="U15" i="21"/>
  <c r="V14" i="21" s="1"/>
  <c r="U16" i="21"/>
  <c r="U17" i="21"/>
  <c r="U18" i="21"/>
  <c r="V17" i="21" s="1"/>
  <c r="U19" i="21"/>
  <c r="V18" i="21" s="1"/>
  <c r="U20" i="21"/>
  <c r="V19" i="21" s="1"/>
  <c r="U21" i="21"/>
  <c r="V20" i="21" s="1"/>
  <c r="U22" i="21"/>
  <c r="V21" i="21" s="1"/>
  <c r="U23" i="21"/>
  <c r="V22" i="21" s="1"/>
  <c r="U24" i="21"/>
  <c r="V23" i="21" s="1"/>
  <c r="U25" i="21"/>
  <c r="V24" i="21" s="1"/>
  <c r="U26" i="21"/>
  <c r="V25" i="21" s="1"/>
  <c r="U27" i="21"/>
  <c r="V26" i="21" s="1"/>
  <c r="U28" i="21"/>
  <c r="V27" i="21" s="1"/>
  <c r="U29" i="21"/>
  <c r="V28" i="21" s="1"/>
  <c r="U30" i="21"/>
  <c r="V29" i="21" s="1"/>
  <c r="U31" i="21"/>
  <c r="V30" i="21" s="1"/>
  <c r="U32" i="21"/>
  <c r="U33" i="21"/>
  <c r="U34" i="21"/>
  <c r="V33" i="21" s="1"/>
  <c r="U35" i="21"/>
  <c r="V34" i="21" s="1"/>
  <c r="U36" i="21"/>
  <c r="V35" i="21" s="1"/>
  <c r="U37" i="21"/>
  <c r="V36" i="21" s="1"/>
  <c r="U38" i="21"/>
  <c r="V37" i="21" s="1"/>
  <c r="U39" i="21"/>
  <c r="V38" i="21" s="1"/>
  <c r="U40" i="21"/>
  <c r="V39" i="21" s="1"/>
  <c r="U41" i="21"/>
  <c r="V40" i="21" s="1"/>
  <c r="U42" i="21"/>
  <c r="V41" i="21" s="1"/>
  <c r="U43" i="21"/>
  <c r="V42" i="21" s="1"/>
  <c r="U44" i="21"/>
  <c r="V43" i="21" s="1"/>
  <c r="U45" i="21"/>
  <c r="V44" i="21" s="1"/>
  <c r="U46" i="21"/>
  <c r="V45" i="21" s="1"/>
  <c r="U47" i="21"/>
  <c r="V47" i="21" s="1"/>
  <c r="U48" i="21"/>
  <c r="U49" i="21"/>
  <c r="U50" i="21"/>
  <c r="V49" i="21" s="1"/>
  <c r="U51" i="21"/>
  <c r="V50" i="21" s="1"/>
  <c r="U52" i="21"/>
  <c r="V51" i="21" s="1"/>
  <c r="U53" i="21"/>
  <c r="V52" i="21" s="1"/>
  <c r="U54" i="21"/>
  <c r="V53" i="21" s="1"/>
  <c r="U55" i="21"/>
  <c r="V54" i="21" s="1"/>
  <c r="U56" i="21"/>
  <c r="V55" i="21" s="1"/>
  <c r="U57" i="21"/>
  <c r="V56" i="21" s="1"/>
  <c r="U58" i="21"/>
  <c r="V57" i="21" s="1"/>
  <c r="U59" i="21"/>
  <c r="V58" i="21" s="1"/>
  <c r="U60" i="21"/>
  <c r="V59" i="21" s="1"/>
  <c r="U61" i="21"/>
  <c r="V60" i="21" s="1"/>
  <c r="U62" i="21"/>
  <c r="V61" i="21" s="1"/>
  <c r="U63" i="21"/>
  <c r="V62" i="21" s="1"/>
  <c r="U64" i="21"/>
  <c r="U65" i="21"/>
  <c r="U66" i="21"/>
  <c r="V65" i="21" s="1"/>
  <c r="U67" i="21"/>
  <c r="V66" i="21" s="1"/>
  <c r="U68" i="21"/>
  <c r="V67" i="21" s="1"/>
  <c r="U69" i="21"/>
  <c r="V68" i="21" s="1"/>
  <c r="U70" i="21"/>
  <c r="V69" i="21" s="1"/>
  <c r="U71" i="21"/>
  <c r="V70" i="21" s="1"/>
  <c r="U72" i="21"/>
  <c r="V71" i="21" s="1"/>
  <c r="U73" i="21"/>
  <c r="V72" i="21" s="1"/>
  <c r="U74" i="21"/>
  <c r="V73" i="21" s="1"/>
  <c r="U75" i="21"/>
  <c r="V74" i="21" s="1"/>
  <c r="U76" i="21"/>
  <c r="V75" i="21" s="1"/>
  <c r="U77" i="21"/>
  <c r="V76" i="21" s="1"/>
  <c r="U78" i="21"/>
  <c r="V77" i="21" s="1"/>
  <c r="U79" i="21"/>
  <c r="V78" i="21" s="1"/>
  <c r="U80" i="21"/>
  <c r="U81" i="21"/>
  <c r="U82" i="21"/>
  <c r="V81" i="21" s="1"/>
  <c r="U83" i="21"/>
  <c r="V82" i="21" s="1"/>
  <c r="U84" i="21"/>
  <c r="V83" i="21" s="1"/>
  <c r="U85" i="21"/>
  <c r="V84" i="21" s="1"/>
  <c r="U86" i="21"/>
  <c r="V85" i="21" s="1"/>
  <c r="U87" i="21"/>
  <c r="V86" i="21" s="1"/>
  <c r="U88" i="21"/>
  <c r="V87" i="21" s="1"/>
  <c r="U89" i="21"/>
  <c r="V88" i="21" s="1"/>
  <c r="U90" i="21"/>
  <c r="V89" i="21" s="1"/>
  <c r="U91" i="21"/>
  <c r="V90" i="21" s="1"/>
  <c r="U92" i="21"/>
  <c r="V91" i="21" s="1"/>
  <c r="U93" i="21"/>
  <c r="V92" i="21" s="1"/>
  <c r="U94" i="21"/>
  <c r="V93" i="21" s="1"/>
  <c r="U95" i="21"/>
  <c r="V94" i="21" s="1"/>
  <c r="U96" i="21"/>
  <c r="U97" i="21"/>
  <c r="U98" i="21"/>
  <c r="V97" i="21" s="1"/>
  <c r="U99" i="21"/>
  <c r="V98" i="21" s="1"/>
  <c r="U100" i="21"/>
  <c r="V99" i="21" s="1"/>
  <c r="U101" i="21"/>
  <c r="V100" i="21" s="1"/>
  <c r="U102" i="21"/>
  <c r="V101" i="21" s="1"/>
  <c r="U103" i="21"/>
  <c r="V102" i="21" s="1"/>
  <c r="U104" i="21"/>
  <c r="V103" i="21" s="1"/>
  <c r="U105" i="21"/>
  <c r="V104" i="21" s="1"/>
  <c r="U106" i="21"/>
  <c r="V105" i="21" s="1"/>
  <c r="U107" i="21"/>
  <c r="V106" i="21" s="1"/>
  <c r="U108" i="21"/>
  <c r="V107" i="21" s="1"/>
  <c r="U109" i="21"/>
  <c r="V108" i="21" s="1"/>
  <c r="U110" i="21"/>
  <c r="V109" i="21" s="1"/>
  <c r="U111" i="21"/>
  <c r="V111" i="21" s="1"/>
  <c r="U112" i="21"/>
  <c r="U113" i="21"/>
  <c r="U114" i="21"/>
  <c r="V113" i="21" s="1"/>
  <c r="U115" i="21"/>
  <c r="V114" i="21" s="1"/>
  <c r="U116" i="21"/>
  <c r="V115" i="21" s="1"/>
  <c r="U117" i="21"/>
  <c r="V116" i="21" s="1"/>
  <c r="U118" i="21"/>
  <c r="V117" i="21" s="1"/>
  <c r="U119" i="21"/>
  <c r="V118" i="21" s="1"/>
  <c r="U120" i="21"/>
  <c r="V119" i="21" s="1"/>
  <c r="U121" i="21"/>
  <c r="V120" i="21" s="1"/>
  <c r="U122" i="21"/>
  <c r="V121" i="21" s="1"/>
  <c r="U123" i="21"/>
  <c r="V122" i="21" s="1"/>
  <c r="U124" i="21"/>
  <c r="V123" i="21" s="1"/>
  <c r="U125" i="21"/>
  <c r="V124" i="21" s="1"/>
  <c r="U126" i="21"/>
  <c r="V125" i="21" s="1"/>
  <c r="U127" i="21"/>
  <c r="V127" i="21" s="1"/>
  <c r="U128" i="21"/>
  <c r="U129" i="21"/>
  <c r="U130" i="21"/>
  <c r="V129" i="21" s="1"/>
  <c r="U131" i="21"/>
  <c r="V130" i="21" s="1"/>
  <c r="U132" i="21"/>
  <c r="V131" i="21" s="1"/>
  <c r="U133" i="21"/>
  <c r="V132" i="21" s="1"/>
  <c r="U3" i="21"/>
  <c r="V3" i="21" s="1"/>
  <c r="P9" i="21"/>
  <c r="Q8" i="21" s="1"/>
  <c r="R9" i="21" s="1"/>
  <c r="R8" i="21" s="1"/>
  <c r="Q3" i="21"/>
  <c r="Q23" i="21"/>
  <c r="Q24" i="21"/>
  <c r="R23" i="21" s="1"/>
  <c r="Q25" i="21"/>
  <c r="R24" i="21" s="1"/>
  <c r="Q26" i="21"/>
  <c r="R25" i="21" s="1"/>
  <c r="Q27" i="21"/>
  <c r="R26" i="21" s="1"/>
  <c r="Q28" i="21"/>
  <c r="Q29" i="21"/>
  <c r="R28" i="21" s="1"/>
  <c r="Q30" i="21"/>
  <c r="Q31" i="21"/>
  <c r="Q32" i="21"/>
  <c r="R31" i="21" s="1"/>
  <c r="Q33" i="21"/>
  <c r="R32" i="21" s="1"/>
  <c r="Q34" i="21"/>
  <c r="R33" i="21" s="1"/>
  <c r="Q35" i="21"/>
  <c r="R34" i="21" s="1"/>
  <c r="Q36" i="21"/>
  <c r="R35" i="21" s="1"/>
  <c r="Q37" i="21"/>
  <c r="R36" i="21" s="1"/>
  <c r="Q38" i="21"/>
  <c r="R37" i="21" s="1"/>
  <c r="Q39" i="21"/>
  <c r="Q40" i="21"/>
  <c r="Q41" i="21"/>
  <c r="R40" i="21" s="1"/>
  <c r="Q42" i="21"/>
  <c r="R41" i="21" s="1"/>
  <c r="Q43" i="21"/>
  <c r="R42" i="21" s="1"/>
  <c r="Q44" i="21"/>
  <c r="Q45" i="21"/>
  <c r="R44" i="21" s="1"/>
  <c r="Q46" i="21"/>
  <c r="R45" i="21" s="1"/>
  <c r="Q47" i="21"/>
  <c r="Q48" i="21"/>
  <c r="R47" i="21" s="1"/>
  <c r="Q49" i="21"/>
  <c r="R48" i="21" s="1"/>
  <c r="Q50" i="21"/>
  <c r="R49" i="21" s="1"/>
  <c r="Q51" i="21"/>
  <c r="R50" i="21" s="1"/>
  <c r="Q52" i="21"/>
  <c r="R51" i="21" s="1"/>
  <c r="Q53" i="21"/>
  <c r="R52" i="21" s="1"/>
  <c r="Q54" i="21"/>
  <c r="R53" i="21" s="1"/>
  <c r="Q55" i="21"/>
  <c r="R54" i="21" s="1"/>
  <c r="Q56" i="21"/>
  <c r="Q57" i="21"/>
  <c r="R56" i="21" s="1"/>
  <c r="Q58" i="21"/>
  <c r="R57" i="21" s="1"/>
  <c r="Q59" i="21"/>
  <c r="R58" i="21" s="1"/>
  <c r="Q60" i="21"/>
  <c r="Q61" i="21"/>
  <c r="R60" i="21" s="1"/>
  <c r="Q62" i="21"/>
  <c r="R61" i="21" s="1"/>
  <c r="Q63" i="21"/>
  <c r="Q64" i="21"/>
  <c r="R63" i="21" s="1"/>
  <c r="Q65" i="21"/>
  <c r="R64" i="21" s="1"/>
  <c r="Q66" i="21"/>
  <c r="R65" i="21" s="1"/>
  <c r="Q67" i="21"/>
  <c r="R66" i="21" s="1"/>
  <c r="Q68" i="21"/>
  <c r="R67" i="21" s="1"/>
  <c r="Q69" i="21"/>
  <c r="R68" i="21" s="1"/>
  <c r="Q70" i="21"/>
  <c r="R69" i="21" s="1"/>
  <c r="Q71" i="21"/>
  <c r="R70" i="21" s="1"/>
  <c r="Q72" i="21"/>
  <c r="Q73" i="21"/>
  <c r="R72" i="21" s="1"/>
  <c r="Q74" i="21"/>
  <c r="R73" i="21" s="1"/>
  <c r="Q75" i="21"/>
  <c r="R74" i="21" s="1"/>
  <c r="Q76" i="21"/>
  <c r="Q77" i="21"/>
  <c r="R76" i="21" s="1"/>
  <c r="Q78" i="21"/>
  <c r="Q79" i="21"/>
  <c r="Q80" i="21"/>
  <c r="R79" i="21" s="1"/>
  <c r="Q81" i="21"/>
  <c r="R80" i="21" s="1"/>
  <c r="Q82" i="21"/>
  <c r="R81" i="21" s="1"/>
  <c r="Q83" i="21"/>
  <c r="R82" i="21" s="1"/>
  <c r="Q84" i="21"/>
  <c r="R83" i="21" s="1"/>
  <c r="Q85" i="21"/>
  <c r="R84" i="21" s="1"/>
  <c r="Q86" i="21"/>
  <c r="R85" i="21" s="1"/>
  <c r="Q87" i="21"/>
  <c r="Q88" i="21"/>
  <c r="Q89" i="21"/>
  <c r="R88" i="21" s="1"/>
  <c r="Q90" i="21"/>
  <c r="R89" i="21" s="1"/>
  <c r="Q91" i="21"/>
  <c r="R90" i="21" s="1"/>
  <c r="Q92" i="21"/>
  <c r="Q93" i="21"/>
  <c r="R92" i="21" s="1"/>
  <c r="Q94" i="21"/>
  <c r="Q95" i="21"/>
  <c r="Q96" i="21"/>
  <c r="R95" i="21" s="1"/>
  <c r="Q97" i="21"/>
  <c r="R96" i="21" s="1"/>
  <c r="Q98" i="21"/>
  <c r="R97" i="21" s="1"/>
  <c r="Q99" i="21"/>
  <c r="R98" i="21" s="1"/>
  <c r="Q100" i="21"/>
  <c r="R99" i="21" s="1"/>
  <c r="Q101" i="21"/>
  <c r="R100" i="21" s="1"/>
  <c r="Q102" i="21"/>
  <c r="R101" i="21" s="1"/>
  <c r="Q103" i="21"/>
  <c r="R102" i="21" s="1"/>
  <c r="Q104" i="21"/>
  <c r="Q105" i="21"/>
  <c r="R104" i="21" s="1"/>
  <c r="Q106" i="21"/>
  <c r="R105" i="21" s="1"/>
  <c r="Q107" i="21"/>
  <c r="R106" i="21" s="1"/>
  <c r="Q108" i="21"/>
  <c r="Q109" i="21"/>
  <c r="R108" i="21" s="1"/>
  <c r="Q110" i="21"/>
  <c r="R109" i="21" s="1"/>
  <c r="Q111" i="21"/>
  <c r="Q112" i="21"/>
  <c r="R111" i="21" s="1"/>
  <c r="Q113" i="21"/>
  <c r="R112" i="21" s="1"/>
  <c r="Q114" i="21"/>
  <c r="R113" i="21" s="1"/>
  <c r="Q115" i="21"/>
  <c r="R114" i="21" s="1"/>
  <c r="Q116" i="21"/>
  <c r="R115" i="21" s="1"/>
  <c r="Q117" i="21"/>
  <c r="R116" i="21" s="1"/>
  <c r="Q118" i="21"/>
  <c r="R117" i="21" s="1"/>
  <c r="Q119" i="21"/>
  <c r="R118" i="21" s="1"/>
  <c r="Q120" i="21"/>
  <c r="Q121" i="21"/>
  <c r="R120" i="21" s="1"/>
  <c r="Q122" i="21"/>
  <c r="R121" i="21" s="1"/>
  <c r="Q123" i="21"/>
  <c r="R122" i="21" s="1"/>
  <c r="Q124" i="21"/>
  <c r="Q125" i="21"/>
  <c r="R124" i="21" s="1"/>
  <c r="Q126" i="21"/>
  <c r="Q127" i="21"/>
  <c r="Q128" i="21"/>
  <c r="R127" i="21" s="1"/>
  <c r="Q129" i="21"/>
  <c r="R128" i="21" s="1"/>
  <c r="Q130" i="21"/>
  <c r="R129" i="21" s="1"/>
  <c r="Q131" i="21"/>
  <c r="R130" i="21" s="1"/>
  <c r="Q132" i="21"/>
  <c r="R131" i="21" s="1"/>
  <c r="Q133" i="21"/>
  <c r="R132" i="21" s="1"/>
  <c r="Q134" i="21"/>
  <c r="R133" i="21" s="1"/>
  <c r="Q135" i="21"/>
  <c r="R134" i="21" s="1"/>
  <c r="Q136" i="21"/>
  <c r="Q137" i="21"/>
  <c r="R136" i="21" s="1"/>
  <c r="Q138" i="21"/>
  <c r="R137" i="21" s="1"/>
  <c r="Q139" i="21"/>
  <c r="R138" i="21" s="1"/>
  <c r="Q140" i="21"/>
  <c r="Q141" i="21"/>
  <c r="R140" i="21" s="1"/>
  <c r="Q142" i="21"/>
  <c r="R141" i="21" s="1"/>
  <c r="Q143" i="21"/>
  <c r="Q144" i="21"/>
  <c r="R143" i="21" s="1"/>
  <c r="Q145" i="21"/>
  <c r="R144" i="21" s="1"/>
  <c r="Q146" i="21"/>
  <c r="R145" i="21" s="1"/>
  <c r="Q147" i="21"/>
  <c r="R146" i="21" s="1"/>
  <c r="Q148" i="21"/>
  <c r="R147" i="21" s="1"/>
  <c r="Q149" i="21"/>
  <c r="R148" i="21" s="1"/>
  <c r="Q150" i="21"/>
  <c r="R149" i="21" s="1"/>
  <c r="S7" i="9"/>
  <c r="S8" i="9"/>
  <c r="S6" i="9"/>
  <c r="E37" i="9"/>
  <c r="E43" i="9"/>
  <c r="R6" i="9"/>
  <c r="R7" i="9"/>
  <c r="R8" i="9"/>
  <c r="V95" i="21" l="1"/>
  <c r="V63" i="21"/>
  <c r="V15" i="21"/>
  <c r="V126" i="21"/>
  <c r="V46" i="21"/>
  <c r="V135" i="21"/>
  <c r="V79" i="21"/>
  <c r="V31" i="21"/>
  <c r="V110" i="21"/>
  <c r="R126" i="21"/>
  <c r="R94" i="21"/>
  <c r="R78" i="21"/>
  <c r="R29" i="21"/>
  <c r="R150" i="21"/>
  <c r="R87" i="21"/>
  <c r="R39" i="21"/>
  <c r="R139" i="21"/>
  <c r="R123" i="21"/>
  <c r="R107" i="21"/>
  <c r="R91" i="21"/>
  <c r="R75" i="21"/>
  <c r="R59" i="21"/>
  <c r="R43" i="21"/>
  <c r="R27" i="21"/>
  <c r="R86" i="21"/>
  <c r="R103" i="21"/>
  <c r="R135" i="21"/>
  <c r="R71" i="21"/>
  <c r="R38" i="21"/>
  <c r="R62" i="21"/>
  <c r="R125" i="21"/>
  <c r="R119" i="21"/>
  <c r="R142" i="21"/>
  <c r="R46" i="21"/>
  <c r="R93" i="21"/>
  <c r="R110" i="21"/>
  <c r="R77" i="21"/>
  <c r="R55" i="21"/>
  <c r="R30" i="21"/>
  <c r="U21" i="9"/>
  <c r="B115" i="16" l="1"/>
  <c r="C115" i="16" s="1"/>
  <c r="D115" i="16" s="1"/>
  <c r="E115" i="16" s="1"/>
  <c r="F115" i="16" s="1"/>
  <c r="G115" i="16" s="1"/>
  <c r="H115" i="16" s="1"/>
  <c r="I115" i="16" s="1"/>
  <c r="J115" i="16" s="1"/>
  <c r="K115" i="16" s="1"/>
  <c r="L115" i="16" s="1"/>
  <c r="M115" i="16" s="1"/>
  <c r="N115" i="16" s="1"/>
  <c r="O115" i="16" s="1"/>
  <c r="P115" i="16" s="1"/>
  <c r="Q115" i="16" s="1"/>
  <c r="R115" i="16" s="1"/>
  <c r="S115" i="16" s="1"/>
  <c r="T115" i="16" s="1"/>
  <c r="B81" i="16"/>
  <c r="C81" i="16" s="1"/>
  <c r="D81" i="16" s="1"/>
  <c r="E81" i="16" s="1"/>
  <c r="F81" i="16" s="1"/>
  <c r="G81" i="16" s="1"/>
  <c r="H81" i="16" s="1"/>
  <c r="I81" i="16" s="1"/>
  <c r="J81" i="16" s="1"/>
  <c r="K81" i="16" s="1"/>
  <c r="L81" i="16" s="1"/>
  <c r="M81" i="16" s="1"/>
  <c r="N81" i="16" s="1"/>
  <c r="O81" i="16" s="1"/>
  <c r="P81" i="16" s="1"/>
  <c r="Q81" i="16" s="1"/>
  <c r="R81" i="16" s="1"/>
  <c r="S81" i="16" s="1"/>
  <c r="T81" i="16" s="1"/>
  <c r="B82" i="16"/>
  <c r="B107" i="16" s="1"/>
  <c r="C107" i="16" s="1"/>
  <c r="D107" i="16" s="1"/>
  <c r="E107" i="16" s="1"/>
  <c r="F107" i="16" s="1"/>
  <c r="G107" i="16" s="1"/>
  <c r="H107" i="16" s="1"/>
  <c r="I107" i="16" s="1"/>
  <c r="J107" i="16" s="1"/>
  <c r="K107" i="16" s="1"/>
  <c r="L107" i="16" s="1"/>
  <c r="M107" i="16" s="1"/>
  <c r="N107" i="16" s="1"/>
  <c r="O107" i="16" s="1"/>
  <c r="P107" i="16" s="1"/>
  <c r="Q107" i="16" s="1"/>
  <c r="R107" i="16" s="1"/>
  <c r="S107" i="16" s="1"/>
  <c r="T107" i="16" s="1"/>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s="1"/>
  <c r="D84" i="16" s="1"/>
  <c r="E84" i="16" s="1"/>
  <c r="F84" i="16" s="1"/>
  <c r="G84" i="16" s="1"/>
  <c r="H84" i="16" s="1"/>
  <c r="I84" i="16" s="1"/>
  <c r="J84" i="16" s="1"/>
  <c r="K84" i="16" s="1"/>
  <c r="L84" i="16" s="1"/>
  <c r="M84" i="16" s="1"/>
  <c r="N84" i="16" s="1"/>
  <c r="O84" i="16" s="1"/>
  <c r="P84" i="16" s="1"/>
  <c r="Q84" i="16" s="1"/>
  <c r="R84" i="16" s="1"/>
  <c r="S84" i="16" s="1"/>
  <c r="T84" i="16" s="1"/>
  <c r="B90" i="16"/>
  <c r="C90" i="16" s="1"/>
  <c r="D90" i="16" s="1"/>
  <c r="E90" i="16" s="1"/>
  <c r="F90" i="16" s="1"/>
  <c r="G90" i="16" s="1"/>
  <c r="H90" i="16" s="1"/>
  <c r="I90" i="16" s="1"/>
  <c r="J90" i="16" s="1"/>
  <c r="K90" i="16" s="1"/>
  <c r="L90" i="16" s="1"/>
  <c r="M90" i="16" s="1"/>
  <c r="N90" i="16" s="1"/>
  <c r="O90" i="16" s="1"/>
  <c r="P90" i="16" s="1"/>
  <c r="Q90" i="16" s="1"/>
  <c r="R90" i="16" s="1"/>
  <c r="S90" i="16" s="1"/>
  <c r="T90"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B121" i="16" s="1"/>
  <c r="C121" i="16" s="1"/>
  <c r="D121" i="16" s="1"/>
  <c r="E121" i="16" s="1"/>
  <c r="F121" i="16" s="1"/>
  <c r="G121" i="16" s="1"/>
  <c r="H121" i="16" s="1"/>
  <c r="I121" i="16" s="1"/>
  <c r="J121" i="16" s="1"/>
  <c r="K121" i="16" s="1"/>
  <c r="L121" i="16" s="1"/>
  <c r="M121" i="16" s="1"/>
  <c r="N121" i="16" s="1"/>
  <c r="O121" i="16" s="1"/>
  <c r="P121" i="16" s="1"/>
  <c r="Q121" i="16" s="1"/>
  <c r="R121" i="16" s="1"/>
  <c r="S121" i="16" s="1"/>
  <c r="T121" i="16" s="1"/>
  <c r="C96" i="16"/>
  <c r="D96" i="16"/>
  <c r="E96" i="16" s="1"/>
  <c r="F96" i="16" s="1"/>
  <c r="G96" i="16" s="1"/>
  <c r="H96" i="16" s="1"/>
  <c r="I96" i="16" s="1"/>
  <c r="J96" i="16" s="1"/>
  <c r="K96" i="16" s="1"/>
  <c r="L96" i="16" s="1"/>
  <c r="M96" i="16" s="1"/>
  <c r="N96" i="16" s="1"/>
  <c r="O96" i="16" s="1"/>
  <c r="P96" i="16" s="1"/>
  <c r="Q96" i="16" s="1"/>
  <c r="R96" i="16" s="1"/>
  <c r="S96" i="16" s="1"/>
  <c r="T96" i="16" s="1"/>
  <c r="B97" i="16"/>
  <c r="C97" i="16" s="1"/>
  <c r="D97" i="16" s="1"/>
  <c r="E97" i="16" s="1"/>
  <c r="F97" i="16" s="1"/>
  <c r="G97" i="16" s="1"/>
  <c r="H97" i="16" s="1"/>
  <c r="I97" i="16" s="1"/>
  <c r="J97" i="16" s="1"/>
  <c r="K97" i="16" s="1"/>
  <c r="L97" i="16" s="1"/>
  <c r="M97" i="16" s="1"/>
  <c r="N97" i="16" s="1"/>
  <c r="O97" i="16" s="1"/>
  <c r="P97" i="16" s="1"/>
  <c r="Q97" i="16" s="1"/>
  <c r="R97" i="16" s="1"/>
  <c r="S97" i="16" s="1"/>
  <c r="T97" i="16" s="1"/>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B86" i="16" s="1"/>
  <c r="C61" i="16"/>
  <c r="D61" i="16" s="1"/>
  <c r="E61" i="16" s="1"/>
  <c r="F61" i="16" s="1"/>
  <c r="G61" i="16" s="1"/>
  <c r="H61" i="16" s="1"/>
  <c r="I61" i="16" s="1"/>
  <c r="J61" i="16" s="1"/>
  <c r="K61" i="16" s="1"/>
  <c r="L61" i="16" s="1"/>
  <c r="M61" i="16" s="1"/>
  <c r="N61" i="16" s="1"/>
  <c r="O61" i="16" s="1"/>
  <c r="P61" i="16" s="1"/>
  <c r="Q61" i="16" s="1"/>
  <c r="R61" i="16" s="1"/>
  <c r="S61" i="16" s="1"/>
  <c r="T61" i="16" s="1"/>
  <c r="B62" i="16"/>
  <c r="B87" i="16" s="1"/>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B91" i="16" s="1"/>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s="1"/>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98" i="16" s="1"/>
  <c r="B55" i="16"/>
  <c r="C55" i="16" s="1"/>
  <c r="B6" i="16"/>
  <c r="B7" i="16" s="1"/>
  <c r="P48" i="9"/>
  <c r="P49" i="9"/>
  <c r="P50" i="9"/>
  <c r="P51" i="9"/>
  <c r="P52" i="9"/>
  <c r="P53" i="9"/>
  <c r="P54" i="9"/>
  <c r="P55" i="9"/>
  <c r="P56" i="9"/>
  <c r="P57" i="9"/>
  <c r="P58" i="9"/>
  <c r="P59" i="9"/>
  <c r="P60" i="9"/>
  <c r="P61" i="9"/>
  <c r="P62" i="9"/>
  <c r="P63" i="9"/>
  <c r="P64" i="9"/>
  <c r="P65" i="9"/>
  <c r="P66" i="9"/>
  <c r="P47" i="9"/>
  <c r="N67" i="9"/>
  <c r="J38" i="2"/>
  <c r="A43" i="2"/>
  <c r="I34" i="2"/>
  <c r="J34" i="2" s="1"/>
  <c r="K34" i="2" s="1"/>
  <c r="D43" i="2"/>
  <c r="A44" i="2"/>
  <c r="A42" i="2"/>
  <c r="A41" i="2"/>
  <c r="B43" i="2"/>
  <c r="I30" i="2"/>
  <c r="J30" i="2" s="1"/>
  <c r="K30" i="2" s="1"/>
  <c r="B41" i="2"/>
  <c r="E30" i="2"/>
  <c r="H9" i="6"/>
  <c r="C5" i="2"/>
  <c r="E5" i="2"/>
  <c r="D5" i="2"/>
  <c r="Q6" i="4"/>
  <c r="Q7" i="4" s="1"/>
  <c r="P6" i="4"/>
  <c r="P7" i="4" s="1"/>
  <c r="O6" i="4"/>
  <c r="O7" i="4" s="1"/>
  <c r="N6" i="4"/>
  <c r="N7" i="4" s="1"/>
  <c r="M6" i="4"/>
  <c r="M7" i="4" s="1"/>
  <c r="L6" i="4"/>
  <c r="L7" i="4" s="1"/>
  <c r="K6" i="4"/>
  <c r="K7" i="4" s="1"/>
  <c r="J6" i="4"/>
  <c r="J7" i="4" s="1"/>
  <c r="I6" i="4"/>
  <c r="H6" i="4"/>
  <c r="H7" i="4" s="1"/>
  <c r="Q9" i="6"/>
  <c r="P9" i="6"/>
  <c r="O9" i="6"/>
  <c r="N9" i="6"/>
  <c r="M9" i="6"/>
  <c r="L9" i="6"/>
  <c r="I9" i="6"/>
  <c r="K9" i="6"/>
  <c r="J9" i="6"/>
  <c r="F37" i="2"/>
  <c r="L5" i="2"/>
  <c r="C7" i="2"/>
  <c r="K38" i="2"/>
  <c r="I18" i="18"/>
  <c r="B5" i="19"/>
  <c r="C5" i="19" s="1"/>
  <c r="D5" i="19" s="1"/>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B30" i="9"/>
  <c r="C30" i="9" s="1"/>
  <c r="G40" i="2"/>
  <c r="G41" i="2" s="1"/>
  <c r="I7" i="4"/>
  <c r="E7" i="4"/>
  <c r="F7" i="4"/>
  <c r="G7" i="4"/>
  <c r="D7" i="4"/>
  <c r="C7" i="4"/>
  <c r="B7" i="4"/>
  <c r="G59" i="9"/>
  <c r="G79" i="9"/>
  <c r="G83" i="9"/>
  <c r="G84" i="9"/>
  <c r="G85" i="9"/>
  <c r="G86" i="9"/>
  <c r="G87" i="9"/>
  <c r="G92" i="9"/>
  <c r="G93" i="9"/>
  <c r="G99" i="9"/>
  <c r="G107" i="9"/>
  <c r="G39" i="9"/>
  <c r="G30" i="2"/>
  <c r="K8" i="6"/>
  <c r="J8" i="6"/>
  <c r="E6" i="2"/>
  <c r="H8" i="6"/>
  <c r="C6" i="2"/>
  <c r="G32" i="2"/>
  <c r="G31" i="2"/>
  <c r="F32" i="2"/>
  <c r="F31" i="2"/>
  <c r="E32" i="2"/>
  <c r="E31" i="2"/>
  <c r="F30" i="2"/>
  <c r="L6" i="2"/>
  <c r="L4" i="2"/>
  <c r="M4" i="2"/>
  <c r="E4" i="2"/>
  <c r="H36" i="2"/>
  <c r="G36" i="2"/>
  <c r="H2" i="6"/>
  <c r="B23" i="1"/>
  <c r="B22" i="1"/>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B38" i="9"/>
  <c r="E38" i="9" s="1"/>
  <c r="G38" i="9" s="1"/>
  <c r="B39" i="9"/>
  <c r="E39" i="9" s="1"/>
  <c r="B40" i="9"/>
  <c r="E40" i="9" s="1"/>
  <c r="G40" i="9" s="1"/>
  <c r="B41" i="9"/>
  <c r="E41" i="9" s="1"/>
  <c r="G41" i="9" s="1"/>
  <c r="B42" i="9"/>
  <c r="E42" i="9" s="1"/>
  <c r="G42" i="9" s="1"/>
  <c r="B43" i="9"/>
  <c r="G43" i="9" s="1"/>
  <c r="B44" i="9"/>
  <c r="E44" i="9" s="1"/>
  <c r="G44" i="9" s="1"/>
  <c r="B45" i="9"/>
  <c r="E45" i="9" s="1"/>
  <c r="G45" i="9" s="1"/>
  <c r="B46" i="9"/>
  <c r="E46" i="9" s="1"/>
  <c r="G46" i="9" s="1"/>
  <c r="B47" i="9"/>
  <c r="E47" i="9" s="1"/>
  <c r="G47" i="9" s="1"/>
  <c r="B48" i="9"/>
  <c r="E48" i="9" s="1"/>
  <c r="G48" i="9" s="1"/>
  <c r="B49" i="9"/>
  <c r="E49" i="9" s="1"/>
  <c r="G49" i="9" s="1"/>
  <c r="B50" i="9"/>
  <c r="E50" i="9" s="1"/>
  <c r="G50" i="9" s="1"/>
  <c r="B51" i="9"/>
  <c r="E51" i="9" s="1"/>
  <c r="G51" i="9" s="1"/>
  <c r="B52" i="9"/>
  <c r="E52" i="9" s="1"/>
  <c r="G52" i="9" s="1"/>
  <c r="B53" i="9"/>
  <c r="E53" i="9" s="1"/>
  <c r="G53" i="9" s="1"/>
  <c r="B54" i="9"/>
  <c r="E54" i="9" s="1"/>
  <c r="G54" i="9" s="1"/>
  <c r="B55" i="9"/>
  <c r="E55" i="9" s="1"/>
  <c r="G55" i="9" s="1"/>
  <c r="B56" i="9"/>
  <c r="E56" i="9" s="1"/>
  <c r="G56" i="9" s="1"/>
  <c r="B57" i="9"/>
  <c r="E57" i="9" s="1"/>
  <c r="G57" i="9" s="1"/>
  <c r="B58" i="9"/>
  <c r="E58" i="9" s="1"/>
  <c r="G58" i="9" s="1"/>
  <c r="B59" i="9"/>
  <c r="E59" i="9" s="1"/>
  <c r="B60" i="9"/>
  <c r="E60" i="9" s="1"/>
  <c r="G60" i="9" s="1"/>
  <c r="B61" i="9"/>
  <c r="E61" i="9" s="1"/>
  <c r="G61" i="9" s="1"/>
  <c r="B62" i="9"/>
  <c r="E62" i="9" s="1"/>
  <c r="G62" i="9" s="1"/>
  <c r="B63" i="9"/>
  <c r="E63" i="9" s="1"/>
  <c r="G63" i="9" s="1"/>
  <c r="B64" i="9"/>
  <c r="E64" i="9" s="1"/>
  <c r="G64" i="9" s="1"/>
  <c r="B65" i="9"/>
  <c r="E65" i="9" s="1"/>
  <c r="G65" i="9" s="1"/>
  <c r="B66" i="9"/>
  <c r="E66" i="9" s="1"/>
  <c r="G66" i="9" s="1"/>
  <c r="B67" i="9"/>
  <c r="E67" i="9" s="1"/>
  <c r="G67" i="9" s="1"/>
  <c r="B68" i="9"/>
  <c r="E68" i="9" s="1"/>
  <c r="G68" i="9" s="1"/>
  <c r="B69" i="9"/>
  <c r="E69" i="9" s="1"/>
  <c r="G69" i="9" s="1"/>
  <c r="B70" i="9"/>
  <c r="E70" i="9" s="1"/>
  <c r="G70" i="9" s="1"/>
  <c r="B71" i="9"/>
  <c r="E71" i="9" s="1"/>
  <c r="G71" i="9" s="1"/>
  <c r="B72" i="9"/>
  <c r="E72" i="9" s="1"/>
  <c r="G72" i="9" s="1"/>
  <c r="B73" i="9"/>
  <c r="E73" i="9" s="1"/>
  <c r="G73" i="9" s="1"/>
  <c r="B74" i="9"/>
  <c r="E74" i="9" s="1"/>
  <c r="G74" i="9" s="1"/>
  <c r="B75" i="9"/>
  <c r="E75" i="9" s="1"/>
  <c r="G75" i="9" s="1"/>
  <c r="B76" i="9"/>
  <c r="E76" i="9" s="1"/>
  <c r="G76" i="9" s="1"/>
  <c r="B77" i="9"/>
  <c r="E77" i="9" s="1"/>
  <c r="G77" i="9" s="1"/>
  <c r="B78" i="9"/>
  <c r="E78" i="9" s="1"/>
  <c r="G78" i="9" s="1"/>
  <c r="B79" i="9"/>
  <c r="E79" i="9" s="1"/>
  <c r="B80" i="9"/>
  <c r="E80" i="9" s="1"/>
  <c r="G80" i="9" s="1"/>
  <c r="B81" i="9"/>
  <c r="E81" i="9" s="1"/>
  <c r="G81" i="9" s="1"/>
  <c r="B82" i="9"/>
  <c r="E82" i="9" s="1"/>
  <c r="G82" i="9" s="1"/>
  <c r="B83" i="9"/>
  <c r="E83" i="9" s="1"/>
  <c r="B84" i="9"/>
  <c r="E84" i="9" s="1"/>
  <c r="B85" i="9"/>
  <c r="E85" i="9" s="1"/>
  <c r="B86" i="9"/>
  <c r="E86" i="9" s="1"/>
  <c r="B87" i="9"/>
  <c r="E87" i="9" s="1"/>
  <c r="B88" i="9"/>
  <c r="E88" i="9" s="1"/>
  <c r="G88" i="9" s="1"/>
  <c r="B89" i="9"/>
  <c r="E89" i="9" s="1"/>
  <c r="G89" i="9" s="1"/>
  <c r="B90" i="9"/>
  <c r="E90" i="9" s="1"/>
  <c r="G90" i="9" s="1"/>
  <c r="B91" i="9"/>
  <c r="E91" i="9" s="1"/>
  <c r="G91" i="9" s="1"/>
  <c r="B92" i="9"/>
  <c r="E92" i="9" s="1"/>
  <c r="B93" i="9"/>
  <c r="E93" i="9" s="1"/>
  <c r="B94" i="9"/>
  <c r="E94" i="9" s="1"/>
  <c r="G94" i="9" s="1"/>
  <c r="B95" i="9"/>
  <c r="E95" i="9" s="1"/>
  <c r="G95" i="9" s="1"/>
  <c r="B96" i="9"/>
  <c r="E96" i="9" s="1"/>
  <c r="G96" i="9" s="1"/>
  <c r="B97" i="9"/>
  <c r="E97" i="9" s="1"/>
  <c r="G97" i="9" s="1"/>
  <c r="B98" i="9"/>
  <c r="E98" i="9" s="1"/>
  <c r="G98" i="9" s="1"/>
  <c r="B99" i="9"/>
  <c r="E99" i="9" s="1"/>
  <c r="B100" i="9"/>
  <c r="E100" i="9" s="1"/>
  <c r="G100" i="9" s="1"/>
  <c r="B101" i="9"/>
  <c r="E101" i="9" s="1"/>
  <c r="G101" i="9" s="1"/>
  <c r="B102" i="9"/>
  <c r="E102" i="9" s="1"/>
  <c r="G102" i="9" s="1"/>
  <c r="B103" i="9"/>
  <c r="E103" i="9" s="1"/>
  <c r="G103" i="9" s="1"/>
  <c r="B104" i="9"/>
  <c r="E104" i="9" s="1"/>
  <c r="G104" i="9" s="1"/>
  <c r="B105" i="9"/>
  <c r="E105" i="9" s="1"/>
  <c r="G105" i="9" s="1"/>
  <c r="B106" i="9"/>
  <c r="E106" i="9" s="1"/>
  <c r="G106" i="9" s="1"/>
  <c r="B107" i="9"/>
  <c r="E107" i="9" s="1"/>
  <c r="B108" i="9"/>
  <c r="E108" i="9" s="1"/>
  <c r="G108" i="9" s="1"/>
  <c r="B109" i="9"/>
  <c r="E109" i="9" s="1"/>
  <c r="G109" i="9" s="1"/>
  <c r="B110" i="9"/>
  <c r="E110" i="9" s="1"/>
  <c r="G110" i="9" s="1"/>
  <c r="B111" i="9"/>
  <c r="E111" i="9" s="1"/>
  <c r="G111" i="9" s="1"/>
  <c r="B112" i="9"/>
  <c r="E112" i="9" s="1"/>
  <c r="G112" i="9" s="1"/>
  <c r="B113" i="9"/>
  <c r="E113" i="9" s="1"/>
  <c r="G113" i="9" s="1"/>
  <c r="B114" i="9"/>
  <c r="E114" i="9" s="1"/>
  <c r="G114" i="9" s="1"/>
  <c r="B115" i="9"/>
  <c r="E115" i="9" s="1"/>
  <c r="G115" i="9" s="1"/>
  <c r="B116" i="9"/>
  <c r="E116" i="9" s="1"/>
  <c r="G116" i="9" s="1"/>
  <c r="B37" i="9"/>
  <c r="G37" i="9" s="1"/>
  <c r="A6" i="16"/>
  <c r="B116" i="16" l="1"/>
  <c r="C116" i="16" s="1"/>
  <c r="D116" i="16" s="1"/>
  <c r="E116" i="16" s="1"/>
  <c r="F116" i="16" s="1"/>
  <c r="G116" i="16" s="1"/>
  <c r="H116" i="16" s="1"/>
  <c r="I116" i="16" s="1"/>
  <c r="J116" i="16" s="1"/>
  <c r="K116" i="16" s="1"/>
  <c r="L116" i="16" s="1"/>
  <c r="M116" i="16" s="1"/>
  <c r="N116" i="16" s="1"/>
  <c r="O116" i="16" s="1"/>
  <c r="P116" i="16" s="1"/>
  <c r="Q116" i="16" s="1"/>
  <c r="R116" i="16" s="1"/>
  <c r="S116" i="16" s="1"/>
  <c r="T116" i="16" s="1"/>
  <c r="C91" i="16"/>
  <c r="D91" i="16" s="1"/>
  <c r="E91" i="16" s="1"/>
  <c r="F91" i="16" s="1"/>
  <c r="G91" i="16" s="1"/>
  <c r="H91" i="16" s="1"/>
  <c r="I91" i="16" s="1"/>
  <c r="J91" i="16" s="1"/>
  <c r="K91" i="16" s="1"/>
  <c r="L91" i="16" s="1"/>
  <c r="M91" i="16" s="1"/>
  <c r="N91" i="16" s="1"/>
  <c r="O91" i="16" s="1"/>
  <c r="P91" i="16" s="1"/>
  <c r="Q91" i="16" s="1"/>
  <c r="R91" i="16" s="1"/>
  <c r="S91" i="16" s="1"/>
  <c r="T91" i="16" s="1"/>
  <c r="C86" i="16"/>
  <c r="D86" i="16" s="1"/>
  <c r="E86" i="16" s="1"/>
  <c r="F86" i="16" s="1"/>
  <c r="G86" i="16" s="1"/>
  <c r="H86" i="16" s="1"/>
  <c r="I86" i="16" s="1"/>
  <c r="J86" i="16" s="1"/>
  <c r="K86" i="16" s="1"/>
  <c r="L86" i="16" s="1"/>
  <c r="M86" i="16" s="1"/>
  <c r="N86" i="16" s="1"/>
  <c r="O86" i="16" s="1"/>
  <c r="P86" i="16" s="1"/>
  <c r="Q86" i="16" s="1"/>
  <c r="R86" i="16" s="1"/>
  <c r="S86" i="16" s="1"/>
  <c r="T86" i="16" s="1"/>
  <c r="B111" i="16"/>
  <c r="C111" i="16" s="1"/>
  <c r="D111" i="16" s="1"/>
  <c r="E111" i="16" s="1"/>
  <c r="F111" i="16" s="1"/>
  <c r="G111" i="16" s="1"/>
  <c r="H111" i="16" s="1"/>
  <c r="I111" i="16" s="1"/>
  <c r="J111" i="16" s="1"/>
  <c r="K111" i="16" s="1"/>
  <c r="L111" i="16" s="1"/>
  <c r="M111" i="16" s="1"/>
  <c r="N111" i="16" s="1"/>
  <c r="O111" i="16" s="1"/>
  <c r="P111" i="16" s="1"/>
  <c r="Q111" i="16" s="1"/>
  <c r="R111" i="16" s="1"/>
  <c r="S111" i="16" s="1"/>
  <c r="T111" i="16" s="1"/>
  <c r="C98" i="16"/>
  <c r="D98" i="16" s="1"/>
  <c r="E98" i="16" s="1"/>
  <c r="F98" i="16" s="1"/>
  <c r="G98" i="16" s="1"/>
  <c r="H98" i="16" s="1"/>
  <c r="I98" i="16" s="1"/>
  <c r="J98" i="16" s="1"/>
  <c r="K98" i="16" s="1"/>
  <c r="L98" i="16" s="1"/>
  <c r="M98" i="16" s="1"/>
  <c r="N98" i="16" s="1"/>
  <c r="O98" i="16" s="1"/>
  <c r="P98" i="16" s="1"/>
  <c r="Q98" i="16" s="1"/>
  <c r="R98" i="16" s="1"/>
  <c r="S98" i="16" s="1"/>
  <c r="T98" i="16" s="1"/>
  <c r="B123" i="16"/>
  <c r="C123" i="16" s="1"/>
  <c r="D123" i="16" s="1"/>
  <c r="E123" i="16" s="1"/>
  <c r="F123" i="16" s="1"/>
  <c r="G123" i="16" s="1"/>
  <c r="H123" i="16" s="1"/>
  <c r="I123" i="16" s="1"/>
  <c r="J123" i="16" s="1"/>
  <c r="K123" i="16" s="1"/>
  <c r="L123" i="16" s="1"/>
  <c r="M123" i="16" s="1"/>
  <c r="N123" i="16" s="1"/>
  <c r="O123" i="16" s="1"/>
  <c r="P123" i="16" s="1"/>
  <c r="Q123" i="16" s="1"/>
  <c r="R123" i="16" s="1"/>
  <c r="S123" i="16" s="1"/>
  <c r="T123" i="16" s="1"/>
  <c r="C87" i="16"/>
  <c r="D87" i="16" s="1"/>
  <c r="E87" i="16" s="1"/>
  <c r="F87" i="16" s="1"/>
  <c r="G87" i="16" s="1"/>
  <c r="H87" i="16" s="1"/>
  <c r="I87" i="16" s="1"/>
  <c r="J87" i="16" s="1"/>
  <c r="K87" i="16" s="1"/>
  <c r="L87" i="16" s="1"/>
  <c r="M87" i="16" s="1"/>
  <c r="N87" i="16" s="1"/>
  <c r="O87" i="16" s="1"/>
  <c r="P87" i="16" s="1"/>
  <c r="Q87" i="16" s="1"/>
  <c r="R87" i="16" s="1"/>
  <c r="S87" i="16" s="1"/>
  <c r="T87"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93" i="16"/>
  <c r="B94" i="16"/>
  <c r="B92" i="16"/>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H40" i="2"/>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I40" i="2"/>
  <c r="C73" i="16"/>
  <c r="D73" i="16" s="1"/>
  <c r="E73" i="16" s="1"/>
  <c r="F73" i="16" s="1"/>
  <c r="G73" i="16" s="1"/>
  <c r="H73" i="16" s="1"/>
  <c r="I73" i="16" s="1"/>
  <c r="J73" i="16" s="1"/>
  <c r="K73" i="16" s="1"/>
  <c r="L73" i="16" s="1"/>
  <c r="M73" i="16" s="1"/>
  <c r="N73" i="16" s="1"/>
  <c r="O73" i="16" s="1"/>
  <c r="P73" i="16" s="1"/>
  <c r="Q73" i="16" s="1"/>
  <c r="R73" i="16" s="1"/>
  <c r="S73" i="16" s="1"/>
  <c r="T73" i="16" s="1"/>
  <c r="B85" i="16"/>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80" i="16"/>
  <c r="B89" i="16"/>
  <c r="B122" i="16"/>
  <c r="C122" i="16" s="1"/>
  <c r="D122" i="16" s="1"/>
  <c r="E122" i="16" s="1"/>
  <c r="F122" i="16" s="1"/>
  <c r="G122" i="16" s="1"/>
  <c r="H122" i="16" s="1"/>
  <c r="I122" i="16" s="1"/>
  <c r="J122" i="16" s="1"/>
  <c r="K122" i="16" s="1"/>
  <c r="L122" i="16" s="1"/>
  <c r="M122" i="16" s="1"/>
  <c r="N122" i="16" s="1"/>
  <c r="O122" i="16" s="1"/>
  <c r="P122" i="16" s="1"/>
  <c r="Q122" i="16" s="1"/>
  <c r="R122" i="16" s="1"/>
  <c r="S122" i="16" s="1"/>
  <c r="T122" i="16" s="1"/>
  <c r="B88" i="16"/>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P67" i="9"/>
  <c r="D55" i="16"/>
  <c r="L38" i="2"/>
  <c r="L34" i="2"/>
  <c r="L30" i="2"/>
  <c r="A7" i="16"/>
  <c r="B10" i="16" s="1"/>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C89" i="16" l="1"/>
  <c r="D89" i="16" s="1"/>
  <c r="E89" i="16" s="1"/>
  <c r="F89" i="16" s="1"/>
  <c r="G89" i="16" s="1"/>
  <c r="H89" i="16" s="1"/>
  <c r="I89" i="16" s="1"/>
  <c r="J89" i="16" s="1"/>
  <c r="K89" i="16" s="1"/>
  <c r="L89" i="16" s="1"/>
  <c r="M89" i="16" s="1"/>
  <c r="N89" i="16" s="1"/>
  <c r="O89" i="16" s="1"/>
  <c r="P89" i="16" s="1"/>
  <c r="Q89" i="16" s="1"/>
  <c r="R89" i="16" s="1"/>
  <c r="S89" i="16" s="1"/>
  <c r="T89" i="16" s="1"/>
  <c r="B114" i="16"/>
  <c r="C114" i="16" s="1"/>
  <c r="D114" i="16" s="1"/>
  <c r="E114" i="16" s="1"/>
  <c r="F114" i="16" s="1"/>
  <c r="G114" i="16" s="1"/>
  <c r="H114" i="16" s="1"/>
  <c r="I114" i="16" s="1"/>
  <c r="J114" i="16" s="1"/>
  <c r="K114" i="16" s="1"/>
  <c r="L114" i="16" s="1"/>
  <c r="M114" i="16" s="1"/>
  <c r="N114" i="16" s="1"/>
  <c r="O114" i="16" s="1"/>
  <c r="P114" i="16" s="1"/>
  <c r="Q114" i="16" s="1"/>
  <c r="R114" i="16" s="1"/>
  <c r="S114" i="16" s="1"/>
  <c r="T114" i="16" s="1"/>
  <c r="C80" i="16"/>
  <c r="D80" i="16" s="1"/>
  <c r="E80" i="16" s="1"/>
  <c r="F80" i="16" s="1"/>
  <c r="G80" i="16" s="1"/>
  <c r="H80" i="16" s="1"/>
  <c r="I80" i="16" s="1"/>
  <c r="J80" i="16" s="1"/>
  <c r="K80" i="16" s="1"/>
  <c r="L80" i="16" s="1"/>
  <c r="M80" i="16" s="1"/>
  <c r="N80" i="16" s="1"/>
  <c r="O80" i="16" s="1"/>
  <c r="P80" i="16" s="1"/>
  <c r="Q80" i="16" s="1"/>
  <c r="R80" i="16" s="1"/>
  <c r="S80" i="16" s="1"/>
  <c r="T80" i="16" s="1"/>
  <c r="B105" i="16"/>
  <c r="C105" i="16" s="1"/>
  <c r="D105" i="16" s="1"/>
  <c r="E105" i="16" s="1"/>
  <c r="F105" i="16" s="1"/>
  <c r="G105" i="16" s="1"/>
  <c r="H105" i="16" s="1"/>
  <c r="I105" i="16" s="1"/>
  <c r="J105" i="16" s="1"/>
  <c r="K105" i="16" s="1"/>
  <c r="L105" i="16" s="1"/>
  <c r="M105" i="16" s="1"/>
  <c r="N105" i="16" s="1"/>
  <c r="O105" i="16" s="1"/>
  <c r="P105" i="16" s="1"/>
  <c r="Q105" i="16" s="1"/>
  <c r="R105" i="16" s="1"/>
  <c r="S105" i="16" s="1"/>
  <c r="T105" i="16" s="1"/>
  <c r="C85" i="16"/>
  <c r="D85" i="16" s="1"/>
  <c r="E85" i="16" s="1"/>
  <c r="F85" i="16" s="1"/>
  <c r="G85" i="16" s="1"/>
  <c r="H85" i="16" s="1"/>
  <c r="I85" i="16" s="1"/>
  <c r="J85" i="16" s="1"/>
  <c r="K85" i="16" s="1"/>
  <c r="L85" i="16" s="1"/>
  <c r="M85" i="16" s="1"/>
  <c r="N85" i="16" s="1"/>
  <c r="O85" i="16" s="1"/>
  <c r="P85" i="16" s="1"/>
  <c r="Q85" i="16" s="1"/>
  <c r="R85" i="16" s="1"/>
  <c r="S85" i="16" s="1"/>
  <c r="T85" i="16" s="1"/>
  <c r="B110" i="16"/>
  <c r="C110" i="16" s="1"/>
  <c r="D110" i="16" s="1"/>
  <c r="E110" i="16" s="1"/>
  <c r="F110" i="16" s="1"/>
  <c r="G110" i="16" s="1"/>
  <c r="H110" i="16" s="1"/>
  <c r="I110" i="16" s="1"/>
  <c r="J110" i="16" s="1"/>
  <c r="K110" i="16" s="1"/>
  <c r="L110" i="16" s="1"/>
  <c r="M110" i="16" s="1"/>
  <c r="N110" i="16" s="1"/>
  <c r="O110" i="16" s="1"/>
  <c r="P110" i="16" s="1"/>
  <c r="Q110" i="16" s="1"/>
  <c r="R110" i="16" s="1"/>
  <c r="S110" i="16" s="1"/>
  <c r="T110"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C92" i="16"/>
  <c r="D92" i="16" s="1"/>
  <c r="E92" i="16" s="1"/>
  <c r="F92" i="16" s="1"/>
  <c r="G92" i="16" s="1"/>
  <c r="H92" i="16" s="1"/>
  <c r="I92" i="16" s="1"/>
  <c r="J92" i="16" s="1"/>
  <c r="K92" i="16" s="1"/>
  <c r="L92" i="16" s="1"/>
  <c r="M92" i="16" s="1"/>
  <c r="N92" i="16" s="1"/>
  <c r="O92" i="16" s="1"/>
  <c r="P92" i="16" s="1"/>
  <c r="Q92" i="16" s="1"/>
  <c r="R92" i="16" s="1"/>
  <c r="S92" i="16" s="1"/>
  <c r="T92"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C94" i="16"/>
  <c r="D94" i="16" s="1"/>
  <c r="E94" i="16" s="1"/>
  <c r="F94" i="16" s="1"/>
  <c r="G94" i="16" s="1"/>
  <c r="H94" i="16" s="1"/>
  <c r="I94" i="16" s="1"/>
  <c r="J94" i="16" s="1"/>
  <c r="K94" i="16" s="1"/>
  <c r="L94" i="16" s="1"/>
  <c r="M94" i="16" s="1"/>
  <c r="N94" i="16" s="1"/>
  <c r="O94" i="16" s="1"/>
  <c r="P94" i="16" s="1"/>
  <c r="Q94" i="16" s="1"/>
  <c r="R94" i="16" s="1"/>
  <c r="S94" i="16" s="1"/>
  <c r="T94" i="16" s="1"/>
  <c r="C93" i="16"/>
  <c r="D93" i="16" s="1"/>
  <c r="E93" i="16" s="1"/>
  <c r="F93" i="16" s="1"/>
  <c r="G93" i="16" s="1"/>
  <c r="H93" i="16" s="1"/>
  <c r="I93" i="16" s="1"/>
  <c r="J93" i="16" s="1"/>
  <c r="K93" i="16" s="1"/>
  <c r="L93" i="16" s="1"/>
  <c r="M93" i="16" s="1"/>
  <c r="N93" i="16" s="1"/>
  <c r="O93" i="16" s="1"/>
  <c r="P93" i="16" s="1"/>
  <c r="Q93" i="16" s="1"/>
  <c r="R93" i="16" s="1"/>
  <c r="S93" i="16" s="1"/>
  <c r="T93"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C88" i="16"/>
  <c r="D88" i="16" s="1"/>
  <c r="E88" i="16" s="1"/>
  <c r="F88" i="16" s="1"/>
  <c r="G88" i="16" s="1"/>
  <c r="H88" i="16" s="1"/>
  <c r="I88" i="16" s="1"/>
  <c r="J88" i="16" s="1"/>
  <c r="K88" i="16" s="1"/>
  <c r="L88" i="16" s="1"/>
  <c r="M88" i="16" s="1"/>
  <c r="N88" i="16" s="1"/>
  <c r="O88" i="16" s="1"/>
  <c r="P88" i="16" s="1"/>
  <c r="Q88" i="16" s="1"/>
  <c r="R88" i="16" s="1"/>
  <c r="S88" i="16" s="1"/>
  <c r="T88" i="16" s="1"/>
  <c r="B113" i="16"/>
  <c r="C113" i="16" s="1"/>
  <c r="D113" i="16" s="1"/>
  <c r="E113" i="16" s="1"/>
  <c r="F113" i="16" s="1"/>
  <c r="G113" i="16" s="1"/>
  <c r="H113" i="16" s="1"/>
  <c r="I113" i="16" s="1"/>
  <c r="J113" i="16" s="1"/>
  <c r="K113" i="16" s="1"/>
  <c r="L113" i="16" s="1"/>
  <c r="M113" i="16" s="1"/>
  <c r="N113" i="16" s="1"/>
  <c r="O113" i="16" s="1"/>
  <c r="P113" i="16" s="1"/>
  <c r="Q113" i="16" s="1"/>
  <c r="R113" i="16" s="1"/>
  <c r="S113" i="16" s="1"/>
  <c r="T113" i="16" s="1"/>
  <c r="E55" i="16"/>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D27" i="6" l="1"/>
  <c r="J27" i="6" s="1"/>
  <c r="D28" i="6"/>
  <c r="D29" i="6"/>
  <c r="J28" i="6" s="1"/>
  <c r="K6" i="6" s="1"/>
  <c r="K18" i="6" s="1"/>
  <c r="D30" i="6"/>
  <c r="D31" i="6"/>
  <c r="C19" i="8"/>
  <c r="C32" i="8" s="1"/>
  <c r="C20" i="8"/>
  <c r="C21" i="8"/>
  <c r="B31" i="8"/>
  <c r="H27" i="11"/>
  <c r="C50" i="13"/>
  <c r="C82" i="13" s="1"/>
  <c r="D50" i="13"/>
  <c r="D82" i="13" s="1"/>
  <c r="E50" i="13"/>
  <c r="E82" i="13" s="1"/>
  <c r="F50" i="13"/>
  <c r="F82" i="13" s="1"/>
  <c r="G50" i="13"/>
  <c r="G82" i="13" s="1"/>
  <c r="H50" i="13"/>
  <c r="H82" i="13" s="1"/>
  <c r="I50" i="13"/>
  <c r="I82" i="13" s="1"/>
  <c r="J50" i="13"/>
  <c r="J82" i="13" s="1"/>
  <c r="K50" i="13"/>
  <c r="K82" i="13" s="1"/>
  <c r="L50" i="13"/>
  <c r="L82" i="13" s="1"/>
  <c r="M50" i="13"/>
  <c r="M82" i="13" s="1"/>
  <c r="N50" i="13"/>
  <c r="N82" i="13" s="1"/>
  <c r="B50" i="13"/>
  <c r="B82" i="13" s="1"/>
  <c r="F22" i="4"/>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I6" i="6" l="1"/>
  <c r="I18" i="6" s="1"/>
  <c r="J6" i="6"/>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B24" i="1" s="1"/>
  <c r="G3" i="1"/>
  <c r="G4" i="1"/>
  <c r="G5" i="1"/>
  <c r="G6" i="1"/>
  <c r="G7" i="1"/>
  <c r="G8" i="1"/>
  <c r="G9" i="1"/>
  <c r="G10" i="1"/>
  <c r="G11" i="1"/>
  <c r="G12" i="1"/>
  <c r="G13" i="1"/>
  <c r="G2" i="1"/>
  <c r="F2" i="1"/>
  <c r="H3" i="1" s="1"/>
  <c r="E2" i="1"/>
  <c r="E3" i="1" s="1"/>
  <c r="B4" i="1"/>
  <c r="B5" i="1"/>
  <c r="B6" i="1"/>
  <c r="B7" i="1"/>
  <c r="B8" i="1"/>
  <c r="B9" i="1"/>
  <c r="B10" i="1"/>
  <c r="B11" i="1"/>
  <c r="B12" i="1"/>
  <c r="B13" i="1"/>
  <c r="B3" i="1"/>
  <c r="F3" i="1" l="1"/>
  <c r="H4" i="1" s="1"/>
  <c r="E4" i="1"/>
  <c r="E5" i="1" s="1"/>
  <c r="E6" i="1" s="1"/>
  <c r="B20" i="1"/>
  <c r="G17" i="8"/>
  <c r="J17" i="8" s="1"/>
  <c r="F5" i="1"/>
  <c r="B21" i="1" s="1"/>
  <c r="F4" i="1"/>
  <c r="H5" i="1" s="1"/>
  <c r="E20" i="8"/>
  <c r="H20" i="8" s="1"/>
  <c r="G18" i="8"/>
  <c r="J18" i="8" s="1"/>
  <c r="G21" i="8"/>
  <c r="J21" i="8" s="1"/>
  <c r="G19" i="8"/>
  <c r="J19" i="8" s="1"/>
  <c r="C31" i="4"/>
  <c r="C41" i="4"/>
  <c r="C87" i="4"/>
  <c r="C33" i="4"/>
  <c r="C42" i="4"/>
  <c r="C37" i="4"/>
  <c r="C32" i="4"/>
  <c r="C36" i="4"/>
  <c r="C40" i="4"/>
  <c r="C35" i="4"/>
  <c r="C39" i="4"/>
  <c r="C44" i="4"/>
  <c r="C38" i="4"/>
  <c r="C34" i="4"/>
  <c r="E7" i="1" l="1"/>
  <c r="F6" i="1"/>
  <c r="H7" i="1" s="1"/>
  <c r="H6" i="1"/>
  <c r="D45" i="7"/>
  <c r="E8" i="1" l="1"/>
  <c r="F7" i="1"/>
  <c r="H8" i="1" s="1"/>
  <c r="F45" i="7"/>
  <c r="G45" i="7" s="1"/>
  <c r="E45" i="7"/>
  <c r="E9" i="1" l="1"/>
  <c r="F8" i="1"/>
  <c r="H9" i="1" s="1"/>
  <c r="D46" i="7"/>
  <c r="E46" i="7" s="1"/>
  <c r="E10" i="1" l="1"/>
  <c r="F9" i="1"/>
  <c r="H10" i="1" s="1"/>
  <c r="F46" i="7"/>
  <c r="G46" i="7" s="1"/>
  <c r="D47" i="7"/>
  <c r="E11" i="1" l="1"/>
  <c r="F10" i="1"/>
  <c r="H11" i="1" s="1"/>
  <c r="D48" i="7"/>
  <c r="F47" i="7"/>
  <c r="G47" i="7" s="1"/>
  <c r="E47" i="7"/>
  <c r="E12" i="1" l="1"/>
  <c r="F11" i="1"/>
  <c r="H12" i="1" s="1"/>
  <c r="E48" i="7"/>
  <c r="F48" i="7"/>
  <c r="G48" i="7" s="1"/>
  <c r="D49" i="7"/>
  <c r="E13" i="1" l="1"/>
  <c r="F13" i="1" s="1"/>
  <c r="F12" i="1"/>
  <c r="H13" i="1" s="1"/>
  <c r="F49" i="7"/>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D52" i="4"/>
  <c r="C52" i="4" l="1"/>
  <c r="C93" i="4"/>
  <c r="G66" i="4"/>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s="1"/>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Youthcat</author>
  </authors>
  <commentList>
    <comment ref="B3" authorId="0" shapeId="0" xr:uid="{85F769AD-058E-4214-87CF-33078198E992}">
      <text>
        <r>
          <rPr>
            <sz val="9"/>
            <color indexed="81"/>
            <rFont val="宋体"/>
            <family val="3"/>
            <charset val="134"/>
          </rPr>
          <t>注：冰气巨1、2和产能无关，这里只影响贴图</t>
        </r>
      </text>
    </comment>
  </commentList>
</comments>
</file>

<file path=xl/sharedStrings.xml><?xml version="1.0" encoding="utf-8"?>
<sst xmlns="http://schemas.openxmlformats.org/spreadsheetml/2006/main" count="1486" uniqueCount="921">
  <si>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</si>
  <si>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</si>
  <si>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</si>
  <si>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</si>
  <si>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</si>
  <si>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</si>
  <si>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</si>
  <si>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</si>
  <si>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</si>
  <si>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</si>
  <si>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</si>
  <si>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</si>
  <si>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</si>
  <si>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</si>
  <si>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</si>
  <si>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</si>
  <si>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</si>
  <si>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</si>
  <si>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</si>
  <si>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</si>
  <si>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</si>
  <si>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</si>
  <si>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</si>
  <si>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</si>
  <si>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</si>
  <si>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</si>
  <si>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</si>
  <si>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</si>
  <si>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</si>
  <si>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</si>
  <si>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</si>
  <si>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</si>
  <si>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</si>
  <si>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</si>
  <si>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</si>
  <si>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</si>
  <si>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</si>
  <si>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</si>
  <si>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</si>
  <si>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</si>
  <si>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</si>
  <si>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</si>
  <si>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</si>
  <si>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</si>
  <si>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</si>
  <si>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</si>
  <si>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</si>
  <si>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</si>
  <si>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</si>
  <si>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</si>
  <si>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</si>
  <si>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</si>
  <si>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</si>
  <si>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</si>
  <si>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</si>
  <si>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</si>
  <si>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</si>
  <si>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</si>
  <si>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</si>
  <si>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</si>
  <si>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</si>
  <si>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</si>
  <si>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</si>
  <si>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</si>
  <si>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</si>
  <si>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</si>
  <si>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</si>
  <si>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</si>
  <si>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</si>
  <si>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</si>
  <si>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</si>
  <si>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</si>
  <si>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</si>
  <si>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</si>
  <si>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</si>
  <si>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</si>
  <si>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</si>
  <si>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</si>
  <si>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</si>
  <si>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</si>
  <si>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</si>
  <si>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</si>
  <si>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</si>
  <si>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</si>
  <si>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</si>
  <si>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</si>
  <si>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</si>
  <si>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</si>
  <si>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</si>
  <si>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</si>
  <si>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</si>
  <si>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</si>
  <si>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</si>
  <si>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</si>
  <si>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</si>
  <si>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</si>
  <si>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</si>
  <si>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</si>
  <si>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</si>
  <si>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</si>
  <si>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</si>
  <si>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</si>
  <si>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</si>
  <si>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</si>
  <si>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</si>
  <si>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</si>
  <si>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</si>
  <si>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</si>
  <si>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</si>
  <si>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</si>
  <si>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</si>
  <si>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</si>
  <si>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</si>
  <si>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</si>
  <si>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</si>
  <si>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</si>
  <si>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</si>
  <si>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</si>
  <si>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</si>
  <si>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</si>
  <si>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</si>
  <si>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</si>
  <si>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</si>
  <si>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</si>
  <si>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</si>
  <si>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</si>
  <si>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</si>
  <si>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</si>
  <si>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</si>
  <si>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</si>
  <si>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</si>
  <si>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</si>
  <si>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</si>
  <si>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</si>
  <si>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</si>
  <si>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</si>
  <si>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</si>
  <si>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</si>
  <si>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</si>
  <si>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</si>
  <si>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</si>
  <si>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</si>
  <si>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</si>
  <si>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</si>
  <si>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</si>
  <si>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</si>
  <si>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</si>
  <si>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</si>
  <si>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</si>
  <si>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</si>
  <si>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</si>
  <si>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</si>
  <si>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</si>
  <si>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</si>
  <si>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</si>
  <si>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</si>
  <si>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</si>
  <si>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</si>
  <si>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</si>
  <si>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</si>
  <si>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</si>
  <si>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</si>
  <si>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</si>
  <si>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</si>
  <si>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</si>
  <si>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</si>
  <si>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</si>
  <si>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</si>
  <si>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</si>
  <si>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</si>
  <si>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</si>
  <si>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</si>
  <si>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</si>
  <si>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</si>
  <si>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</si>
  <si>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</si>
  <si>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</si>
  <si>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</si>
  <si>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</si>
  <si>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</si>
  <si>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</si>
  <si>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</si>
  <si>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</si>
  <si>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</si>
  <si>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</si>
  <si>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</si>
  <si>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</si>
  <si>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</si>
  <si>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</si>
  <si>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</si>
  <si>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</si>
  <si>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</si>
  <si>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</si>
  <si>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</si>
  <si>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</si>
  <si>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</si>
  <si>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</si>
  <si>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</si>
  <si>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</si>
  <si>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</si>
  <si>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</si>
  <si>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</si>
  <si>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</si>
  <si>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</si>
  <si>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</si>
  <si>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</si>
  <si>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</si>
  <si>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</si>
  <si>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</si>
  <si>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</si>
  <si>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</si>
  <si>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</si>
  <si>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</si>
  <si>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</si>
  <si>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</si>
  <si>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</si>
  <si>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</si>
  <si>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</si>
  <si>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</si>
  <si>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</si>
  <si>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</si>
  <si>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</si>
  <si>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</si>
  <si>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</si>
  <si>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</si>
  <si>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</si>
  <si>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</si>
  <si>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</si>
  <si>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</si>
  <si>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</si>
  <si>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</si>
  <si>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</si>
  <si>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</si>
  <si>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</si>
  <si>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</si>
  <si>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</si>
  <si>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</si>
  <si>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</si>
  <si>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</si>
  <si>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</si>
  <si>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</si>
  <si>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</si>
  <si>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</si>
  <si>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</si>
  <si>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</si>
  <si>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</si>
  <si>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</si>
  <si>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</si>
  <si>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</si>
  <si>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</si>
  <si>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</si>
  <si>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</si>
  <si>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</si>
  <si>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</si>
  <si>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</si>
  <si>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</si>
  <si>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</si>
  <si>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</si>
  <si>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</si>
  <si>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</si>
  <si>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</si>
  <si>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</si>
  <si>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</si>
  <si>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</si>
  <si>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</si>
  <si>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</si>
  <si>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</si>
  <si>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</si>
  <si>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</si>
  <si>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</si>
  <si>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</si>
  <si>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</si>
  <si>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</si>
  <si>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</si>
  <si>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</si>
  <si>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</si>
  <si>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</si>
  <si>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</si>
  <si>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</si>
  <si>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</si>
  <si>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</si>
  <si>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</si>
  <si>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</si>
  <si>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</si>
  <si>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</si>
  <si>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</si>
  <si>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</si>
  <si>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</si>
  <si>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</si>
  <si>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</si>
  <si>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</si>
  <si>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</si>
  <si>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</si>
  <si>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</si>
  <si>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</si>
  <si>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</si>
  <si>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</si>
  <si>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</si>
  <si>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</si>
  <si>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</si>
  <si>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</si>
  <si>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</si>
  <si>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</si>
  <si>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</si>
  <si>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</si>
  <si>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</si>
  <si>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</si>
  <si>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</si>
  <si>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</si>
  <si>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</si>
  <si>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</si>
  <si>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</si>
  <si>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</si>
  <si>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</si>
  <si>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</si>
  <si>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</si>
  <si>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</si>
  <si>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</si>
  <si>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</si>
  <si>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</si>
  <si>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</si>
  <si>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</si>
  <si>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</si>
  <si>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</si>
  <si>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</si>
  <si>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</si>
  <si>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</si>
  <si>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</si>
  <si>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</si>
  <si>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</si>
  <si>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</si>
  <si>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</si>
  <si>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</si>
  <si>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</si>
  <si>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</si>
  <si>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</si>
  <si>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</si>
  <si>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</si>
  <si>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</si>
  <si>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</si>
  <si>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</si>
  <si>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</si>
  <si>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</si>
  <si>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</si>
  <si>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</si>
  <si>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</si>
  <si>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</si>
  <si>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</si>
  <si>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</si>
  <si>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</si>
  <si>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</si>
  <si>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</si>
  <si>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</si>
  <si>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</si>
  <si>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</si>
  <si>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</si>
  <si>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</si>
  <si>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</si>
  <si>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</si>
  <si>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</si>
  <si>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</si>
  <si>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</si>
  <si>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</si>
  <si>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</si>
  <si>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</si>
  <si>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</si>
  <si>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</si>
  <si>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</si>
  <si>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</si>
  <si>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</si>
  <si>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</si>
  <si>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</si>
  <si>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</si>
  <si>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</si>
  <si>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</si>
  <si>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</si>
  <si>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</si>
  <si>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</si>
  <si>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</si>
  <si>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</si>
  <si>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</si>
  <si>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</si>
  <si>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</si>
  <si>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</si>
  <si>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</si>
  <si>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</si>
  <si>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</si>
  <si>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</si>
  <si>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</si>
  <si>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</si>
  <si>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</si>
  <si>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</si>
  <si>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</si>
  <si>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</si>
  <si>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</si>
  <si>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</si>
  <si>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</si>
  <si>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</si>
  <si>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</si>
  <si>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</si>
  <si>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</si>
  <si>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</si>
  <si>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</si>
  <si>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</si>
  <si>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</si>
  <si>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</si>
  <si>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</si>
  <si>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</si>
  <si>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</si>
  <si>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</si>
  <si>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</si>
  <si>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</si>
  <si>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</si>
  <si>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</si>
  <si>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</si>
  <si>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</si>
  <si>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</si>
  <si>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</si>
  <si>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</si>
  <si>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</si>
  <si>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</si>
  <si>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</si>
  <si>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</si>
  <si>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</si>
  <si>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</si>
  <si>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</si>
  <si>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</si>
  <si>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</si>
  <si>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</si>
  <si>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</si>
  <si>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</si>
  <si>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</si>
  <si>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</si>
  <si>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</si>
  <si>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</si>
  <si>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</si>
  <si>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</si>
  <si>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</si>
  <si>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</si>
  <si>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</si>
  <si>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</si>
  <si>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</si>
  <si>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</si>
  <si>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</si>
  <si>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</si>
  <si>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</si>
  <si>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</si>
  <si>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</si>
  <si>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</si>
  <si>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</si>
  <si>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</si>
  <si>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</si>
  <si>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</si>
  <si>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</si>
  <si>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</si>
  <si>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</si>
  <si>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</si>
  <si>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</si>
  <si>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</si>
  <si>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</si>
  <si>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</si>
  <si>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</si>
  <si>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</si>
  <si>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</si>
  <si>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</si>
  <si>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</si>
  <si>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</si>
  <si>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</si>
  <si>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</si>
  <si>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</si>
  <si>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</si>
  <si>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</si>
  <si>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</si>
  <si>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</si>
  <si>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</si>
  <si>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</si>
  <si>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</si>
  <si>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</si>
  <si>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</si>
  <si>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</si>
  <si>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</si>
  <si>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</si>
  <si>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</si>
  <si>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</si>
  <si>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</si>
  <si>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</si>
  <si>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</si>
  <si>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</si>
  <si>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</si>
  <si>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</si>
  <si>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</si>
  <si>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</si>
  <si>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</si>
  <si>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</si>
  <si>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</si>
  <si>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</si>
  <si>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</si>
  <si>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</si>
  <si>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</si>
  <si>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</si>
  <si>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</si>
  <si>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</si>
  <si>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</si>
  <si>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</si>
  <si>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</si>
  <si>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</si>
  <si>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</si>
  <si>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</si>
  <si>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</si>
  <si>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</si>
  <si>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</si>
  <si>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</si>
  <si>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</si>
  <si>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</si>
  <si>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</si>
  <si>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</si>
  <si>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</si>
  <si>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</si>
  <si>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</si>
  <si>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</si>
  <si>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</si>
  <si>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</si>
  <si>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</si>
  <si>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</si>
  <si>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</si>
  <si>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</si>
  <si>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</si>
  <si>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</si>
  <si>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</si>
  <si>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</si>
  <si>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</si>
  <si>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</si>
  <si>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</si>
  <si>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</si>
  <si>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</si>
  <si>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</si>
  <si>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</si>
  <si>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</si>
  <si>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</si>
  <si>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</si>
  <si>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</si>
  <si>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</si>
  <si>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</si>
  <si>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</si>
  <si>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</si>
  <si>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</si>
  <si>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</si>
  <si>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</si>
  <si>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</si>
  <si>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</si>
  <si>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</si>
  <si>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</si>
  <si>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</si>
  <si>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</si>
  <si>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</si>
  <si>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</si>
  <si>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</si>
  <si>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</si>
  <si>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</si>
  <si>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</si>
  <si>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</si>
  <si>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</si>
  <si>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</si>
  <si>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</si>
  <si>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</si>
  <si>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</si>
  <si>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</si>
  <si>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</si>
  <si>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</si>
  <si>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</si>
  <si>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</si>
  <si>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</si>
  <si>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</si>
  <si>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</si>
  <si>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</si>
  <si>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</si>
  <si>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</si>
  <si>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</si>
  <si>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</si>
  <si>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</si>
  <si>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</si>
  <si>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</si>
  <si>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</si>
  <si>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</si>
  <si>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</si>
  <si>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</si>
  <si>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</si>
  <si>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</si>
  <si>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</si>
  <si>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</si>
  <si>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</si>
  <si>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</si>
  <si>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</si>
  <si>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</si>
  <si>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</si>
  <si>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</si>
  <si>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</si>
  <si>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</si>
  <si>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</si>
  <si>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</si>
  <si>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</si>
  <si>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</si>
  <si>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</si>
  <si>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</si>
  <si>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</si>
  <si>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</si>
  <si>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</si>
  <si>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</si>
  <si>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</si>
  <si>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</si>
  <si>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</si>
  <si>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</si>
  <si>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</si>
  <si>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</si>
  <si>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</si>
  <si>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</si>
  <si>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</si>
  <si>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</si>
  <si>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</si>
  <si>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</si>
  <si>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</si>
  <si>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</si>
  <si>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</si>
  <si>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</si>
  <si>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</si>
  <si>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</si>
  <si>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</si>
  <si>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</si>
  <si>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</si>
  <si>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</si>
  <si>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</si>
  <si>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</si>
  <si>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</si>
  <si>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</si>
  <si>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</si>
  <si>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</si>
  <si>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</si>
  <si>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</si>
  <si>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</si>
  <si>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</si>
  <si>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</si>
  <si>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</si>
  <si>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</si>
  <si>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</si>
  <si>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</si>
  <si>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</si>
  <si>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</si>
  <si>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</si>
  <si>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</si>
  <si>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</si>
  <si>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</si>
  <si>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</si>
  <si>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</si>
  <si>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</si>
  <si>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</si>
  <si>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</si>
  <si>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</si>
  <si>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</si>
  <si>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</si>
  <si>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</si>
  <si>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</si>
  <si>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</si>
  <si>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</si>
  <si>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</si>
  <si>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</si>
  <si>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</si>
  <si>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</si>
  <si>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</si>
  <si>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</si>
  <si>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</si>
  <si>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</si>
  <si>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</si>
  <si>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</si>
  <si>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</si>
  <si>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</si>
  <si>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</si>
  <si>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</si>
  <si>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</si>
  <si>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</si>
  <si>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</si>
  <si>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</si>
  <si>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</si>
  <si>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</si>
  <si>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</si>
  <si>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</si>
  <si>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</si>
  <si>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</si>
  <si>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</si>
  <si>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</si>
  <si>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</si>
  <si>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</si>
  <si>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</si>
  <si>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</si>
  <si>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</si>
  <si>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</si>
  <si>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</si>
  <si>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</si>
  <si>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</si>
  <si>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</si>
  <si>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</si>
  <si>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</si>
  <si>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</si>
  <si>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</si>
  <si>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</si>
  <si>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</si>
  <si>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</si>
  <si>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</si>
  <si>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</si>
  <si>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</si>
  <si>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</si>
  <si>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</si>
  <si>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</si>
  <si>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</si>
  <si>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</si>
  <si>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</si>
  <si>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</si>
  <si>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</si>
  <si>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</si>
  <si>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</si>
  <si>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</si>
  <si>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</si>
  <si>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</si>
  <si>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</si>
  <si>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</si>
  <si>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</si>
  <si>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</si>
  <si>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</si>
  <si>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</si>
  <si>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</si>
  <si>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</si>
  <si>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</si>
  <si>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</si>
  <si>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</si>
  <si>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</si>
  <si>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</si>
  <si>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</si>
  <si>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</si>
  <si>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</si>
  <si>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</si>
  <si>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</si>
  <si>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</si>
  <si>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</si>
  <si>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</si>
  <si>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</si>
  <si>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</si>
  <si>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</si>
  <si>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</si>
  <si>
    <t>电力测算器</t>
    <phoneticPr fontId="1" type="noConversion"/>
  </si>
  <si>
    <t>电力消耗(MJ)</t>
    <phoneticPr fontId="1" type="noConversion"/>
  </si>
  <si>
    <t>顺道一提，物流塔充电效率 = 最大充电功率*min{(1.05-当前能量/最大能量),1}</t>
    <phoneticPr fontId="1" type="noConversion"/>
  </si>
  <si>
    <t>最大运力估计（个）</t>
    <phoneticPr fontId="1" type="noConversion"/>
  </si>
  <si>
    <t>是</t>
  </si>
  <si>
    <t>否</t>
  </si>
  <si>
    <t>LY</t>
  </si>
  <si>
    <t>AU</t>
  </si>
  <si>
    <r>
      <rPr>
        <b/>
        <sz val="11"/>
        <color rgb="FFFF0000"/>
        <rFont val="等线"/>
        <family val="3"/>
        <charset val="134"/>
        <scheme val="minor"/>
      </rPr>
      <t>选择</t>
    </r>
    <r>
      <rPr>
        <sz val="11"/>
        <color theme="1"/>
        <rFont val="等线"/>
        <family val="2"/>
        <charset val="134"/>
        <scheme val="minor"/>
      </rPr>
      <t>是否
启动曲速</t>
    </r>
    <phoneticPr fontId="1" type="noConversion"/>
  </si>
  <si>
    <t>左边是输入</t>
    <phoneticPr fontId="1" type="noConversion"/>
  </si>
  <si>
    <t>右边是输出</t>
    <phoneticPr fontId="1" type="noConversion"/>
  </si>
  <si>
    <r>
      <rPr>
        <b/>
        <sz val="11"/>
        <color rgb="FFFF0000"/>
        <rFont val="等线"/>
        <family val="3"/>
        <charset val="134"/>
        <scheme val="minor"/>
      </rPr>
      <t>输入</t>
    </r>
    <r>
      <rPr>
        <sz val="11"/>
        <color theme="1"/>
        <rFont val="等线"/>
        <family val="2"/>
        <charset val="134"/>
        <scheme val="minor"/>
      </rPr>
      <t>距离↓</t>
    </r>
    <phoneticPr fontId="1" type="noConversion"/>
  </si>
  <si>
    <r>
      <rPr>
        <b/>
        <sz val="11"/>
        <color rgb="FFFF0000"/>
        <rFont val="等线"/>
        <family val="3"/>
        <charset val="134"/>
        <scheme val="minor"/>
      </rPr>
      <t>选择</t>
    </r>
    <r>
      <rPr>
        <sz val="11"/>
        <color theme="1"/>
        <rFont val="等线"/>
        <family val="2"/>
        <charset val="134"/>
        <scheme val="minor"/>
      </rPr>
      <t>距离单位↓</t>
    </r>
    <phoneticPr fontId="1" type="noConversion"/>
  </si>
  <si>
    <t>小飞机飞行速度=22.4+4*(n-6)m/s</t>
    <phoneticPr fontId="1" type="noConversion"/>
  </si>
  <si>
    <t>单程飞行耗时：225*θ/飞行速度+3/√(飞行速度/8)帧</t>
    <phoneticPr fontId="1" type="noConversion"/>
  </si>
  <si>
    <t>类型变化</t>
    <phoneticPr fontId="1" type="noConversion"/>
  </si>
  <si>
    <t>光度系数</t>
    <phoneticPr fontId="1" type="noConversion"/>
  </si>
  <si>
    <t>黑洞</t>
    <phoneticPr fontId="1" type="noConversion"/>
  </si>
  <si>
    <t>中子星</t>
    <phoneticPr fontId="1" type="noConversion"/>
  </si>
  <si>
    <t>白矮星</t>
    <phoneticPr fontId="1" type="noConversion"/>
  </si>
  <si>
    <t>巨星</t>
    <phoneticPr fontId="1" type="noConversion"/>
  </si>
  <si>
    <t>壳半径系数</t>
    <phoneticPr fontId="1" type="noConversion"/>
  </si>
  <si>
    <t>参数x范围</t>
    <phoneticPr fontId="1" type="noConversion"/>
  </si>
  <si>
    <t>(0.001x)^0.33</t>
    <phoneticPr fontId="1" type="noConversion"/>
  </si>
  <si>
    <t>0.95~1.05</t>
    <phoneticPr fontId="1" type="noConversion"/>
  </si>
  <si>
    <t>0.8~1.2</t>
    <phoneticPr fontId="1" type="noConversion"/>
  </si>
  <si>
    <t>1~10</t>
    <phoneticPr fontId="1" type="noConversion"/>
  </si>
  <si>
    <t>(0.2x)^0.33</t>
    <phoneticPr fontId="1" type="noConversion"/>
  </si>
  <si>
    <t>1.5x</t>
    <phoneticPr fontId="1" type="noConversion"/>
  </si>
  <si>
    <t>(0.04x)^0.33</t>
    <phoneticPr fontId="1" type="noConversion"/>
  </si>
  <si>
    <t>1.6^0.33</t>
    <phoneticPr fontId="1" type="noConversion"/>
  </si>
  <si>
    <t>次级结论：</t>
    <phoneticPr fontId="1" type="noConversion"/>
  </si>
  <si>
    <t>斜率(au/l)</t>
    <phoneticPr fontId="1" type="noConversion"/>
  </si>
  <si>
    <t>最大壳半径(m)</t>
    <phoneticPr fontId="1" type="noConversion"/>
  </si>
  <si>
    <t>光度(l)</t>
    <phoneticPr fontId="1" type="noConversion"/>
  </si>
  <si>
    <t>输入→</t>
    <phoneticPr fontId="1" type="noConversion"/>
  </si>
  <si>
    <t>ABO光度-理论最大半径表</t>
    <phoneticPr fontId="1" type="noConversion"/>
  </si>
  <si>
    <t>相对温度系数</t>
    <phoneticPr fontId="1" type="noConversion"/>
  </si>
  <si>
    <t>主序星光度-半径计算器</t>
    <phoneticPr fontId="1" type="noConversion"/>
  </si>
  <si>
    <t>得到理论最大球半径后，还需将理论半径四舍五入到整百数字，才是实际最大球半径</t>
    <phoneticPr fontId="1" type="noConversion"/>
  </si>
  <si>
    <t>主序星光度(l)——理论最大球半径(au)公式：</t>
    <phoneticPr fontId="1" type="noConversion"/>
  </si>
  <si>
    <t>光度、戴森球半径首先通过一定计算生成且存在如上关系式，之后会通过恒星年龄来判断是否是巨星或死星(黑洞/中子星/白矮星)，变为巨星时，恒星光度直接变为生成为主序星时的1.6^0.33即约1.16778倍, 戴森球半径直接变为原来的3.3倍，其余变化会根据某个均匀分布的随机数乘以相应系数，具体如右</t>
    <phoneticPr fontId="1" type="noConversion"/>
  </si>
  <si>
    <t>蓝巨光度-理论最大半径表</t>
    <phoneticPr fontId="1" type="noConversion"/>
  </si>
  <si>
    <t>巨星光度-半径计算器</t>
    <phoneticPr fontId="1" type="noConversion"/>
  </si>
  <si>
    <t>原光度→</t>
    <phoneticPr fontId="1" type="noConversion"/>
  </si>
  <si>
    <t>1.对A、B、O星以及对应的蓝巨来说，最大壳半径和最高光度近似成线性，但也只是近似而已，当光度&gt;2.1时，最大壳半径(au)/光度的斜率在0.61~0.58不等</t>
    <phoneticPr fontId="1" type="noConversion"/>
  </si>
  <si>
    <t>同时，如果最大球半径小于恒星物理半径的3倍，那么会被强制拉到恒星半径的3倍，不过这种情况只会发生在部分光度不足1.05的红巨上，其余恒星统统不会触发这个条件。因为红巨星的最大壳半径通常不是我们感兴趣的东西，而且把星球物理半径的生成计算加进来也太麻烦了，此处就没有处理这类特殊情况</t>
    <phoneticPr fontId="1" type="noConversion"/>
  </si>
  <si>
    <t>非卫星的行星轨道半径通过轨道半径id*恒星规模(和戴森球最大半径乘正比，出了部分低光度红巨以外戴森球最大半径是0.56*恒星规模)</t>
    <phoneticPr fontId="1" type="noConversion"/>
  </si>
  <si>
    <t>黑洞、中子星、白矮星的第一颗行星轨道id固定为3，其中，白矮星有0.7的概率是1巨1卫，0.3的概率是双类地行星，双类地行星时第二课行星的轨道id是4</t>
    <phoneticPr fontId="1" type="noConversion"/>
  </si>
  <si>
    <t>样式→</t>
    <phoneticPr fontId="1" type="noConversion"/>
  </si>
  <si>
    <t>1号星</t>
    <phoneticPr fontId="1" type="noConversion"/>
  </si>
  <si>
    <t>2号星</t>
    <phoneticPr fontId="1" type="noConversion"/>
  </si>
  <si>
    <t>3号星</t>
    <phoneticPr fontId="1" type="noConversion"/>
  </si>
  <si>
    <t>概率1</t>
    <phoneticPr fontId="1" type="noConversion"/>
  </si>
  <si>
    <t>概率2</t>
    <phoneticPr fontId="1" type="noConversion"/>
  </si>
  <si>
    <t>轨道id</t>
    <phoneticPr fontId="1" type="noConversion"/>
  </si>
  <si>
    <t>轨道id(巨)</t>
    <phoneticPr fontId="1" type="noConversion"/>
  </si>
  <si>
    <t>卫</t>
    <phoneticPr fontId="1" type="noConversion"/>
  </si>
  <si>
    <t>无(显示为-1)</t>
    <phoneticPr fontId="1" type="noConversion"/>
  </si>
  <si>
    <t>3(巨)</t>
    <phoneticPr fontId="1" type="noConversion"/>
  </si>
  <si>
    <t>概率累计↓</t>
    <phoneticPr fontId="1" type="noConversion"/>
  </si>
  <si>
    <t>巨星情况分布见下表：</t>
    <phoneticPr fontId="1" type="noConversion"/>
  </si>
  <si>
    <t>主序星光度-理论最大半径(m)图</t>
    <phoneticPr fontId="1" type="noConversion"/>
  </si>
  <si>
    <t>M</t>
    <phoneticPr fontId="1" type="noConversion"/>
  </si>
  <si>
    <t>&lt;0.892829</t>
    <phoneticPr fontId="1" type="noConversion"/>
  </si>
  <si>
    <t>&lt;0.965029</t>
    <phoneticPr fontId="1" type="noConversion"/>
  </si>
  <si>
    <t>&lt;1.044266</t>
    <phoneticPr fontId="1" type="noConversion"/>
  </si>
  <si>
    <t>&lt;1.131809</t>
    <phoneticPr fontId="1" type="noConversion"/>
  </si>
  <si>
    <t>&lt;1.397858</t>
    <phoneticPr fontId="1" type="noConversion"/>
  </si>
  <si>
    <t>&lt;2.023751</t>
    <phoneticPr fontId="1" type="noConversion"/>
  </si>
  <si>
    <t>≥2.023751</t>
    <phoneticPr fontId="1" type="noConversion"/>
  </si>
  <si>
    <t>另：恒星光度与分类关系如下表</t>
    <phoneticPr fontId="1" type="noConversion"/>
  </si>
  <si>
    <t>光度</t>
    <phoneticPr fontId="1" type="noConversion"/>
  </si>
  <si>
    <t>种类</t>
    <phoneticPr fontId="1" type="noConversion"/>
  </si>
  <si>
    <t>K</t>
    <phoneticPr fontId="1" type="noConversion"/>
  </si>
  <si>
    <t>G</t>
    <phoneticPr fontId="1" type="noConversion"/>
  </si>
  <si>
    <t>F</t>
    <phoneticPr fontId="1" type="noConversion"/>
  </si>
  <si>
    <t>A</t>
    <phoneticPr fontId="1" type="noConversion"/>
  </si>
  <si>
    <t>B</t>
    <phoneticPr fontId="1" type="noConversion"/>
  </si>
  <si>
    <t>O</t>
    <phoneticPr fontId="1" type="noConversion"/>
  </si>
  <si>
    <t>多卫星：</t>
    <phoneticPr fontId="1" type="noConversion"/>
  </si>
  <si>
    <t>理论上卫星最多的巨行星只会出现在O星，一共5颗卫星，生成O星时，这种5卫巨行星的出现概率是万分之0.8(O星一共6行星的概率是0.5，一号星是巨星的概率是0.1，然后乘0.2^4)</t>
    <phoneticPr fontId="1" type="noConversion"/>
  </si>
  <si>
    <t>4(巨)</t>
    <phoneticPr fontId="1" type="noConversion"/>
  </si>
  <si>
    <t>3(巨)</t>
    <phoneticPr fontId="1" type="noConversion"/>
  </si>
  <si>
    <t>主序星出现巨行星时，必然剩余1颗以上的星球需要生成，且下一个星球必是其卫星。剩余星球有2颗以上时，双卫星的概率就是0.2，3颗以上三卫星的概率是0.2²，四颗是0.2³，以此类推</t>
    <phoneticPr fontId="1" type="noConversion"/>
  </si>
  <si>
    <t>非主序星的巨星生成概率一般单独计算，恒星为巨星时可以看上一页《行星轨道半径生成逻辑》的概率分布表，恒星为黑洞、中子星时无巨星。恒星为白矮星时0.7的概率单行星，0.09的概率双行星，0.21的概率一巨一卫</t>
    <phoneticPr fontId="1" type="noConversion"/>
  </si>
  <si>
    <t>不同轨道id的半径系数如下，实际生成时，会由随机数生成不到±5%的相对误差(具体细节略)：</t>
    <phoneticPr fontId="1" type="noConversion"/>
  </si>
  <si>
    <t>次级结论：</t>
    <phoneticPr fontId="1" type="noConversion"/>
  </si>
  <si>
    <t>除了部分低光度红巨以外，有且只有轨道半径id为1的星球可能被最大半径戴森球包裹在内，而红巨星的1号星轨道id至少为2。同时，由于一号星是巨星时，轨道id至少为3，所以从代码上就不可能出现二号星全包的星系，且冰气巨及其卫星不可能被全包</t>
    <phoneticPr fontId="1" type="noConversion"/>
  </si>
  <si>
    <t>主序星时，情况种类较多，此处只放出行星数量的分布、n号星是巨星的概率分布、与一号星轨道id的分布</t>
    <phoneticPr fontId="1" type="noConversion"/>
  </si>
  <si>
    <t>M</t>
    <phoneticPr fontId="1" type="noConversion"/>
  </si>
  <si>
    <t>K</t>
    <phoneticPr fontId="1" type="noConversion"/>
  </si>
  <si>
    <t>G</t>
    <phoneticPr fontId="1" type="noConversion"/>
  </si>
  <si>
    <t>F</t>
    <phoneticPr fontId="1" type="noConversion"/>
  </si>
  <si>
    <t>A</t>
    <phoneticPr fontId="1" type="noConversion"/>
  </si>
  <si>
    <t>B</t>
    <phoneticPr fontId="1" type="noConversion"/>
  </si>
  <si>
    <t>O</t>
    <phoneticPr fontId="1" type="noConversion"/>
  </si>
  <si>
    <t>星球类型</t>
    <phoneticPr fontId="1" type="noConversion"/>
  </si>
  <si>
    <t>行星数量的概率分布</t>
    <phoneticPr fontId="1" type="noConversion"/>
  </si>
  <si>
    <t>n号星为巨行星概率(判定此星为卫星时忽视此概率，上半行表示总星数≤3时的情况)</t>
    <phoneticPr fontId="1" type="noConversion"/>
  </si>
  <si>
    <t>-</t>
    <phoneticPr fontId="1" type="noConversion"/>
  </si>
  <si>
    <t>0.35？</t>
    <phoneticPr fontId="1" type="noConversion"/>
  </si>
  <si>
    <t>←这个0.35应该是代码写傻了多写的，最后一颗行星不可能是巨星，有额外判定，不用管这个</t>
    <phoneticPr fontId="1" type="noConversion"/>
  </si>
  <si>
    <t>一号星轨道和行星数量有关，行星总数越多，一号星轨道分布就越偏小，具体如下：</t>
    <phoneticPr fontId="1" type="noConversion"/>
  </si>
  <si>
    <t>从轨道id为1开始进行如下循环：</t>
    <phoneticPr fontId="1" type="noConversion"/>
  </si>
  <si>
    <t>float p(采用此轨道id概率) = 剩余未放置星球数(包括这颗星球) / ( 9 - 当前轨道id)</t>
    <phoneticPr fontId="1" type="noConversion"/>
  </si>
  <si>
    <t>p = 0.55 * p + 0.46</t>
    <phoneticPr fontId="1" type="noConversion"/>
  </si>
  <si>
    <t>p = 0.85 * p + 0.16</t>
    <phoneticPr fontId="1" type="noConversion"/>
  </si>
  <si>
    <t>if (当前轨道id &gt; 3)</t>
    <phoneticPr fontId="1" type="noConversion"/>
  </si>
  <si>
    <t>else</t>
    <phoneticPr fontId="1" type="noConversion"/>
  </si>
  <si>
    <t>if (一个0~1均匀分布的随机数 &lt; p)</t>
    <phoneticPr fontId="1" type="noConversion"/>
  </si>
  <si>
    <t>采用此轨道</t>
    <phoneticPr fontId="1" type="noConversion"/>
  </si>
  <si>
    <t>轨道id++，再来一遍</t>
    <phoneticPr fontId="1" type="noConversion"/>
  </si>
  <si>
    <t>←因为B星不可能只有不超过3颗行星，所以左侧的数据也是不必要的</t>
    <phoneticPr fontId="1" type="noConversion"/>
  </si>
  <si>
    <t xml:space="preserve">相关源码→ </t>
    <phoneticPr fontId="1" type="noConversion"/>
  </si>
  <si>
    <t>注：源码中当9-当前轨道id&lt;剩余星球数时会直接采用此轨道，这样不用考虑当前轨道id&gt;9导致的负数的情况。但是我们这里要看的只是轨道id为1时能判定命中的概率，所以不用考虑这种情况</t>
    <phoneticPr fontId="1" type="noConversion"/>
  </si>
  <si>
    <t>顺序</t>
    <phoneticPr fontId="1" type="noConversion"/>
  </si>
  <si>
    <t>地中海</t>
    <phoneticPr fontId="1" type="noConversion"/>
  </si>
  <si>
    <t>气巨1</t>
    <phoneticPr fontId="1" type="noConversion"/>
  </si>
  <si>
    <t>气巨2</t>
    <phoneticPr fontId="1" type="noConversion"/>
  </si>
  <si>
    <t>冰巨1</t>
    <phoneticPr fontId="1" type="noConversion"/>
  </si>
  <si>
    <t>冰巨2</t>
    <phoneticPr fontId="1" type="noConversion"/>
  </si>
  <si>
    <t>干旱荒漠</t>
    <phoneticPr fontId="1" type="noConversion"/>
  </si>
  <si>
    <t>温度系数</t>
    <phoneticPr fontId="1" type="noConversion"/>
  </si>
  <si>
    <t>星球大类</t>
    <phoneticPr fontId="1" type="noConversion"/>
  </si>
  <si>
    <t>Ocean</t>
    <phoneticPr fontId="1" type="noConversion"/>
  </si>
  <si>
    <t>Gas</t>
    <phoneticPr fontId="1" type="noConversion"/>
  </si>
  <si>
    <t>Desert</t>
    <phoneticPr fontId="1" type="noConversion"/>
  </si>
  <si>
    <t>灰烬冻土</t>
    <phoneticPr fontId="1" type="noConversion"/>
  </si>
  <si>
    <t>海洋丛林</t>
    <phoneticPr fontId="1" type="noConversion"/>
  </si>
  <si>
    <t>熔岩</t>
    <phoneticPr fontId="1" type="noConversion"/>
  </si>
  <si>
    <t>Vocano</t>
    <phoneticPr fontId="1" type="noConversion"/>
  </si>
  <si>
    <t>冰原冻土</t>
    <phoneticPr fontId="1" type="noConversion"/>
  </si>
  <si>
    <t>Ice</t>
    <phoneticPr fontId="1" type="noConversion"/>
  </si>
  <si>
    <t>贫瘠荒漠</t>
    <phoneticPr fontId="1" type="noConversion"/>
  </si>
  <si>
    <t>火山灰</t>
    <phoneticPr fontId="1" type="noConversion"/>
  </si>
  <si>
    <t>红石</t>
    <phoneticPr fontId="1" type="noConversion"/>
  </si>
  <si>
    <t>草原</t>
    <phoneticPr fontId="1" type="noConversion"/>
  </si>
  <si>
    <t>水世界</t>
    <phoneticPr fontId="1" type="noConversion"/>
  </si>
  <si>
    <t>樱林海</t>
    <phoneticPr fontId="1" type="noConversion"/>
  </si>
  <si>
    <t>飓风石林</t>
    <phoneticPr fontId="1" type="noConversion"/>
  </si>
  <si>
    <t>猩红冰湖</t>
    <phoneticPr fontId="1" type="noConversion"/>
  </si>
  <si>
    <t>气巨3(高重氢比例)</t>
    <phoneticPr fontId="1" type="noConversion"/>
  </si>
  <si>
    <t>热带草原</t>
    <phoneticPr fontId="1" type="noConversion"/>
  </si>
  <si>
    <t>极寒冻土</t>
    <phoneticPr fontId="1" type="noConversion"/>
  </si>
  <si>
    <t>橙晶荒漠</t>
    <phoneticPr fontId="1" type="noConversion"/>
  </si>
  <si>
    <t>潘多拉沼泽</t>
    <phoneticPr fontId="1" type="noConversion"/>
  </si>
  <si>
    <t>戈壁</t>
    <phoneticPr fontId="1" type="noConversion"/>
  </si>
  <si>
    <t>照此逻辑，非母星的情况下，一号星可被全包的概率为：</t>
    <phoneticPr fontId="1" type="noConversion"/>
  </si>
  <si>
    <t>对于母星来说，唯一的巨星必然在三号轨道上，所以不用考虑1号星是巨星导致的无法全包，概率提升</t>
    <phoneticPr fontId="1" type="noConversion"/>
  </si>
  <si>
    <t>故母星一号星被全包的概率为：</t>
    <phoneticPr fontId="1" type="noConversion"/>
  </si>
  <si>
    <t>1亿64星种子的全包概率统计结果为：</t>
    <phoneticPr fontId="1" type="noConversion"/>
  </si>
  <si>
    <t>M</t>
  </si>
  <si>
    <t>K</t>
  </si>
  <si>
    <t>G</t>
  </si>
  <si>
    <t>F</t>
  </si>
  <si>
    <t>A</t>
  </si>
  <si>
    <t>B</t>
  </si>
  <si>
    <t>O</t>
  </si>
  <si>
    <t>红巨</t>
    <phoneticPr fontId="1" type="noConversion"/>
  </si>
  <si>
    <t>黄巨</t>
    <phoneticPr fontId="1" type="noConversion"/>
  </si>
  <si>
    <t>白巨</t>
    <phoneticPr fontId="1" type="noConversion"/>
  </si>
  <si>
    <t>蓝巨</t>
    <phoneticPr fontId="1" type="noConversion"/>
  </si>
  <si>
    <t>白矮</t>
    <phoneticPr fontId="1" type="noConversion"/>
  </si>
  <si>
    <t>黑洞</t>
    <phoneticPr fontId="1" type="noConversion"/>
  </si>
  <si>
    <t>中子</t>
    <phoneticPr fontId="1" type="noConversion"/>
  </si>
  <si>
    <t>恒星类型</t>
    <phoneticPr fontId="1" type="noConversion"/>
  </si>
  <si>
    <t>行星总数</t>
    <phoneticPr fontId="1" type="noConversion"/>
  </si>
  <si>
    <t>恒星总数</t>
    <phoneticPr fontId="1" type="noConversion"/>
  </si>
  <si>
    <t>全包行星数</t>
    <phoneticPr fontId="1" type="noConversion"/>
  </si>
  <si>
    <t>同左</t>
    <phoneticPr fontId="1" type="noConversion"/>
  </si>
  <si>
    <t>2号规无可被全包的行星</t>
    <phoneticPr fontId="1" type="noConversion"/>
  </si>
  <si>
    <t>1号轨道行星数</t>
    <phoneticPr fontId="1" type="noConversion"/>
  </si>
  <si>
    <t>附：1亿64星生成分布与全包概率统计结果(数据来源：soarqin种子搜索)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</si>
</sst>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
      <b/>
      <sz val="11"/>
      <color rgb="FFFF0000"/>
      <name val="等线"/>
      <family val="3"/>
      <charset val="134"/>
      <scheme val="minor"/>
    </font>
    <font>
      <sz val="11"/>
      <color theme="1"/>
      <name val="等线"/>
      <family val="3"/>
      <charset val="134"/>
      <scheme val="minor"/>
    </font>
    <font>
      <b/>
      <sz val="14"/>
      <color rgb="FFFF0000"/>
      <name val="等线"/>
      <family val="3"/>
      <charset val="134"/>
      <scheme val="minor"/>
    </font>
    <font>
      <b/>
      <sz val="16"/>
      <color theme="1"/>
      <name val="等线"/>
      <family val="3"/>
      <charset val="134"/>
      <scheme val="minor"/>
    </font>
    <font>
      <sz val="11"/>
      <color theme="0" tint="-0.14999847407452621"/>
      <name val="等线"/>
      <family val="2"/>
      <charset val="134"/>
      <scheme val="minor"/>
    </font>
    <font>
      <sz val="11"/>
      <color theme="0" tint="-0.14999847407452621"/>
      <name val="等线"/>
      <family val="3"/>
      <charset val="134"/>
      <scheme val="minor"/>
    </font>
    <font>
      <b/>
      <sz val="16"/>
      <color rgb="FFFF0000"/>
      <name val="等线"/>
      <family val="3"/>
      <charset val="134"/>
      <scheme val="minor"/>
    </font>
    <font>
      <sz val="8"/>
      <color theme="1"/>
      <name val="等线"/>
      <family val="3"/>
      <charset val="134"/>
      <scheme val="minor"/>
    </font>
    <font>
      <sz val="9"/>
      <color indexed="81"/>
      <name val="宋体"/>
      <family val="3"/>
      <charset val="134"/>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64">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18" fillId="0" borderId="0" xfId="0" applyFont="1" applyAlignment="1">
      <alignment horizontal="center" vertical="center"/>
    </xf>
    <xf numFmtId="0" fontId="21" fillId="0" borderId="0" xfId="0" applyFont="1">
      <alignment vertical="center"/>
    </xf>
    <xf numFmtId="0" fontId="22" fillId="0" borderId="0" xfId="0" applyFo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3" xfId="0" applyBorder="1">
      <alignment vertical="center"/>
    </xf>
    <xf numFmtId="0" fontId="0" fillId="0" borderId="7" xfId="0" applyBorder="1">
      <alignment vertical="center"/>
    </xf>
    <xf numFmtId="0" fontId="0" fillId="0" borderId="8" xfId="0" applyBorder="1">
      <alignment vertical="center"/>
    </xf>
    <xf numFmtId="0" fontId="0" fillId="0" borderId="7" xfId="0" applyBorder="1" applyAlignment="1">
      <alignment horizontal="left" vertical="center"/>
    </xf>
    <xf numFmtId="0" fontId="17" fillId="0" borderId="7" xfId="0" applyFont="1" applyBorder="1">
      <alignment vertical="center"/>
    </xf>
    <xf numFmtId="0" fontId="0" fillId="0" borderId="5" xfId="0" applyBorder="1" applyAlignment="1">
      <alignment horizontal="right"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right"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8" fillId="0" borderId="0" xfId="0" applyFont="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23"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17" fillId="0" borderId="0" xfId="0" applyFont="1" applyAlignment="1">
      <alignment horizontal="center" vertical="center"/>
    </xf>
    <xf numFmtId="0" fontId="24" fillId="0" borderId="0" xfId="0" applyFont="1" applyAlignment="1">
      <alignment horizontal="center" vertical="center"/>
    </xf>
    <xf numFmtId="0" fontId="0" fillId="0" borderId="0" xfId="0" applyAlignment="1">
      <alignment horizontal="left" vertical="center" wrapText="1"/>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xdr:row>
      <xdr:rowOff>120015</xdr:rowOff>
    </xdr:from>
    <xdr:to>
      <xdr:col>12</xdr:col>
      <xdr:colOff>472440</xdr:colOff>
      <xdr:row>13</xdr:row>
      <xdr:rowOff>121920</xdr:rowOff>
    </xdr:to>
    <mc:AlternateContent xmlns:mc="http://schemas.openxmlformats.org/markup-compatibility/2006" xmlns:a14="http://schemas.microsoft.com/office/drawing/2010/main">
      <mc:Choice Requires="a14">
        <xdr:sp macro="" textlink="">
          <xdr:nvSpPr>
            <xdr:cNvPr id="4" name="文本框 3">
              <a:extLst>
                <a:ext uri="{FF2B5EF4-FFF2-40B4-BE49-F238E27FC236}">
                  <a16:creationId xmlns:a16="http://schemas.microsoft.com/office/drawing/2014/main" id="{6B187147-4E42-E76C-3217-F76FEC9C744D}"/>
                </a:ext>
              </a:extLst>
            </xdr:cNvPr>
            <xdr:cNvSpPr txBox="1"/>
          </xdr:nvSpPr>
          <xdr:spPr>
            <a:xfrm>
              <a:off x="76200" y="340995"/>
              <a:ext cx="7711440" cy="2150745"/>
            </a:xfrm>
            <a:prstGeom prst="rect">
              <a:avLst/>
            </a:prstGeom>
            <a:noFill/>
          </xdr:spPr>
          <xdr:txBody>
            <a:bodyPr wrap="square" lIns="0" tIns="0" rIns="0" bIns="0"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d>
                      <m:dPr>
                        <m:begChr m:val="{"/>
                        <m:endChr m:val=""/>
                        <m:ctrlPr>
                          <a:rPr lang="en-US" altLang="zh-CN" i="1">
                            <a:latin typeface="Cambria Math" panose="02040503050406030204" pitchFamily="18" charset="0"/>
                          </a:rPr>
                        </m:ctrlPr>
                      </m:dPr>
                      <m:e>
                        <m:eqArr>
                          <m:eqArrPr>
                            <m:ctrlPr>
                              <a:rPr lang="en-US" altLang="zh-CN" b="0" i="1">
                                <a:latin typeface="Cambria Math" panose="02040503050406030204" pitchFamily="18" charset="0"/>
                              </a:rPr>
                            </m:ctrlPr>
                          </m:eqArrPr>
                          <m:e>
                            <m:r>
                              <a:rPr lang="en-US" altLang="zh-CN" b="0" i="1">
                                <a:latin typeface="Cambria Math" panose="02040503050406030204" pitchFamily="18" charset="0"/>
                              </a:rPr>
                              <m:t>0.458908     , </m:t>
                            </m:r>
                            <m:r>
                              <a:rPr lang="en-US" altLang="zh-CN" b="0" i="1">
                                <a:latin typeface="Cambria Math" panose="02040503050406030204" pitchFamily="18" charset="0"/>
                              </a:rPr>
                              <m:t>𝑙</m:t>
                            </m:r>
                            <m:r>
                              <a:rPr lang="en-US" altLang="zh-CN" b="0" i="1">
                                <a:latin typeface="Cambria Math" panose="02040503050406030204" pitchFamily="18" charset="0"/>
                              </a:rPr>
                              <m:t>&lt;0.859048</m:t>
                            </m:r>
                          </m:e>
                          <m:e>
                            <m:r>
                              <a:rPr lang="en-US" altLang="zh-CN" b="0" i="1">
                                <a:latin typeface="Cambria Math" panose="02040503050406030204" pitchFamily="18" charset="0"/>
                              </a:rPr>
                              <m:t>0.336+0.220878</m:t>
                            </m:r>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𝑙</m:t>
                                    </m:r>
                                  </m:e>
                                  <m:sup>
                                    <m:r>
                                      <a:rPr lang="en-US" altLang="zh-CN" sz="1800" b="0" i="1" kern="1200">
                                        <a:solidFill>
                                          <a:schemeClr val="tx1"/>
                                        </a:solidFill>
                                        <a:effectLst/>
                                        <a:latin typeface="Cambria Math" panose="02040503050406030204" pitchFamily="18" charset="0"/>
                                        <a:ea typeface="+mn-ea"/>
                                        <a:cs typeface="+mn-cs"/>
                                      </a:rPr>
                                      <m:t>2.424242+</m:t>
                                    </m:r>
                                    <m:f>
                                      <m:fPr>
                                        <m:ctrlPr>
                                          <a:rPr lang="en-US" altLang="zh-CN" sz="1800" b="0" i="1" kern="1200">
                                            <a:solidFill>
                                              <a:schemeClr val="tx1"/>
                                            </a:solidFill>
                                            <a:effectLst/>
                                            <a:latin typeface="Cambria Math" panose="02040503050406030204" pitchFamily="18" charset="0"/>
                                            <a:ea typeface="+mn-ea"/>
                                            <a:cs typeface="+mn-cs"/>
                                          </a:rPr>
                                        </m:ctrlPr>
                                      </m:fPr>
                                      <m:num>
                                        <m:r>
                                          <a:rPr lang="en-US" altLang="zh-CN" sz="1800" b="0" i="1" kern="1200">
                                            <a:solidFill>
                                              <a:schemeClr val="tx1"/>
                                            </a:solidFill>
                                            <a:effectLst/>
                                            <a:latin typeface="Cambria Math" panose="02040503050406030204" pitchFamily="18" charset="0"/>
                                            <a:ea typeface="+mn-ea"/>
                                            <a:cs typeface="+mn-cs"/>
                                          </a:rPr>
                                          <m:t>0.975417</m:t>
                                        </m:r>
                                      </m:num>
                                      <m:den>
                                        <m:func>
                                          <m:funcPr>
                                            <m:ctrlPr>
                                              <a:rPr lang="en-US" altLang="zh-CN" sz="1800" b="0" i="1" kern="1200">
                                                <a:solidFill>
                                                  <a:schemeClr val="tx1"/>
                                                </a:solidFill>
                                                <a:effectLst/>
                                                <a:latin typeface="Cambria Math" panose="02040503050406030204" pitchFamily="18" charset="0"/>
                                                <a:ea typeface="+mn-ea"/>
                                                <a:cs typeface="+mn-cs"/>
                                              </a:rPr>
                                            </m:ctrlPr>
                                          </m:funcPr>
                                          <m:fName>
                                            <m:r>
                                              <m:rPr>
                                                <m:sty m:val="p"/>
                                              </m:rPr>
                                              <a:rPr lang="en-US" altLang="zh-CN" sz="1800" b="0" i="0" kern="1200">
                                                <a:solidFill>
                                                  <a:schemeClr val="tx1"/>
                                                </a:solidFill>
                                                <a:effectLst/>
                                                <a:latin typeface="Cambria Math" panose="02040503050406030204" pitchFamily="18" charset="0"/>
                                                <a:ea typeface="+mn-ea"/>
                                                <a:cs typeface="+mn-cs"/>
                                              </a:rPr>
                                              <m:t>ln</m:t>
                                            </m:r>
                                          </m:fName>
                                          <m:e>
                                            <m:r>
                                              <a:rPr lang="en-US" altLang="zh-CN" sz="1800" b="0" i="1" kern="1200">
                                                <a:solidFill>
                                                  <a:schemeClr val="tx1"/>
                                                </a:solidFill>
                                                <a:effectLst/>
                                                <a:latin typeface="Cambria Math" panose="02040503050406030204" pitchFamily="18" charset="0"/>
                                                <a:ea typeface="+mn-ea"/>
                                                <a:cs typeface="+mn-cs"/>
                                              </a:rPr>
                                              <m:t>(</m:t>
                                            </m:r>
                                            <m:sSup>
                                              <m:sSupPr>
                                                <m:ctrlPr>
                                                  <a:rPr lang="en-US" altLang="zh-CN" sz="1800" b="0" i="1" kern="1200">
                                                    <a:solidFill>
                                                      <a:schemeClr val="tx1"/>
                                                    </a:solidFill>
                                                    <a:effectLst/>
                                                    <a:latin typeface="Cambria Math" panose="02040503050406030204" pitchFamily="18" charset="0"/>
                                                    <a:ea typeface="+mn-ea"/>
                                                    <a:cs typeface="+mn-cs"/>
                                                  </a:rPr>
                                                </m:ctrlPr>
                                              </m:sSupPr>
                                              <m:e>
                                                <m:r>
                                                  <a:rPr lang="en-US" altLang="zh-CN" sz="1800" b="0" i="1" kern="1200">
                                                    <a:solidFill>
                                                      <a:schemeClr val="tx1"/>
                                                    </a:solidFill>
                                                    <a:effectLst/>
                                                    <a:latin typeface="Cambria Math" panose="02040503050406030204" pitchFamily="18" charset="0"/>
                                                    <a:ea typeface="+mn-ea"/>
                                                    <a:cs typeface="+mn-cs"/>
                                                  </a:rPr>
                                                  <m:t>𝑙</m:t>
                                                </m:r>
                                              </m:e>
                                              <m:sup>
                                                <m:r>
                                                  <a:rPr lang="en-US" altLang="zh-CN" sz="1800" b="0" i="1" kern="1200">
                                                    <a:solidFill>
                                                      <a:schemeClr val="tx1"/>
                                                    </a:solidFill>
                                                    <a:effectLst/>
                                                    <a:latin typeface="Cambria Math" panose="02040503050406030204" pitchFamily="18" charset="0"/>
                                                    <a:ea typeface="+mn-ea"/>
                                                    <a:cs typeface="+mn-cs"/>
                                                  </a:rPr>
                                                  <m:t>4.329004</m:t>
                                                </m:r>
                                              </m:sup>
                                            </m:sSup>
                                            <m:r>
                                              <a:rPr lang="en-US" altLang="zh-CN" sz="1800" b="0" i="1" kern="1200">
                                                <a:solidFill>
                                                  <a:schemeClr val="tx1"/>
                                                </a:solidFill>
                                                <a:effectLst/>
                                                <a:latin typeface="Cambria Math" panose="02040503050406030204" pitchFamily="18" charset="0"/>
                                                <a:ea typeface="+mn-ea"/>
                                                <a:cs typeface="+mn-cs"/>
                                              </a:rPr>
                                              <m:t>+4)</m:t>
                                            </m:r>
                                          </m:e>
                                        </m:func>
                                      </m:den>
                                    </m:f>
                                  </m:sup>
                                </m:sSup>
                                <m:r>
                                  <a:rPr lang="en-US" altLang="zh-CN" sz="1800" b="0" i="1" kern="1200">
                                    <a:solidFill>
                                      <a:schemeClr val="tx1"/>
                                    </a:solidFill>
                                    <a:effectLst/>
                                    <a:latin typeface="Cambria Math" panose="02040503050406030204" pitchFamily="18" charset="0"/>
                                    <a:ea typeface="+mn-ea"/>
                                    <a:cs typeface="+mn-cs"/>
                                  </a:rPr>
                                  <m:t>)</m:t>
                                </m:r>
                              </m:e>
                              <m:sup>
                                <m:r>
                                  <a:rPr lang="en-US" altLang="zh-CN" sz="1800" b="0" i="1" kern="1200">
                                    <a:solidFill>
                                      <a:schemeClr val="tx1"/>
                                    </a:solidFill>
                                    <a:effectLst/>
                                    <a:latin typeface="Cambria Math" panose="02040503050406030204" pitchFamily="18" charset="0"/>
                                    <a:ea typeface="+mn-ea"/>
                                    <a:cs typeface="+mn-cs"/>
                                  </a:rPr>
                                  <m:t>1.256310</m:t>
                                </m:r>
                              </m:sup>
                            </m:sSup>
                            <m:r>
                              <a:rPr lang="en-US" altLang="zh-CN" b="0" i="1">
                                <a:latin typeface="Cambria Math" panose="02040503050406030204" pitchFamily="18" charset="0"/>
                                <a:ea typeface="Cambria Math" panose="02040503050406030204" pitchFamily="18" charset="0"/>
                              </a:rPr>
                              <m:t>,</m:t>
                            </m:r>
                            <m:r>
                              <a:rPr lang="en-US" altLang="zh-CN" sz="1800" b="0" i="1" kern="1200">
                                <a:solidFill>
                                  <a:schemeClr val="tx1"/>
                                </a:solidFill>
                                <a:effectLst/>
                                <a:latin typeface="Cambria Math" panose="02040503050406030204" pitchFamily="18" charset="0"/>
                                <a:ea typeface="+mn-ea"/>
                                <a:cs typeface="+mn-cs"/>
                              </a:rPr>
                              <m:t>0.859048</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&lt;1.003696</m:t>
                            </m:r>
                          </m:e>
                          <m:e>
                            <m:r>
                              <a:rPr lang="en-US" altLang="zh-CN" b="0" i="1">
                                <a:latin typeface="Cambria Math" panose="02040503050406030204" pitchFamily="18" charset="0"/>
                              </a:rPr>
                              <m:t>0.552194</m:t>
                            </m:r>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2.424242+</m:t>
                                    </m:r>
                                    <m:f>
                                      <m:fPr>
                                        <m:ctrlPr>
                                          <a:rPr lang="en-US" altLang="zh-CN" b="0" i="1">
                                            <a:latin typeface="Cambria Math" panose="02040503050406030204" pitchFamily="18" charset="0"/>
                                            <a:ea typeface="Cambria Math" panose="02040503050406030204" pitchFamily="18" charset="0"/>
                                          </a:rPr>
                                        </m:ctrlPr>
                                      </m:fPr>
                                      <m:num>
                                        <m:r>
                                          <a:rPr lang="en-US" altLang="zh-CN" b="0" i="1">
                                            <a:latin typeface="Cambria Math" panose="02040503050406030204" pitchFamily="18" charset="0"/>
                                            <a:ea typeface="Cambria Math" panose="02040503050406030204" pitchFamily="18" charset="0"/>
                                          </a:rPr>
                                          <m:t>0.975417</m:t>
                                        </m:r>
                                      </m:num>
                                      <m:den>
                                        <m:func>
                                          <m:funcPr>
                                            <m:ctrlPr>
                                              <a:rPr lang="en-US" altLang="zh-CN" b="0" i="1">
                                                <a:latin typeface="Cambria Math" panose="02040503050406030204" pitchFamily="18" charset="0"/>
                                                <a:ea typeface="Cambria Math" panose="02040503050406030204" pitchFamily="18" charset="0"/>
                                              </a:rPr>
                                            </m:ctrlPr>
                                          </m:funcPr>
                                          <m:fName>
                                            <m:r>
                                              <m:rPr>
                                                <m:sty m:val="p"/>
                                              </m:rPr>
                                              <a:rPr lang="en-US" altLang="zh-CN" b="0" i="0">
                                                <a:latin typeface="Cambria Math" panose="02040503050406030204" pitchFamily="18" charset="0"/>
                                                <a:ea typeface="Cambria Math" panose="02040503050406030204" pitchFamily="18" charset="0"/>
                                              </a:rPr>
                                              <m:t>ln</m:t>
                                            </m:r>
                                          </m:fName>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4.329004</m:t>
                                                </m:r>
                                              </m:sup>
                                            </m:sSup>
                                            <m:r>
                                              <a:rPr lang="en-US" altLang="zh-CN" b="0" i="1">
                                                <a:latin typeface="Cambria Math" panose="02040503050406030204" pitchFamily="18" charset="0"/>
                                                <a:ea typeface="Cambria Math" panose="02040503050406030204" pitchFamily="18" charset="0"/>
                                              </a:rPr>
                                              <m:t>+4)</m:t>
                                            </m:r>
                                          </m:e>
                                        </m:func>
                                      </m:den>
                                    </m:f>
                                  </m:sup>
                                </m:sSup>
                                <m:r>
                                  <a:rPr lang="en-US" altLang="zh-CN" b="0" i="1">
                                    <a:latin typeface="Cambria Math" panose="02040503050406030204" pitchFamily="18" charset="0"/>
                                    <a:ea typeface="Cambria Math" panose="02040503050406030204" pitchFamily="18" charset="0"/>
                                  </a:rPr>
                                  <m:t>)</m:t>
                                </m:r>
                              </m:e>
                              <m:sup>
                                <m:r>
                                  <a:rPr lang="en-US" altLang="zh-CN" b="0" i="1">
                                    <a:latin typeface="Cambria Math" panose="02040503050406030204" pitchFamily="18" charset="0"/>
                                    <a:ea typeface="Cambria Math" panose="02040503050406030204" pitchFamily="18" charset="0"/>
                                  </a:rPr>
                                  <m:t>1.256310</m:t>
                                </m:r>
                              </m:sup>
                            </m:sSup>
                            <m:r>
                              <a:rPr lang="en-US" altLang="zh-CN" b="0" i="1">
                                <a:latin typeface="Cambria Math" panose="02040503050406030204" pitchFamily="18" charset="0"/>
                                <a:ea typeface="Cambria Math" panose="02040503050406030204" pitchFamily="18" charset="0"/>
                              </a:rPr>
                              <m:t>  ,1.003696</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&lt;1.179172</m:t>
                            </m:r>
                          </m:e>
                          <m:e>
                            <m:r>
                              <a:rPr lang="en-US" altLang="zh-CN" b="0" i="1">
                                <a:latin typeface="Cambria Math" panose="02040503050406030204" pitchFamily="18" charset="0"/>
                              </a:rPr>
                              <m:t>0.875315</m:t>
                            </m:r>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2.424242+</m:t>
                                    </m:r>
                                    <m:f>
                                      <m:fPr>
                                        <m:ctrlPr>
                                          <a:rPr lang="en-US" altLang="zh-CN" b="0" i="1">
                                            <a:latin typeface="Cambria Math" panose="02040503050406030204" pitchFamily="18" charset="0"/>
                                            <a:ea typeface="Cambria Math" panose="02040503050406030204" pitchFamily="18" charset="0"/>
                                          </a:rPr>
                                        </m:ctrlPr>
                                      </m:fPr>
                                      <m:num>
                                        <m:r>
                                          <a:rPr lang="en-US" altLang="zh-CN" b="0" i="1">
                                            <a:latin typeface="Cambria Math" panose="02040503050406030204" pitchFamily="18" charset="0"/>
                                            <a:ea typeface="Cambria Math" panose="02040503050406030204" pitchFamily="18" charset="0"/>
                                          </a:rPr>
                                          <m:t>0.975417</m:t>
                                        </m:r>
                                      </m:num>
                                      <m:den>
                                        <m:func>
                                          <m:funcPr>
                                            <m:ctrlPr>
                                              <a:rPr lang="en-US" altLang="zh-CN" b="0" i="1">
                                                <a:latin typeface="Cambria Math" panose="02040503050406030204" pitchFamily="18" charset="0"/>
                                                <a:ea typeface="Cambria Math" panose="02040503050406030204" pitchFamily="18" charset="0"/>
                                              </a:rPr>
                                            </m:ctrlPr>
                                          </m:funcPr>
                                          <m:fName>
                                            <m:r>
                                              <m:rPr>
                                                <m:sty m:val="p"/>
                                              </m:rPr>
                                              <a:rPr lang="en-US" altLang="zh-CN" b="0" i="0">
                                                <a:latin typeface="Cambria Math" panose="02040503050406030204" pitchFamily="18" charset="0"/>
                                                <a:ea typeface="Cambria Math" panose="02040503050406030204" pitchFamily="18" charset="0"/>
                                              </a:rPr>
                                              <m:t>ln</m:t>
                                            </m:r>
                                          </m:fName>
                                          <m:e>
                                            <m:r>
                                              <a:rPr lang="en-US" altLang="zh-CN" b="0" i="1">
                                                <a:latin typeface="Cambria Math" panose="02040503050406030204" pitchFamily="18" charset="0"/>
                                                <a:ea typeface="Cambria Math" panose="02040503050406030204" pitchFamily="18" charset="0"/>
                                              </a:rPr>
                                              <m:t>(</m:t>
                                            </m:r>
                                            <m:sSup>
                                              <m:sSupPr>
                                                <m:ctrlPr>
                                                  <a:rPr lang="en-US" altLang="zh-CN" b="0" i="1">
                                                    <a:latin typeface="Cambria Math" panose="02040503050406030204" pitchFamily="18" charset="0"/>
                                                    <a:ea typeface="Cambria Math" panose="02040503050406030204" pitchFamily="18" charset="0"/>
                                                  </a:rPr>
                                                </m:ctrlPr>
                                              </m:sSupPr>
                                              <m:e>
                                                <m:r>
                                                  <a:rPr lang="en-US" altLang="zh-CN" b="0" i="1">
                                                    <a:latin typeface="Cambria Math" panose="02040503050406030204" pitchFamily="18" charset="0"/>
                                                    <a:ea typeface="Cambria Math" panose="02040503050406030204" pitchFamily="18" charset="0"/>
                                                  </a:rPr>
                                                  <m:t>𝑙</m:t>
                                                </m:r>
                                              </m:e>
                                              <m:sup>
                                                <m:r>
                                                  <a:rPr lang="en-US" altLang="zh-CN" b="0" i="1">
                                                    <a:latin typeface="Cambria Math" panose="02040503050406030204" pitchFamily="18" charset="0"/>
                                                    <a:ea typeface="Cambria Math" panose="02040503050406030204" pitchFamily="18" charset="0"/>
                                                  </a:rPr>
                                                  <m:t>4.329004</m:t>
                                                </m:r>
                                              </m:sup>
                                            </m:sSup>
                                            <m:r>
                                              <a:rPr lang="en-US" altLang="zh-CN" b="0" i="1">
                                                <a:latin typeface="Cambria Math" panose="02040503050406030204" pitchFamily="18" charset="0"/>
                                                <a:ea typeface="Cambria Math" panose="02040503050406030204" pitchFamily="18" charset="0"/>
                                              </a:rPr>
                                              <m:t>+4)</m:t>
                                            </m:r>
                                          </m:e>
                                        </m:func>
                                      </m:den>
                                    </m:f>
                                  </m:sup>
                                </m:sSup>
                                <m:r>
                                  <a:rPr lang="en-US" altLang="zh-CN" b="0" i="1">
                                    <a:latin typeface="Cambria Math" panose="02040503050406030204" pitchFamily="18" charset="0"/>
                                    <a:ea typeface="Cambria Math" panose="02040503050406030204" pitchFamily="18" charset="0"/>
                                  </a:rPr>
                                  <m:t>)</m:t>
                                </m:r>
                              </m:e>
                              <m:sup>
                                <m:r>
                                  <a:rPr lang="en-US" altLang="zh-CN" b="0" i="1">
                                    <a:latin typeface="Cambria Math" panose="02040503050406030204" pitchFamily="18" charset="0"/>
                                    <a:ea typeface="Cambria Math" panose="02040503050406030204" pitchFamily="18" charset="0"/>
                                  </a:rPr>
                                  <m:t>0.314077</m:t>
                                </m:r>
                              </m:sup>
                            </m:sSup>
                            <m:r>
                              <a:rPr lang="en-US" altLang="zh-CN" b="0" i="1">
                                <a:latin typeface="Cambria Math" panose="02040503050406030204" pitchFamily="18" charset="0"/>
                                <a:ea typeface="Cambria Math" panose="02040503050406030204" pitchFamily="18" charset="0"/>
                              </a:rPr>
                              <m:t>  ,1.179172</m:t>
                            </m:r>
                            <m:r>
                              <a:rPr lang="zh-CN" altLang="en-US" i="1">
                                <a:latin typeface="Cambria Math" panose="02040503050406030204" pitchFamily="18" charset="0"/>
                              </a:rPr>
                              <m:t>≤</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&lt;2.456765</m:t>
                            </m:r>
                          </m:e>
                          <m:e>
                            <m:r>
                              <a:rPr lang="en-US" altLang="zh-CN" b="0" i="1">
                                <a:latin typeface="Cambria Math" panose="02040503050406030204" pitchFamily="18" charset="0"/>
                                <a:ea typeface="Cambria Math" panose="02040503050406030204" pitchFamily="18" charset="0"/>
                              </a:rPr>
                              <m:t>1.860000    , </m:t>
                            </m:r>
                            <m:r>
                              <a:rPr lang="en-US" altLang="zh-CN" b="0" i="1">
                                <a:latin typeface="Cambria Math" panose="02040503050406030204" pitchFamily="18" charset="0"/>
                                <a:ea typeface="Cambria Math" panose="02040503050406030204" pitchFamily="18" charset="0"/>
                              </a:rPr>
                              <m:t>𝑙</m:t>
                            </m:r>
                            <m:r>
                              <a:rPr lang="en-US" altLang="zh-CN" b="0" i="1">
                                <a:latin typeface="Cambria Math" panose="02040503050406030204" pitchFamily="18" charset="0"/>
                                <a:ea typeface="Cambria Math" panose="02040503050406030204" pitchFamily="18" charset="0"/>
                              </a:rPr>
                              <m:t>≥2.456765</m:t>
                            </m:r>
                          </m:e>
                        </m:eqArr>
                      </m:e>
                    </m:d>
                  </m:oMath>
                </m:oMathPara>
              </a14:m>
              <a:endParaRPr lang="zh-CN" altLang="en-US"/>
            </a:p>
          </xdr:txBody>
        </xdr:sp>
      </mc:Choice>
      <mc:Fallback xmlns="">
        <xdr:sp macro="" textlink="">
          <xdr:nvSpPr>
            <xdr:cNvPr id="4" name="文本框 3">
              <a:extLst>
                <a:ext uri="{FF2B5EF4-FFF2-40B4-BE49-F238E27FC236}">
                  <a16:creationId xmlns:a16="http://schemas.microsoft.com/office/drawing/2014/main" id="{6B187147-4E42-E76C-3217-F76FEC9C744D}"/>
                </a:ext>
              </a:extLst>
            </xdr:cNvPr>
            <xdr:cNvSpPr txBox="1"/>
          </xdr:nvSpPr>
          <xdr:spPr>
            <a:xfrm>
              <a:off x="76200" y="340995"/>
              <a:ext cx="7711440" cy="2150745"/>
            </a:xfrm>
            <a:prstGeom prst="rect">
              <a:avLst/>
            </a:prstGeom>
            <a:noFill/>
          </xdr:spPr>
          <xdr:txBody>
            <a:bodyPr wrap="square" lIns="0" tIns="0" rIns="0" bIns="0" rtlCol="0">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altLang="zh-CN" i="0">
                  <a:latin typeface="Cambria Math" panose="02040503050406030204" pitchFamily="18" charset="0"/>
                </a:rPr>
                <a:t>{</a:t>
              </a:r>
              <a:r>
                <a:rPr lang="en-US" altLang="zh-CN" b="0" i="0">
                  <a:latin typeface="Cambria Math" panose="02040503050406030204" pitchFamily="18" charset="0"/>
                </a:rPr>
                <a:t>█(0.458908     , 𝑙&lt;0.859048@0.336+0.220878</a:t>
              </a:r>
              <a:r>
                <a:rPr lang="en-US" altLang="zh-CN" sz="1800" b="0" i="0" kern="1200">
                  <a:solidFill>
                    <a:schemeClr val="tx1"/>
                  </a:solidFill>
                  <a:effectLst/>
                  <a:latin typeface="+mn-lt"/>
                  <a:ea typeface="+mn-ea"/>
                  <a:cs typeface="+mn-cs"/>
                </a:rPr>
                <a:t>×〖(𝑙^(2.424242+0.975417/ln⁡〖(𝑙^4.329004+4)〗 ))〗^1.256310</a:t>
              </a:r>
              <a:r>
                <a:rPr lang="en-US" altLang="zh-CN" b="0" i="0">
                  <a:latin typeface="Cambria Math" panose="02040503050406030204" pitchFamily="18" charset="0"/>
                  <a:ea typeface="Cambria Math" panose="02040503050406030204" pitchFamily="18" charset="0"/>
                </a:rPr>
                <a:t>,</a:t>
              </a:r>
              <a:r>
                <a:rPr lang="en-US" altLang="zh-CN" sz="1800" b="0" i="0" kern="1200">
                  <a:solidFill>
                    <a:schemeClr val="tx1"/>
                  </a:solidFill>
                  <a:effectLst/>
                  <a:latin typeface="+mn-lt"/>
                  <a:ea typeface="+mn-ea"/>
                  <a:cs typeface="+mn-cs"/>
                </a:rPr>
                <a:t>0.85</a:t>
              </a:r>
              <a:r>
                <a:rPr lang="en-US" altLang="zh-CN" sz="1800" b="0" i="0" kern="1200">
                  <a:solidFill>
                    <a:schemeClr val="tx1"/>
                  </a:solidFill>
                  <a:effectLst/>
                  <a:latin typeface="Cambria Math" panose="02040503050406030204" pitchFamily="18" charset="0"/>
                  <a:ea typeface="+mn-ea"/>
                  <a:cs typeface="+mn-cs"/>
                </a:rPr>
                <a:t>9048</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𝑙&lt;1.003696@</a:t>
              </a:r>
              <a:r>
                <a:rPr lang="en-US" altLang="zh-CN" b="0" i="0">
                  <a:latin typeface="Cambria Math" panose="02040503050406030204" pitchFamily="18" charset="0"/>
                </a:rPr>
                <a:t>0.552194</a:t>
              </a:r>
              <a:r>
                <a:rPr lang="en-US" altLang="zh-CN" b="0" i="0">
                  <a:latin typeface="Cambria Math" panose="02040503050406030204" pitchFamily="18" charset="0"/>
                  <a:ea typeface="Cambria Math" panose="02040503050406030204" pitchFamily="18" charset="0"/>
                </a:rPr>
                <a:t>×〖(𝑙^(2.424242+0.975417/ln⁡〖(𝑙^4.329004+4)〗 ))〗^1.256310   ,1.003696</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𝑙&lt;1.179172@</a:t>
              </a:r>
              <a:r>
                <a:rPr lang="en-US" altLang="zh-CN" b="0" i="0">
                  <a:latin typeface="Cambria Math" panose="02040503050406030204" pitchFamily="18" charset="0"/>
                </a:rPr>
                <a:t>0.875315</a:t>
              </a:r>
              <a:r>
                <a:rPr lang="en-US" altLang="zh-CN" b="0" i="0">
                  <a:latin typeface="Cambria Math" panose="02040503050406030204" pitchFamily="18" charset="0"/>
                  <a:ea typeface="Cambria Math" panose="02040503050406030204" pitchFamily="18" charset="0"/>
                </a:rPr>
                <a:t>×〖(𝑙^(2.424242+0.975417/ln⁡〖(𝑙^4.329004+4)〗 ))〗^0.314077   ,1.179172</a:t>
              </a:r>
              <a:r>
                <a:rPr lang="zh-CN" altLang="en-US" i="0">
                  <a:latin typeface="Cambria Math" panose="02040503050406030204" pitchFamily="18" charset="0"/>
                </a:rPr>
                <a:t>≤</a:t>
              </a:r>
              <a:r>
                <a:rPr lang="en-US" altLang="zh-CN" b="0" i="0">
                  <a:latin typeface="Cambria Math" panose="02040503050406030204" pitchFamily="18" charset="0"/>
                  <a:ea typeface="Cambria Math" panose="02040503050406030204" pitchFamily="18" charset="0"/>
                </a:rPr>
                <a:t>𝑙&lt;2.456765@1.860000    , 𝑙≥2.456765)┤</a:t>
              </a:r>
              <a:endParaRPr lang="zh-CN" altLang="en-US"/>
            </a:p>
          </xdr:txBody>
        </xdr:sp>
      </mc:Fallback>
    </mc:AlternateContent>
    <xdr:clientData/>
  </xdr:twoCellAnchor>
  <xdr:twoCellAnchor editAs="oneCell">
    <xdr:from>
      <xdr:col>0</xdr:col>
      <xdr:colOff>0</xdr:colOff>
      <xdr:row>35</xdr:row>
      <xdr:rowOff>160020</xdr:rowOff>
    </xdr:from>
    <xdr:to>
      <xdr:col>12</xdr:col>
      <xdr:colOff>611371</xdr:colOff>
      <xdr:row>68</xdr:row>
      <xdr:rowOff>23508</xdr:rowOff>
    </xdr:to>
    <xdr:pic>
      <xdr:nvPicPr>
        <xdr:cNvPr id="3" name="图片 2">
          <a:extLst>
            <a:ext uri="{FF2B5EF4-FFF2-40B4-BE49-F238E27FC236}">
              <a16:creationId xmlns:a16="http://schemas.microsoft.com/office/drawing/2014/main" id="{5C69A6B5-322A-EE68-1D6D-D62E98CF233E}"/>
            </a:ext>
          </a:extLst>
        </xdr:cNvPr>
        <xdr:cNvPicPr>
          <a:picLocks noChangeAspect="1"/>
        </xdr:cNvPicPr>
      </xdr:nvPicPr>
      <xdr:blipFill>
        <a:blip xmlns:r="http://schemas.openxmlformats.org/officeDocument/2006/relationships" r:embed="rId1"/>
        <a:stretch>
          <a:fillRect/>
        </a:stretch>
      </xdr:blipFill>
      <xdr:spPr>
        <a:xfrm>
          <a:off x="0" y="6646545"/>
          <a:ext cx="9641071" cy="58356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9525</xdr:colOff>
      <xdr:row>40</xdr:row>
      <xdr:rowOff>0</xdr:rowOff>
    </xdr:from>
    <xdr:to>
      <xdr:col>16</xdr:col>
      <xdr:colOff>18284</xdr:colOff>
      <xdr:row>48</xdr:row>
      <xdr:rowOff>152200</xdr:rowOff>
    </xdr:to>
    <xdr:pic>
      <xdr:nvPicPr>
        <xdr:cNvPr id="2" name="图片 1">
          <a:extLst>
            <a:ext uri="{FF2B5EF4-FFF2-40B4-BE49-F238E27FC236}">
              <a16:creationId xmlns:a16="http://schemas.microsoft.com/office/drawing/2014/main" id="{7364DC69-D496-CF6B-9E7F-C9A2CA7D3F94}"/>
            </a:ext>
          </a:extLst>
        </xdr:cNvPr>
        <xdr:cNvPicPr>
          <a:picLocks noChangeAspect="1"/>
        </xdr:cNvPicPr>
      </xdr:nvPicPr>
      <xdr:blipFill>
        <a:blip xmlns:r="http://schemas.openxmlformats.org/officeDocument/2006/relationships" r:embed="rId1"/>
        <a:stretch>
          <a:fillRect/>
        </a:stretch>
      </xdr:blipFill>
      <xdr:spPr>
        <a:xfrm>
          <a:off x="6181725" y="7239000"/>
          <a:ext cx="6123809" cy="1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C35" sqref="C35"/>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596</v>
      </c>
      <c r="B22">
        <f>0.4*PI()</f>
        <v>1.2566370614359172</v>
      </c>
    </row>
    <row r="23" spans="1:2" x14ac:dyDescent="0.2">
      <c r="A23" t="s">
        <v>597</v>
      </c>
      <c r="B23">
        <f>4/3</f>
        <v>1.3333333333333333</v>
      </c>
    </row>
    <row r="24" spans="1:2" x14ac:dyDescent="0.2">
      <c r="A24" t="s">
        <v>659</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workbookViewId="0">
      <selection sqref="A1:XFD1048576"/>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36" t="s">
        <v>346</v>
      </c>
      <c r="B1" s="36"/>
      <c r="C1" s="36"/>
      <c r="D1" s="36"/>
      <c r="E1" s="36"/>
      <c r="F1" s="36"/>
      <c r="G1" s="36"/>
    </row>
    <row r="2" spans="1:11" x14ac:dyDescent="0.2">
      <c r="B2" s="36" t="s">
        <v>357</v>
      </c>
      <c r="C2" s="36"/>
      <c r="D2" s="36"/>
      <c r="E2" s="36"/>
      <c r="F2" s="36"/>
      <c r="G2" s="36"/>
      <c r="H2" s="36"/>
    </row>
    <row r="3" spans="1:11" x14ac:dyDescent="0.2">
      <c r="B3" s="36" t="s">
        <v>358</v>
      </c>
      <c r="C3" s="36"/>
      <c r="D3" s="36"/>
      <c r="E3" s="36"/>
      <c r="F3" s="36"/>
      <c r="G3" s="36"/>
      <c r="H3" s="36"/>
    </row>
    <row r="6" spans="1:11" x14ac:dyDescent="0.2">
      <c r="A6" t="s">
        <v>347</v>
      </c>
    </row>
    <row r="7" spans="1:11" x14ac:dyDescent="0.2">
      <c r="B7" s="36" t="s">
        <v>352</v>
      </c>
      <c r="C7" s="36"/>
      <c r="D7" s="36"/>
      <c r="E7" s="36"/>
      <c r="F7" s="36"/>
      <c r="G7" s="36"/>
      <c r="H7" s="36"/>
    </row>
    <row r="8" spans="1:11" x14ac:dyDescent="0.2">
      <c r="B8" s="36" t="s">
        <v>348</v>
      </c>
      <c r="C8" s="36"/>
      <c r="D8" s="36"/>
      <c r="E8" s="36"/>
      <c r="F8" s="36"/>
      <c r="G8" s="36"/>
      <c r="H8" s="36"/>
    </row>
    <row r="9" spans="1:11" x14ac:dyDescent="0.2">
      <c r="B9" s="36" t="s">
        <v>349</v>
      </c>
      <c r="C9" s="36"/>
      <c r="D9" s="36"/>
      <c r="E9" s="36"/>
      <c r="F9" s="36"/>
      <c r="G9" s="36"/>
      <c r="H9" s="36"/>
    </row>
    <row r="11" spans="1:11" x14ac:dyDescent="0.2">
      <c r="B11" s="36" t="s">
        <v>350</v>
      </c>
      <c r="C11" s="36"/>
      <c r="D11" s="36"/>
      <c r="E11" s="36"/>
      <c r="F11" s="36"/>
      <c r="G11" s="36"/>
      <c r="H11" s="36"/>
      <c r="I11" s="36"/>
      <c r="J11" s="36"/>
      <c r="K11" s="36"/>
    </row>
    <row r="12" spans="1:11" x14ac:dyDescent="0.2">
      <c r="C12" s="12" t="s">
        <v>351</v>
      </c>
    </row>
    <row r="13" spans="1:11" x14ac:dyDescent="0.2">
      <c r="B13" s="35" t="s">
        <v>353</v>
      </c>
      <c r="C13" s="35"/>
      <c r="D13" s="35"/>
      <c r="E13" s="35"/>
      <c r="F13" s="35"/>
      <c r="G13" s="35"/>
      <c r="H13" s="35"/>
    </row>
    <row r="17" spans="1:9" x14ac:dyDescent="0.2">
      <c r="A17" s="46" t="s">
        <v>354</v>
      </c>
      <c r="B17" s="46"/>
      <c r="C17" s="46"/>
      <c r="D17" s="46"/>
      <c r="E17" s="46"/>
      <c r="F17" s="46"/>
      <c r="G17" s="46"/>
      <c r="H17" s="46"/>
      <c r="I17" s="46"/>
    </row>
    <row r="18" spans="1:9" x14ac:dyDescent="0.2">
      <c r="A18" s="46"/>
      <c r="B18" s="46"/>
      <c r="C18" s="46"/>
      <c r="D18" s="46"/>
      <c r="E18" s="46"/>
      <c r="F18" s="46"/>
      <c r="G18" s="46"/>
      <c r="H18" s="46"/>
      <c r="I18" s="46"/>
    </row>
    <row r="19" spans="1:9" x14ac:dyDescent="0.2">
      <c r="B19" t="s">
        <v>356</v>
      </c>
      <c r="C19" s="35" t="s">
        <v>359</v>
      </c>
      <c r="D19" s="35"/>
      <c r="E19" s="35" t="s">
        <v>360</v>
      </c>
      <c r="F19" s="35"/>
    </row>
    <row r="20" spans="1:9" x14ac:dyDescent="0.2">
      <c r="A20" t="s">
        <v>355</v>
      </c>
      <c r="B20">
        <v>3.4</v>
      </c>
      <c r="C20" s="38">
        <v>0.87</v>
      </c>
      <c r="D20" s="38"/>
      <c r="E20" s="38">
        <v>0.46</v>
      </c>
      <c r="F20" s="38"/>
    </row>
    <row r="22" spans="1:9" x14ac:dyDescent="0.2">
      <c r="B22" t="s">
        <v>362</v>
      </c>
      <c r="C22" t="s">
        <v>137</v>
      </c>
      <c r="D22" t="s">
        <v>363</v>
      </c>
    </row>
    <row r="23" spans="1:9" x14ac:dyDescent="0.2">
      <c r="A23" t="s">
        <v>361</v>
      </c>
      <c r="B23">
        <v>9</v>
      </c>
      <c r="C23">
        <v>9</v>
      </c>
      <c r="D23">
        <v>4.8</v>
      </c>
    </row>
    <row r="26" spans="1:9" x14ac:dyDescent="0.2">
      <c r="A26" t="s">
        <v>372</v>
      </c>
      <c r="B26" s="35" t="s">
        <v>369</v>
      </c>
      <c r="C26" s="35"/>
      <c r="D26" s="35" t="s">
        <v>371</v>
      </c>
      <c r="E26" s="35"/>
      <c r="F26" t="s">
        <v>465</v>
      </c>
    </row>
    <row r="27" spans="1:9" x14ac:dyDescent="0.2">
      <c r="A27" t="s">
        <v>365</v>
      </c>
      <c r="B27" s="38">
        <f xml:space="preserve"> C20 * ( 8 * B20 - 30/(C20*B23+E20*C23))</f>
        <v>21.48354887218045</v>
      </c>
      <c r="C27" s="38"/>
      <c r="D27" s="38">
        <f xml:space="preserve"> E20 * ( 8 * B20 - 30/(C20*B23+E20*C23))</f>
        <v>11.359117794486215</v>
      </c>
      <c r="E27" s="38"/>
      <c r="G27">
        <f>40*B27</f>
        <v>859.34195488721798</v>
      </c>
      <c r="H27">
        <f>40*D27</f>
        <v>454.36471177944861</v>
      </c>
    </row>
    <row r="28" spans="1:9" x14ac:dyDescent="0.2">
      <c r="A28" t="s">
        <v>367</v>
      </c>
      <c r="B28" s="38">
        <f xml:space="preserve"> C20 * ( 8 * B20 - 30/(C20*B23+E20*D23))</f>
        <v>21.063880454273761</v>
      </c>
      <c r="C28" s="38"/>
      <c r="D28" s="38">
        <f xml:space="preserve"> E20 * ( 8 * B20 - 30/(C20*B23+E20*D23))</f>
        <v>11.137224148236701</v>
      </c>
      <c r="E28" s="38"/>
      <c r="G28">
        <f>40*B28</f>
        <v>842.55521817095041</v>
      </c>
      <c r="H28">
        <f>40*D28</f>
        <v>445.48896592946801</v>
      </c>
    </row>
    <row r="31" spans="1:9" x14ac:dyDescent="0.2">
      <c r="A31" t="s">
        <v>373</v>
      </c>
      <c r="B31" s="35" t="s">
        <v>368</v>
      </c>
      <c r="C31" s="35"/>
      <c r="D31" s="35" t="s">
        <v>370</v>
      </c>
      <c r="E31" s="35"/>
    </row>
    <row r="32" spans="1:9" x14ac:dyDescent="0.2">
      <c r="A32" t="s">
        <v>364</v>
      </c>
      <c r="B32" s="38">
        <f>60*B27</f>
        <v>1289.012932330827</v>
      </c>
      <c r="C32" s="38"/>
      <c r="D32" s="38">
        <f>60*D27</f>
        <v>681.54706766917286</v>
      </c>
      <c r="E32" s="38"/>
      <c r="G32">
        <f>40*B32</f>
        <v>51560.517293233075</v>
      </c>
      <c r="H32">
        <f>40*D32</f>
        <v>27261.882706766915</v>
      </c>
    </row>
    <row r="33" spans="1:8" x14ac:dyDescent="0.2">
      <c r="A33" t="s">
        <v>366</v>
      </c>
      <c r="B33" s="38">
        <f>60*B28</f>
        <v>1263.8328272564256</v>
      </c>
      <c r="C33" s="38"/>
      <c r="D33" s="38">
        <f>60*D28</f>
        <v>668.23344889420207</v>
      </c>
      <c r="E33" s="38"/>
      <c r="G33">
        <f>40*B33</f>
        <v>50553.313090257026</v>
      </c>
      <c r="H33">
        <f>40*D33</f>
        <v>26729.337955768082</v>
      </c>
    </row>
  </sheetData>
  <mergeCells count="25">
    <mergeCell ref="D26:E26"/>
    <mergeCell ref="B32:C32"/>
    <mergeCell ref="D32:E32"/>
    <mergeCell ref="B33:C33"/>
    <mergeCell ref="D33:E33"/>
    <mergeCell ref="D28:E28"/>
    <mergeCell ref="B28:C28"/>
    <mergeCell ref="B31:C31"/>
    <mergeCell ref="D31:E31"/>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5"/>
  <sheetViews>
    <sheetView workbookViewId="0">
      <selection activeCell="O31" sqref="O31"/>
    </sheetView>
  </sheetViews>
  <sheetFormatPr defaultRowHeight="14.25" x14ac:dyDescent="0.2"/>
  <sheetData>
    <row r="1" spans="1:14" x14ac:dyDescent="0.2">
      <c r="B1" t="s">
        <v>375</v>
      </c>
      <c r="C1" t="s">
        <v>376</v>
      </c>
      <c r="D1" t="s">
        <v>385</v>
      </c>
    </row>
    <row r="2" spans="1:14" x14ac:dyDescent="0.2">
      <c r="A2" t="s">
        <v>377</v>
      </c>
      <c r="B2">
        <v>0.52</v>
      </c>
      <c r="C2">
        <v>0.23300000000000001</v>
      </c>
      <c r="D2">
        <f>B2-C2</f>
        <v>0.28700000000000003</v>
      </c>
    </row>
    <row r="3" spans="1:14" x14ac:dyDescent="0.2">
      <c r="A3" t="s">
        <v>378</v>
      </c>
      <c r="B3">
        <v>1E-3</v>
      </c>
      <c r="C3">
        <v>1E-3</v>
      </c>
      <c r="D3">
        <f t="shared" ref="D3:D10" si="0">B3-C3</f>
        <v>0</v>
      </c>
    </row>
    <row r="4" spans="1:14" x14ac:dyDescent="0.2">
      <c r="A4" t="s">
        <v>379</v>
      </c>
      <c r="B4">
        <v>0.76400000000000001</v>
      </c>
      <c r="C4">
        <v>0.501</v>
      </c>
      <c r="D4">
        <f t="shared" si="0"/>
        <v>0.26300000000000001</v>
      </c>
    </row>
    <row r="5" spans="1:14" x14ac:dyDescent="0.2">
      <c r="A5" t="s">
        <v>380</v>
      </c>
      <c r="B5">
        <v>0.17799999999999999</v>
      </c>
      <c r="C5">
        <v>0.251</v>
      </c>
      <c r="D5">
        <f t="shared" si="0"/>
        <v>-7.3000000000000009E-2</v>
      </c>
    </row>
    <row r="6" spans="1:14" x14ac:dyDescent="0.2">
      <c r="A6" t="s">
        <v>381</v>
      </c>
      <c r="B6">
        <v>0.47099999999999997</v>
      </c>
      <c r="C6">
        <v>0.61899999999999999</v>
      </c>
      <c r="D6">
        <f t="shared" si="0"/>
        <v>-0.14800000000000002</v>
      </c>
    </row>
    <row r="7" spans="1:14" x14ac:dyDescent="0.2">
      <c r="A7" t="s">
        <v>382</v>
      </c>
      <c r="B7">
        <v>0.64</v>
      </c>
      <c r="C7">
        <v>0.54500000000000004</v>
      </c>
      <c r="D7">
        <f t="shared" si="0"/>
        <v>9.4999999999999973E-2</v>
      </c>
    </row>
    <row r="8" spans="1:14" x14ac:dyDescent="0.2">
      <c r="A8" t="s">
        <v>383</v>
      </c>
      <c r="B8">
        <v>2.1999999999999999E-2</v>
      </c>
      <c r="C8">
        <v>4.8000000000000001E-2</v>
      </c>
      <c r="D8">
        <f t="shared" si="0"/>
        <v>-2.6000000000000002E-2</v>
      </c>
    </row>
    <row r="9" spans="1:14" x14ac:dyDescent="0.2">
      <c r="A9" t="s">
        <v>384</v>
      </c>
      <c r="B9">
        <v>0.161</v>
      </c>
      <c r="C9">
        <v>0.21</v>
      </c>
      <c r="D9">
        <f t="shared" si="0"/>
        <v>-4.8999999999999988E-2</v>
      </c>
    </row>
    <row r="10" spans="1:14" x14ac:dyDescent="0.2">
      <c r="A10" t="s">
        <v>386</v>
      </c>
      <c r="B10">
        <f>SUM(B2:B9)</f>
        <v>2.7570000000000001</v>
      </c>
      <c r="C10">
        <f>SUM(C2:C9)</f>
        <v>2.4079999999999999</v>
      </c>
      <c r="D10">
        <f t="shared" si="0"/>
        <v>0.3490000000000002</v>
      </c>
    </row>
    <row r="12" spans="1:14" x14ac:dyDescent="0.2">
      <c r="A12" s="35" t="s">
        <v>387</v>
      </c>
      <c r="B12" s="35"/>
      <c r="C12" s="35"/>
      <c r="D12" s="35"/>
      <c r="E12" s="35"/>
      <c r="F12" s="35"/>
      <c r="G12" s="35"/>
    </row>
    <row r="13" spans="1:14" ht="14.25" customHeight="1" x14ac:dyDescent="0.2">
      <c r="B13" s="47" t="s">
        <v>388</v>
      </c>
      <c r="C13" s="47"/>
      <c r="D13" s="47"/>
      <c r="E13" s="47"/>
      <c r="F13" s="47"/>
      <c r="G13" s="47"/>
      <c r="H13" s="47"/>
      <c r="I13" s="47"/>
      <c r="J13" s="47"/>
      <c r="K13" s="47"/>
      <c r="L13" s="47"/>
      <c r="M13" s="47"/>
      <c r="N13" s="47"/>
    </row>
    <row r="14" spans="1:14" x14ac:dyDescent="0.2">
      <c r="B14" s="47"/>
      <c r="C14" s="47"/>
      <c r="D14" s="47"/>
      <c r="E14" s="47"/>
      <c r="F14" s="47"/>
      <c r="G14" s="47"/>
      <c r="H14" s="47"/>
      <c r="I14" s="47"/>
      <c r="J14" s="47"/>
      <c r="K14" s="47"/>
      <c r="L14" s="47"/>
      <c r="M14" s="47"/>
      <c r="N14" s="47"/>
    </row>
    <row r="15" spans="1:14" x14ac:dyDescent="0.2">
      <c r="B15" s="47"/>
      <c r="C15" s="47"/>
      <c r="D15" s="47"/>
      <c r="E15" s="47"/>
      <c r="F15" s="47"/>
      <c r="G15" s="47"/>
      <c r="H15" s="47"/>
      <c r="I15" s="47"/>
      <c r="J15" s="47"/>
      <c r="K15" s="47"/>
      <c r="L15" s="47"/>
      <c r="M15" s="47"/>
      <c r="N15" s="47"/>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83"/>
  <sheetViews>
    <sheetView topLeftCell="A52" workbookViewId="0">
      <selection activeCell="A52" sqref="A1:XFD1048576"/>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568</v>
      </c>
      <c r="B1" t="s">
        <v>432</v>
      </c>
      <c r="C1" t="s">
        <v>36</v>
      </c>
      <c r="D1" t="s">
        <v>38</v>
      </c>
      <c r="E1" t="s">
        <v>50</v>
      </c>
      <c r="F1" t="s">
        <v>63</v>
      </c>
      <c r="G1" t="s">
        <v>65</v>
      </c>
      <c r="H1" t="s">
        <v>390</v>
      </c>
      <c r="I1" t="s">
        <v>391</v>
      </c>
      <c r="J1" t="s">
        <v>392</v>
      </c>
      <c r="K1" t="s">
        <v>393</v>
      </c>
      <c r="L1" t="s">
        <v>394</v>
      </c>
      <c r="M1" t="s">
        <v>395</v>
      </c>
      <c r="N1" t="s">
        <v>396</v>
      </c>
      <c r="O1" t="s">
        <v>569</v>
      </c>
    </row>
    <row r="2" spans="1:17" x14ac:dyDescent="0.2">
      <c r="A2" t="s">
        <v>389</v>
      </c>
      <c r="E2">
        <v>10</v>
      </c>
    </row>
    <row r="3" spans="1:17" x14ac:dyDescent="0.2">
      <c r="A3" t="s">
        <v>80</v>
      </c>
      <c r="E3">
        <v>10</v>
      </c>
      <c r="G3">
        <v>10</v>
      </c>
      <c r="O3" t="s">
        <v>389</v>
      </c>
    </row>
    <row r="4" spans="1:17" x14ac:dyDescent="0.2">
      <c r="A4" t="s">
        <v>403</v>
      </c>
      <c r="I4">
        <v>200</v>
      </c>
      <c r="O4" t="s">
        <v>80</v>
      </c>
    </row>
    <row r="5" spans="1:17" x14ac:dyDescent="0.2">
      <c r="A5" t="s">
        <v>404</v>
      </c>
      <c r="I5">
        <v>200</v>
      </c>
      <c r="J5">
        <v>200</v>
      </c>
      <c r="O5" t="s">
        <v>403</v>
      </c>
      <c r="P5" t="s">
        <v>411</v>
      </c>
      <c r="Q5" t="s">
        <v>397</v>
      </c>
    </row>
    <row r="6" spans="1:17" x14ac:dyDescent="0.2">
      <c r="A6" t="s">
        <v>405</v>
      </c>
      <c r="I6">
        <v>300</v>
      </c>
      <c r="J6">
        <v>300</v>
      </c>
      <c r="O6" t="s">
        <v>404</v>
      </c>
      <c r="P6" t="s">
        <v>413</v>
      </c>
    </row>
    <row r="7" spans="1:17" x14ac:dyDescent="0.2">
      <c r="A7" t="s">
        <v>123</v>
      </c>
      <c r="I7">
        <v>600</v>
      </c>
      <c r="J7">
        <v>600</v>
      </c>
      <c r="O7" t="s">
        <v>405</v>
      </c>
    </row>
    <row r="8" spans="1:17" x14ac:dyDescent="0.2">
      <c r="A8" t="s">
        <v>406</v>
      </c>
      <c r="I8">
        <v>2000</v>
      </c>
      <c r="J8">
        <v>2000</v>
      </c>
      <c r="K8">
        <v>2000</v>
      </c>
      <c r="M8">
        <v>2000</v>
      </c>
      <c r="O8" t="s">
        <v>123</v>
      </c>
      <c r="P8" t="s">
        <v>415</v>
      </c>
      <c r="Q8" t="s">
        <v>84</v>
      </c>
    </row>
    <row r="9" spans="1:17" x14ac:dyDescent="0.2">
      <c r="A9" t="s">
        <v>407</v>
      </c>
      <c r="I9">
        <v>3000</v>
      </c>
      <c r="J9">
        <v>3000</v>
      </c>
      <c r="K9">
        <v>750</v>
      </c>
      <c r="L9">
        <v>750</v>
      </c>
      <c r="M9">
        <v>1500</v>
      </c>
      <c r="O9" t="s">
        <v>406</v>
      </c>
    </row>
    <row r="10" spans="1:17" x14ac:dyDescent="0.2">
      <c r="A10" t="s">
        <v>85</v>
      </c>
      <c r="I10">
        <v>2000</v>
      </c>
      <c r="J10">
        <v>2000</v>
      </c>
      <c r="K10">
        <v>2000</v>
      </c>
      <c r="L10">
        <v>2000</v>
      </c>
      <c r="M10">
        <v>2000</v>
      </c>
      <c r="O10" t="s">
        <v>407</v>
      </c>
    </row>
    <row r="11" spans="1:17" x14ac:dyDescent="0.2">
      <c r="A11" t="s">
        <v>426</v>
      </c>
      <c r="I11">
        <v>120</v>
      </c>
      <c r="O11" t="s">
        <v>401</v>
      </c>
    </row>
    <row r="12" spans="1:17" x14ac:dyDescent="0.2">
      <c r="A12" t="s">
        <v>427</v>
      </c>
      <c r="I12">
        <v>200</v>
      </c>
      <c r="J12">
        <v>200</v>
      </c>
      <c r="O12" t="s">
        <v>426</v>
      </c>
    </row>
    <row r="13" spans="1:17" x14ac:dyDescent="0.2">
      <c r="A13" t="s">
        <v>397</v>
      </c>
      <c r="F13">
        <v>10</v>
      </c>
      <c r="G13">
        <v>10</v>
      </c>
      <c r="O13" t="s">
        <v>389</v>
      </c>
    </row>
    <row r="14" spans="1:17" x14ac:dyDescent="0.2">
      <c r="A14" t="s">
        <v>408</v>
      </c>
      <c r="I14">
        <v>200</v>
      </c>
      <c r="O14" t="s">
        <v>397</v>
      </c>
    </row>
    <row r="15" spans="1:17" x14ac:dyDescent="0.2">
      <c r="A15" t="s">
        <v>72</v>
      </c>
      <c r="I15">
        <v>800</v>
      </c>
      <c r="O15" t="s">
        <v>408</v>
      </c>
    </row>
    <row r="16" spans="1:17" x14ac:dyDescent="0.2">
      <c r="A16" t="s">
        <v>428</v>
      </c>
      <c r="C16">
        <v>20</v>
      </c>
      <c r="D16">
        <v>20</v>
      </c>
    </row>
    <row r="17" spans="1:16" x14ac:dyDescent="0.2">
      <c r="A17" t="s">
        <v>429</v>
      </c>
      <c r="I17">
        <v>100</v>
      </c>
      <c r="J17">
        <v>100</v>
      </c>
      <c r="O17" t="s">
        <v>428</v>
      </c>
    </row>
    <row r="18" spans="1:16" x14ac:dyDescent="0.2">
      <c r="A18" t="s">
        <v>430</v>
      </c>
      <c r="B18">
        <v>150</v>
      </c>
      <c r="E18">
        <v>60</v>
      </c>
      <c r="O18" t="s">
        <v>428</v>
      </c>
    </row>
    <row r="19" spans="1:16" x14ac:dyDescent="0.2">
      <c r="A19" t="s">
        <v>431</v>
      </c>
      <c r="I19">
        <v>200</v>
      </c>
      <c r="J19">
        <v>200</v>
      </c>
      <c r="O19" t="s">
        <v>430</v>
      </c>
      <c r="P19" t="s">
        <v>429</v>
      </c>
    </row>
    <row r="20" spans="1:16" x14ac:dyDescent="0.2">
      <c r="A20" t="s">
        <v>398</v>
      </c>
      <c r="I20">
        <v>50</v>
      </c>
      <c r="O20" t="s">
        <v>389</v>
      </c>
    </row>
    <row r="21" spans="1:16" x14ac:dyDescent="0.2">
      <c r="A21" t="s">
        <v>399</v>
      </c>
      <c r="I21">
        <v>50</v>
      </c>
      <c r="O21" t="s">
        <v>389</v>
      </c>
    </row>
    <row r="22" spans="1:16" x14ac:dyDescent="0.2">
      <c r="A22" t="s">
        <v>409</v>
      </c>
      <c r="I22">
        <v>100</v>
      </c>
      <c r="O22" t="s">
        <v>398</v>
      </c>
      <c r="P22" t="s">
        <v>399</v>
      </c>
    </row>
    <row r="23" spans="1:16" x14ac:dyDescent="0.2">
      <c r="A23" t="s">
        <v>81</v>
      </c>
      <c r="I23">
        <v>200</v>
      </c>
      <c r="O23" t="s">
        <v>409</v>
      </c>
    </row>
    <row r="24" spans="1:16" x14ac:dyDescent="0.2">
      <c r="A24" t="s">
        <v>410</v>
      </c>
      <c r="I24">
        <v>200</v>
      </c>
      <c r="O24" t="s">
        <v>409</v>
      </c>
    </row>
    <row r="25" spans="1:16" x14ac:dyDescent="0.2">
      <c r="A25" t="s">
        <v>418</v>
      </c>
      <c r="I25">
        <v>400</v>
      </c>
      <c r="J25">
        <v>400</v>
      </c>
      <c r="O25" t="s">
        <v>410</v>
      </c>
    </row>
    <row r="26" spans="1:16" x14ac:dyDescent="0.2">
      <c r="A26" t="s">
        <v>419</v>
      </c>
      <c r="I26">
        <v>600</v>
      </c>
      <c r="J26">
        <v>600</v>
      </c>
      <c r="O26" t="s">
        <v>418</v>
      </c>
    </row>
    <row r="27" spans="1:16" x14ac:dyDescent="0.2">
      <c r="A27" t="s">
        <v>82</v>
      </c>
      <c r="I27">
        <v>800</v>
      </c>
      <c r="J27">
        <v>800</v>
      </c>
      <c r="O27" t="s">
        <v>412</v>
      </c>
    </row>
    <row r="28" spans="1:16" x14ac:dyDescent="0.2">
      <c r="A28" t="s">
        <v>417</v>
      </c>
      <c r="I28">
        <v>800</v>
      </c>
      <c r="J28">
        <v>800</v>
      </c>
      <c r="K28">
        <v>800</v>
      </c>
      <c r="O28" t="s">
        <v>82</v>
      </c>
    </row>
    <row r="29" spans="1:16" x14ac:dyDescent="0.2">
      <c r="A29" t="s">
        <v>62</v>
      </c>
      <c r="I29">
        <v>1000</v>
      </c>
      <c r="J29">
        <v>1000</v>
      </c>
      <c r="K29">
        <v>1000</v>
      </c>
      <c r="O29" t="s">
        <v>417</v>
      </c>
    </row>
    <row r="30" spans="1:16" x14ac:dyDescent="0.2">
      <c r="A30" t="s">
        <v>415</v>
      </c>
      <c r="I30">
        <v>1200</v>
      </c>
      <c r="J30">
        <v>1200</v>
      </c>
      <c r="K30">
        <v>1200</v>
      </c>
      <c r="O30" t="s">
        <v>62</v>
      </c>
      <c r="P30" t="s">
        <v>416</v>
      </c>
    </row>
    <row r="31" spans="1:16" x14ac:dyDescent="0.2">
      <c r="A31" t="s">
        <v>174</v>
      </c>
      <c r="I31">
        <v>800</v>
      </c>
      <c r="J31">
        <v>800</v>
      </c>
      <c r="K31">
        <v>800</v>
      </c>
      <c r="O31" t="s">
        <v>82</v>
      </c>
    </row>
    <row r="32" spans="1:16" x14ac:dyDescent="0.2">
      <c r="A32" t="s">
        <v>420</v>
      </c>
      <c r="I32">
        <v>400</v>
      </c>
      <c r="O32" t="s">
        <v>410</v>
      </c>
    </row>
    <row r="33" spans="1:17" x14ac:dyDescent="0.2">
      <c r="A33" t="s">
        <v>421</v>
      </c>
      <c r="J33">
        <v>600</v>
      </c>
      <c r="K33">
        <v>150</v>
      </c>
      <c r="O33" t="s">
        <v>420</v>
      </c>
    </row>
    <row r="34" spans="1:17" x14ac:dyDescent="0.2">
      <c r="A34" t="s">
        <v>422</v>
      </c>
      <c r="J34">
        <v>800</v>
      </c>
      <c r="K34">
        <v>400</v>
      </c>
      <c r="O34" t="s">
        <v>421</v>
      </c>
      <c r="Q34" t="s">
        <v>83</v>
      </c>
    </row>
    <row r="35" spans="1:17" x14ac:dyDescent="0.2">
      <c r="A35" t="s">
        <v>424</v>
      </c>
      <c r="I35">
        <v>800</v>
      </c>
      <c r="J35">
        <v>800</v>
      </c>
      <c r="K35">
        <v>200</v>
      </c>
      <c r="O35" t="s">
        <v>421</v>
      </c>
    </row>
    <row r="36" spans="1:17" x14ac:dyDescent="0.2">
      <c r="A36" t="s">
        <v>83</v>
      </c>
      <c r="I36">
        <v>800</v>
      </c>
      <c r="J36">
        <v>800</v>
      </c>
      <c r="O36" t="s">
        <v>424</v>
      </c>
      <c r="P36" t="s">
        <v>72</v>
      </c>
    </row>
    <row r="37" spans="1:17" x14ac:dyDescent="0.2">
      <c r="A37" t="s">
        <v>423</v>
      </c>
      <c r="I37">
        <v>1200</v>
      </c>
      <c r="J37">
        <v>200</v>
      </c>
      <c r="L37">
        <v>200</v>
      </c>
      <c r="O37" t="s">
        <v>422</v>
      </c>
      <c r="P37" t="s">
        <v>174</v>
      </c>
    </row>
    <row r="38" spans="1:17" x14ac:dyDescent="0.2">
      <c r="A38" t="s">
        <v>78</v>
      </c>
      <c r="I38">
        <v>800</v>
      </c>
      <c r="J38">
        <v>800</v>
      </c>
      <c r="L38">
        <v>800</v>
      </c>
      <c r="O38" t="s">
        <v>423</v>
      </c>
      <c r="P38" t="s">
        <v>83</v>
      </c>
    </row>
    <row r="39" spans="1:17" x14ac:dyDescent="0.2">
      <c r="A39" t="s">
        <v>84</v>
      </c>
      <c r="I39">
        <v>1600</v>
      </c>
      <c r="J39">
        <v>1600</v>
      </c>
      <c r="K39">
        <v>1600</v>
      </c>
      <c r="O39" t="s">
        <v>78</v>
      </c>
    </row>
    <row r="40" spans="1:17" x14ac:dyDescent="0.2">
      <c r="A40" t="s">
        <v>400</v>
      </c>
      <c r="I40">
        <v>50</v>
      </c>
      <c r="O40" t="s">
        <v>389</v>
      </c>
    </row>
    <row r="41" spans="1:17" x14ac:dyDescent="0.2">
      <c r="A41" t="s">
        <v>414</v>
      </c>
      <c r="I41">
        <v>400</v>
      </c>
      <c r="J41">
        <v>100</v>
      </c>
      <c r="O41" t="s">
        <v>400</v>
      </c>
    </row>
    <row r="42" spans="1:17" x14ac:dyDescent="0.2">
      <c r="A42" t="s">
        <v>413</v>
      </c>
      <c r="I42">
        <v>1000</v>
      </c>
      <c r="J42">
        <v>250</v>
      </c>
      <c r="O42" t="s">
        <v>414</v>
      </c>
    </row>
    <row r="43" spans="1:17" x14ac:dyDescent="0.2">
      <c r="A43" t="s">
        <v>416</v>
      </c>
      <c r="I43">
        <v>1600</v>
      </c>
      <c r="J43">
        <v>800</v>
      </c>
      <c r="O43" t="s">
        <v>414</v>
      </c>
    </row>
    <row r="44" spans="1:17" x14ac:dyDescent="0.2">
      <c r="A44" t="s">
        <v>401</v>
      </c>
      <c r="E44">
        <v>10</v>
      </c>
      <c r="G44">
        <v>10</v>
      </c>
      <c r="O44" t="s">
        <v>389</v>
      </c>
    </row>
    <row r="45" spans="1:17" x14ac:dyDescent="0.2">
      <c r="A45" t="s">
        <v>411</v>
      </c>
      <c r="I45">
        <v>100</v>
      </c>
      <c r="O45" t="s">
        <v>401</v>
      </c>
    </row>
    <row r="46" spans="1:17" x14ac:dyDescent="0.2">
      <c r="A46" t="s">
        <v>412</v>
      </c>
      <c r="I46">
        <v>500</v>
      </c>
      <c r="J46">
        <v>500</v>
      </c>
      <c r="O46" t="s">
        <v>411</v>
      </c>
    </row>
    <row r="47" spans="1:17" x14ac:dyDescent="0.2">
      <c r="A47" t="s">
        <v>425</v>
      </c>
      <c r="N47">
        <v>4000</v>
      </c>
      <c r="O47" t="s">
        <v>85</v>
      </c>
    </row>
    <row r="48" spans="1:17" x14ac:dyDescent="0.2">
      <c r="A48" t="s">
        <v>436</v>
      </c>
      <c r="I48">
        <v>800</v>
      </c>
      <c r="J48">
        <v>800</v>
      </c>
      <c r="K48">
        <v>80</v>
      </c>
      <c r="O48" t="s">
        <v>427</v>
      </c>
    </row>
    <row r="50" spans="1:16" x14ac:dyDescent="0.2">
      <c r="A50" t="s">
        <v>438</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432</v>
      </c>
      <c r="C51" t="s">
        <v>36</v>
      </c>
      <c r="D51" t="s">
        <v>38</v>
      </c>
      <c r="E51" t="s">
        <v>50</v>
      </c>
      <c r="F51" t="s">
        <v>63</v>
      </c>
      <c r="G51" t="s">
        <v>65</v>
      </c>
      <c r="H51" t="s">
        <v>390</v>
      </c>
      <c r="I51" t="s">
        <v>391</v>
      </c>
      <c r="J51" t="s">
        <v>392</v>
      </c>
      <c r="K51" t="s">
        <v>393</v>
      </c>
      <c r="L51" t="s">
        <v>394</v>
      </c>
      <c r="M51" t="s">
        <v>395</v>
      </c>
      <c r="N51" t="s">
        <v>396</v>
      </c>
    </row>
    <row r="54" spans="1:16" x14ac:dyDescent="0.2">
      <c r="A54" s="35" t="s">
        <v>460</v>
      </c>
      <c r="B54" s="35"/>
      <c r="C54" s="35"/>
      <c r="D54" s="35"/>
      <c r="E54" s="35"/>
      <c r="F54" s="35"/>
      <c r="G54" s="35"/>
      <c r="H54" s="35"/>
      <c r="I54" s="35"/>
      <c r="J54" s="35"/>
      <c r="K54" s="35"/>
      <c r="L54" s="35"/>
      <c r="M54" s="35"/>
      <c r="N54" s="35"/>
      <c r="O54" s="35"/>
      <c r="P54" s="35"/>
    </row>
    <row r="55" spans="1:16" x14ac:dyDescent="0.2">
      <c r="A55" s="35"/>
      <c r="B55" s="35"/>
      <c r="C55" s="35"/>
      <c r="D55" s="35"/>
      <c r="E55" s="35"/>
      <c r="F55" s="35"/>
      <c r="G55" s="35"/>
      <c r="H55" s="35"/>
      <c r="I55" s="35"/>
      <c r="J55" s="35"/>
      <c r="K55" s="35"/>
      <c r="L55" s="35"/>
      <c r="M55" s="35"/>
      <c r="N55" s="35"/>
      <c r="O55" s="35"/>
      <c r="P55" s="35"/>
    </row>
    <row r="56" spans="1:16" x14ac:dyDescent="0.2">
      <c r="A56" t="s">
        <v>402</v>
      </c>
      <c r="F56">
        <v>10</v>
      </c>
      <c r="G56">
        <v>10</v>
      </c>
      <c r="O56" t="s">
        <v>389</v>
      </c>
    </row>
    <row r="57" spans="1:16" x14ac:dyDescent="0.2">
      <c r="A57" t="s">
        <v>433</v>
      </c>
      <c r="G57">
        <v>100</v>
      </c>
      <c r="O57" t="s">
        <v>389</v>
      </c>
    </row>
    <row r="58" spans="1:16" x14ac:dyDescent="0.2">
      <c r="A58" t="s">
        <v>46</v>
      </c>
      <c r="I58">
        <v>200</v>
      </c>
      <c r="O58" t="s">
        <v>398</v>
      </c>
    </row>
    <row r="59" spans="1:16" x14ac:dyDescent="0.2">
      <c r="A59" t="s">
        <v>47</v>
      </c>
      <c r="I59">
        <v>800</v>
      </c>
      <c r="J59">
        <v>600</v>
      </c>
      <c r="O59" t="s">
        <v>46</v>
      </c>
      <c r="P59" t="s">
        <v>412</v>
      </c>
    </row>
    <row r="60" spans="1:16" x14ac:dyDescent="0.2">
      <c r="A60" t="s">
        <v>48</v>
      </c>
      <c r="I60">
        <v>800</v>
      </c>
      <c r="J60">
        <v>600</v>
      </c>
      <c r="K60">
        <v>400</v>
      </c>
      <c r="O60" t="s">
        <v>47</v>
      </c>
      <c r="P60" t="s">
        <v>421</v>
      </c>
    </row>
    <row r="61" spans="1:16" s="13" customFormat="1" x14ac:dyDescent="0.2">
      <c r="A61" t="s">
        <v>434</v>
      </c>
      <c r="B61"/>
      <c r="C61"/>
      <c r="D61"/>
      <c r="E61"/>
      <c r="F61"/>
      <c r="G61"/>
      <c r="H61"/>
      <c r="I61">
        <v>30</v>
      </c>
      <c r="J61"/>
      <c r="K61"/>
      <c r="L61"/>
      <c r="M61"/>
      <c r="N61"/>
      <c r="O61" t="s">
        <v>397</v>
      </c>
      <c r="P61"/>
    </row>
    <row r="62" spans="1:16" x14ac:dyDescent="0.2">
      <c r="A62" t="s">
        <v>435</v>
      </c>
      <c r="I62">
        <v>200</v>
      </c>
      <c r="J62">
        <v>300</v>
      </c>
      <c r="O62" t="s">
        <v>434</v>
      </c>
      <c r="P62" t="s">
        <v>398</v>
      </c>
    </row>
    <row r="63" spans="1:16" x14ac:dyDescent="0.2">
      <c r="A63" s="13" t="s">
        <v>437</v>
      </c>
      <c r="B63" s="13"/>
      <c r="C63" s="13"/>
      <c r="D63" s="13"/>
      <c r="E63" s="13"/>
      <c r="F63" s="13"/>
      <c r="G63" s="13"/>
      <c r="H63" s="13"/>
      <c r="I63" s="13">
        <v>1000</v>
      </c>
      <c r="J63" s="13">
        <v>500</v>
      </c>
      <c r="K63" s="13">
        <v>250</v>
      </c>
      <c r="L63" s="13"/>
      <c r="M63" s="13"/>
      <c r="N63" s="13"/>
      <c r="O63" s="13" t="s">
        <v>435</v>
      </c>
      <c r="P63" s="13" t="s">
        <v>436</v>
      </c>
    </row>
    <row r="64" spans="1:16" x14ac:dyDescent="0.2">
      <c r="A64" t="s">
        <v>439</v>
      </c>
      <c r="I64">
        <v>100</v>
      </c>
      <c r="O64" t="s">
        <v>402</v>
      </c>
    </row>
    <row r="65" spans="1:16" x14ac:dyDescent="0.2">
      <c r="A65" t="s">
        <v>440</v>
      </c>
      <c r="I65">
        <v>400</v>
      </c>
      <c r="J65">
        <v>100</v>
      </c>
      <c r="O65" t="s">
        <v>439</v>
      </c>
    </row>
    <row r="66" spans="1:16" x14ac:dyDescent="0.2">
      <c r="A66" t="s">
        <v>441</v>
      </c>
      <c r="J66">
        <v>400</v>
      </c>
      <c r="O66" t="s">
        <v>81</v>
      </c>
    </row>
    <row r="67" spans="1:16" x14ac:dyDescent="0.2">
      <c r="A67" t="s">
        <v>60</v>
      </c>
      <c r="J67">
        <v>1000</v>
      </c>
      <c r="O67" t="s">
        <v>441</v>
      </c>
    </row>
    <row r="68" spans="1:16" x14ac:dyDescent="0.2">
      <c r="A68" t="s">
        <v>444</v>
      </c>
      <c r="J68">
        <v>400</v>
      </c>
    </row>
    <row r="69" spans="1:16" x14ac:dyDescent="0.2">
      <c r="A69" t="s">
        <v>442</v>
      </c>
      <c r="I69">
        <v>800</v>
      </c>
      <c r="J69">
        <v>400</v>
      </c>
      <c r="O69" t="s">
        <v>444</v>
      </c>
      <c r="P69" t="s">
        <v>60</v>
      </c>
    </row>
    <row r="70" spans="1:16" x14ac:dyDescent="0.2">
      <c r="A70" t="s">
        <v>61</v>
      </c>
      <c r="J70">
        <v>1600</v>
      </c>
      <c r="O70" t="s">
        <v>60</v>
      </c>
    </row>
    <row r="71" spans="1:16" x14ac:dyDescent="0.2">
      <c r="A71" t="s">
        <v>443</v>
      </c>
      <c r="I71">
        <v>1200</v>
      </c>
      <c r="J71">
        <v>1200</v>
      </c>
      <c r="K71">
        <v>120</v>
      </c>
      <c r="O71" t="s">
        <v>61</v>
      </c>
    </row>
    <row r="72" spans="1:16" x14ac:dyDescent="0.2">
      <c r="A72" t="s">
        <v>445</v>
      </c>
      <c r="I72">
        <v>600</v>
      </c>
      <c r="J72">
        <v>600</v>
      </c>
      <c r="O72" t="s">
        <v>403</v>
      </c>
      <c r="P72" t="s">
        <v>412</v>
      </c>
    </row>
    <row r="73" spans="1:16" x14ac:dyDescent="0.2">
      <c r="A73" t="s">
        <v>446</v>
      </c>
      <c r="I73">
        <v>1200</v>
      </c>
      <c r="J73">
        <v>1200</v>
      </c>
      <c r="K73">
        <v>120</v>
      </c>
      <c r="O73" t="s">
        <v>447</v>
      </c>
      <c r="P73" t="s">
        <v>445</v>
      </c>
    </row>
    <row r="74" spans="1:16" x14ac:dyDescent="0.2">
      <c r="A74" t="s">
        <v>448</v>
      </c>
      <c r="I74">
        <v>1200</v>
      </c>
      <c r="J74">
        <v>1200</v>
      </c>
      <c r="K74">
        <v>1200</v>
      </c>
      <c r="O74" t="s">
        <v>446</v>
      </c>
      <c r="P74" t="s">
        <v>443</v>
      </c>
    </row>
    <row r="75" spans="1:16" s="13" customFormat="1" x14ac:dyDescent="0.2">
      <c r="A75" s="13" t="s">
        <v>449</v>
      </c>
      <c r="I75" s="13">
        <v>300</v>
      </c>
      <c r="J75" s="13">
        <v>300</v>
      </c>
      <c r="K75" s="13">
        <v>300</v>
      </c>
      <c r="O75" s="13" t="s">
        <v>429</v>
      </c>
    </row>
    <row r="76" spans="1:16" s="13" customFormat="1" x14ac:dyDescent="0.2">
      <c r="A76" s="13" t="s">
        <v>450</v>
      </c>
      <c r="I76" s="13">
        <v>500</v>
      </c>
      <c r="J76" s="13">
        <v>500</v>
      </c>
      <c r="K76" s="13">
        <v>500</v>
      </c>
      <c r="L76" s="13">
        <v>500</v>
      </c>
      <c r="O76" s="13" t="s">
        <v>449</v>
      </c>
    </row>
    <row r="77" spans="1:16" s="16" customFormat="1" x14ac:dyDescent="0.2">
      <c r="A77" s="13" t="s">
        <v>451</v>
      </c>
      <c r="B77" s="13"/>
      <c r="C77" s="13"/>
      <c r="D77" s="13"/>
      <c r="E77" s="13"/>
      <c r="F77" s="13"/>
      <c r="G77" s="13"/>
      <c r="H77" s="13"/>
      <c r="I77" s="13">
        <v>1000</v>
      </c>
      <c r="J77" s="13">
        <v>1000</v>
      </c>
      <c r="K77" s="13">
        <v>1000</v>
      </c>
      <c r="L77" s="13"/>
      <c r="M77" s="13"/>
      <c r="N77" s="13"/>
      <c r="O77" s="13" t="s">
        <v>449</v>
      </c>
      <c r="P77" s="13"/>
    </row>
    <row r="78" spans="1:16" s="16" customFormat="1" x14ac:dyDescent="0.2">
      <c r="A78" s="13" t="s">
        <v>452</v>
      </c>
      <c r="B78" s="13"/>
      <c r="C78" s="13"/>
      <c r="D78" s="13"/>
      <c r="E78" s="13"/>
      <c r="F78" s="13"/>
      <c r="G78" s="13"/>
      <c r="H78" s="13"/>
      <c r="I78" s="13">
        <v>2000</v>
      </c>
      <c r="J78" s="13">
        <v>2000</v>
      </c>
      <c r="K78" s="13">
        <v>2000</v>
      </c>
      <c r="L78" s="13"/>
      <c r="M78" s="13"/>
      <c r="N78" s="13"/>
      <c r="O78" s="13" t="s">
        <v>451</v>
      </c>
      <c r="P78" s="13" t="s">
        <v>449</v>
      </c>
    </row>
    <row r="79" spans="1:16" s="13" customFormat="1" x14ac:dyDescent="0.2">
      <c r="A79" s="13" t="s">
        <v>453</v>
      </c>
      <c r="I79" s="13">
        <v>600</v>
      </c>
      <c r="J79" s="13">
        <v>600</v>
      </c>
      <c r="K79" s="13">
        <v>600</v>
      </c>
    </row>
    <row r="80" spans="1:16" x14ac:dyDescent="0.2">
      <c r="A80" s="13" t="s">
        <v>454</v>
      </c>
      <c r="B80" s="13"/>
      <c r="C80" s="13"/>
      <c r="D80" s="13"/>
      <c r="E80" s="13"/>
      <c r="F80" s="13"/>
      <c r="G80" s="13"/>
      <c r="H80" s="13"/>
      <c r="I80" s="13">
        <v>800</v>
      </c>
      <c r="J80" s="13">
        <v>800</v>
      </c>
      <c r="K80" s="13">
        <v>800</v>
      </c>
      <c r="L80" s="13"/>
      <c r="M80" s="13"/>
      <c r="N80" s="13"/>
      <c r="O80" s="13" t="s">
        <v>453</v>
      </c>
      <c r="P80" s="13"/>
    </row>
    <row r="81" spans="1:16" x14ac:dyDescent="0.2">
      <c r="A81" s="13" t="s">
        <v>455</v>
      </c>
      <c r="B81" s="13"/>
      <c r="C81" s="13"/>
      <c r="D81" s="13"/>
      <c r="E81" s="13"/>
      <c r="F81" s="13"/>
      <c r="G81" s="13"/>
      <c r="H81" s="13"/>
      <c r="I81" s="13">
        <v>1000</v>
      </c>
      <c r="J81" s="13">
        <v>1000</v>
      </c>
      <c r="K81" s="13">
        <v>1000</v>
      </c>
      <c r="L81" s="13"/>
      <c r="M81" s="13"/>
      <c r="N81" s="13"/>
      <c r="O81" s="13" t="s">
        <v>454</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438</v>
      </c>
      <c r="B83" t="s">
        <v>432</v>
      </c>
      <c r="C83" t="s">
        <v>36</v>
      </c>
      <c r="D83" t="s">
        <v>38</v>
      </c>
      <c r="E83" t="s">
        <v>50</v>
      </c>
      <c r="F83" t="s">
        <v>63</v>
      </c>
      <c r="G83" t="s">
        <v>65</v>
      </c>
      <c r="H83" t="s">
        <v>390</v>
      </c>
      <c r="I83" t="s">
        <v>391</v>
      </c>
      <c r="J83" t="s">
        <v>392</v>
      </c>
      <c r="K83" t="s">
        <v>393</v>
      </c>
      <c r="L83" t="s">
        <v>394</v>
      </c>
      <c r="M83" t="s">
        <v>395</v>
      </c>
      <c r="N83" t="s">
        <v>396</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2"/>
  <sheetViews>
    <sheetView workbookViewId="0">
      <selection sqref="A1:XFD1048576"/>
    </sheetView>
  </sheetViews>
  <sheetFormatPr defaultRowHeight="14.25" x14ac:dyDescent="0.2"/>
  <cols>
    <col min="1" max="1" width="18.125" customWidth="1"/>
    <col min="2" max="2" width="21.75" customWidth="1"/>
  </cols>
  <sheetData>
    <row r="1" spans="1:9" x14ac:dyDescent="0.2">
      <c r="A1" s="36" t="s">
        <v>492</v>
      </c>
      <c r="B1" s="36"/>
      <c r="C1" s="36"/>
      <c r="D1" s="36"/>
      <c r="E1" s="36"/>
      <c r="F1" s="36"/>
      <c r="G1" s="36"/>
      <c r="H1" s="36"/>
      <c r="I1" s="36"/>
    </row>
    <row r="2" spans="1:9" x14ac:dyDescent="0.2">
      <c r="A2" s="36" t="s">
        <v>493</v>
      </c>
      <c r="B2" s="36"/>
      <c r="C2" s="36"/>
      <c r="D2" s="36"/>
      <c r="E2" s="36"/>
      <c r="F2" s="36"/>
      <c r="G2" s="36"/>
      <c r="H2" s="36"/>
      <c r="I2" s="36"/>
    </row>
    <row r="3" spans="1:9" x14ac:dyDescent="0.2">
      <c r="A3" s="36" t="s">
        <v>494</v>
      </c>
      <c r="B3" s="36"/>
      <c r="C3" s="36"/>
      <c r="D3" s="36"/>
      <c r="E3" s="36"/>
      <c r="F3" s="36"/>
      <c r="G3" s="36"/>
      <c r="H3" s="36"/>
      <c r="I3" s="36"/>
    </row>
    <row r="4" spans="1:9" x14ac:dyDescent="0.2">
      <c r="A4" s="36" t="s">
        <v>495</v>
      </c>
      <c r="B4" s="36"/>
      <c r="C4" s="36"/>
      <c r="D4" s="36"/>
    </row>
    <row r="5" spans="1:9" x14ac:dyDescent="0.2">
      <c r="A5" t="s">
        <v>496</v>
      </c>
      <c r="B5" t="s">
        <v>497</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4"/>
  <sheetViews>
    <sheetView workbookViewId="0">
      <selection activeCell="K10" sqref="K10"/>
    </sheetView>
  </sheetViews>
  <sheetFormatPr defaultRowHeight="14.25" x14ac:dyDescent="0.2"/>
  <sheetData>
    <row r="1" spans="1:17" x14ac:dyDescent="0.2">
      <c r="A1" s="36" t="s">
        <v>498</v>
      </c>
      <c r="B1" s="36"/>
      <c r="C1" s="36"/>
      <c r="D1" s="36"/>
      <c r="E1" s="36"/>
    </row>
    <row r="2" spans="1:17" x14ac:dyDescent="0.2">
      <c r="A2" s="36" t="s">
        <v>531</v>
      </c>
      <c r="B2" s="36"/>
      <c r="C2" s="36"/>
    </row>
    <row r="3" spans="1:17" x14ac:dyDescent="0.2">
      <c r="A3" s="35" t="s">
        <v>746</v>
      </c>
      <c r="B3" s="35"/>
      <c r="C3" s="35"/>
      <c r="D3" s="35"/>
      <c r="E3" s="35"/>
      <c r="F3" s="35"/>
      <c r="G3" s="35"/>
      <c r="H3" s="35"/>
      <c r="I3" s="35"/>
      <c r="J3" s="35"/>
      <c r="K3" s="35"/>
      <c r="L3" s="35"/>
      <c r="M3" s="35"/>
      <c r="N3" s="35"/>
      <c r="O3" s="35"/>
      <c r="P3" s="35"/>
      <c r="Q3" s="35"/>
    </row>
    <row r="4" spans="1:17" x14ac:dyDescent="0.2">
      <c r="A4" s="35"/>
      <c r="B4" s="35"/>
      <c r="C4" s="35"/>
      <c r="D4" s="35"/>
      <c r="E4" s="35"/>
      <c r="F4" s="35"/>
      <c r="G4" s="35"/>
      <c r="H4" s="35"/>
      <c r="I4" s="35"/>
      <c r="J4" s="35"/>
      <c r="K4" s="35"/>
      <c r="L4" s="35"/>
      <c r="M4" s="35"/>
      <c r="N4" s="35"/>
      <c r="O4" s="35"/>
      <c r="P4" s="35"/>
      <c r="Q4" s="35"/>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7"/>
  <sheetViews>
    <sheetView workbookViewId="0">
      <selection sqref="A1:XFD1048576"/>
    </sheetView>
  </sheetViews>
  <sheetFormatPr defaultRowHeight="14.25" x14ac:dyDescent="0.2"/>
  <cols>
    <col min="1" max="1" width="20.75" customWidth="1"/>
    <col min="2" max="2" width="13.25" customWidth="1"/>
    <col min="3" max="3" width="13" bestFit="1" customWidth="1"/>
  </cols>
  <sheetData>
    <row r="1" spans="1:13" x14ac:dyDescent="0.2">
      <c r="A1" s="36" t="s">
        <v>499</v>
      </c>
      <c r="B1" s="36"/>
      <c r="C1" s="36"/>
      <c r="D1" s="36"/>
      <c r="E1" s="36"/>
      <c r="F1" s="36"/>
      <c r="G1" s="36"/>
      <c r="H1" s="36"/>
    </row>
    <row r="2" spans="1:13" x14ac:dyDescent="0.2">
      <c r="A2" s="35" t="s">
        <v>502</v>
      </c>
      <c r="B2" s="35"/>
      <c r="C2" s="35"/>
      <c r="D2" s="35"/>
      <c r="E2" s="35"/>
      <c r="F2" s="35"/>
      <c r="G2" s="35"/>
      <c r="H2" s="35"/>
      <c r="I2" s="35"/>
      <c r="J2" s="35"/>
      <c r="K2" s="35"/>
      <c r="L2" s="35"/>
      <c r="M2" s="35"/>
    </row>
    <row r="5" spans="1:13" x14ac:dyDescent="0.2">
      <c r="A5" t="s">
        <v>500</v>
      </c>
      <c r="B5" t="s">
        <v>501</v>
      </c>
    </row>
    <row r="6" spans="1:13" x14ac:dyDescent="0.2">
      <c r="A6">
        <f>90-ACOS((1-0.857244491577148)/2.5)/PI()*180</f>
        <v>3.2734958606008036</v>
      </c>
      <c r="B6">
        <f>90-ACOS((-0.857244491577148)/2.5)/PI()*180</f>
        <v>-20.053522169347318</v>
      </c>
      <c r="C6" t="s">
        <v>529</v>
      </c>
    </row>
    <row r="7" spans="1:13" x14ac:dyDescent="0.2">
      <c r="A7">
        <f>A6*PI()/180</f>
        <v>5.7133280817889341E-2</v>
      </c>
      <c r="B7">
        <f>B6*PI()/180</f>
        <v>-0.34999998847678654</v>
      </c>
      <c r="C7" t="s">
        <v>530</v>
      </c>
    </row>
    <row r="9" spans="1:13" x14ac:dyDescent="0.2">
      <c r="A9" s="36" t="s">
        <v>737</v>
      </c>
      <c r="B9" s="36"/>
      <c r="C9" s="36"/>
      <c r="D9" s="36"/>
      <c r="E9" s="36"/>
      <c r="F9" s="36"/>
      <c r="G9" s="36"/>
      <c r="H9" s="36"/>
      <c r="I9" s="36"/>
      <c r="J9" s="36"/>
      <c r="K9" s="36"/>
      <c r="L9" s="36"/>
    </row>
    <row r="10" spans="1:13" x14ac:dyDescent="0.2">
      <c r="A10" t="s">
        <v>567</v>
      </c>
      <c r="B10">
        <f>(1-SIN($A$7)+0.625*(COS(2*$B$7)-COS(2*$A$7))+0.857244491577148*(SIN($A$7)-SIN($B$7)))/2</f>
        <v>0.57144889831542955</v>
      </c>
    </row>
    <row r="12" spans="1:13" ht="14.25" customHeight="1" x14ac:dyDescent="0.2">
      <c r="B12" s="32" t="s">
        <v>712</v>
      </c>
      <c r="C12" s="32"/>
      <c r="D12" s="32"/>
    </row>
    <row r="13" spans="1:13" x14ac:dyDescent="0.2">
      <c r="B13" s="32"/>
      <c r="C13" s="32"/>
      <c r="D13" s="32"/>
    </row>
    <row r="14" spans="1:13" x14ac:dyDescent="0.2">
      <c r="B14" s="32"/>
      <c r="C14" s="32"/>
      <c r="D14" s="32"/>
    </row>
    <row r="27" spans="1:20" x14ac:dyDescent="0.2">
      <c r="A27" s="49" t="s">
        <v>732</v>
      </c>
      <c r="B27" s="49"/>
      <c r="C27" s="49"/>
      <c r="D27" s="49"/>
      <c r="E27" s="49"/>
      <c r="F27" s="49"/>
      <c r="G27" s="49"/>
      <c r="H27" s="49"/>
      <c r="I27" s="49"/>
      <c r="J27" s="49"/>
      <c r="K27" s="49"/>
      <c r="L27" s="49"/>
      <c r="M27" s="49"/>
      <c r="N27" s="49"/>
      <c r="O27" s="49"/>
      <c r="P27" s="49"/>
      <c r="Q27" s="49"/>
      <c r="R27" s="49"/>
      <c r="S27" s="49"/>
      <c r="T27" s="49"/>
    </row>
    <row r="28" spans="1:20" x14ac:dyDescent="0.2">
      <c r="A28" s="49"/>
      <c r="B28" s="49"/>
      <c r="C28" s="49"/>
      <c r="D28" s="49"/>
      <c r="E28" s="49"/>
      <c r="F28" s="49"/>
      <c r="G28" s="49"/>
      <c r="H28" s="49"/>
      <c r="I28" s="49"/>
      <c r="J28" s="49"/>
      <c r="K28" s="49"/>
      <c r="L28" s="49"/>
      <c r="M28" s="49"/>
      <c r="N28" s="49"/>
      <c r="O28" s="49"/>
      <c r="P28" s="49"/>
      <c r="Q28" s="49"/>
      <c r="R28" s="49"/>
      <c r="S28" s="49"/>
      <c r="T28" s="49"/>
    </row>
    <row r="29" spans="1:20" x14ac:dyDescent="0.2">
      <c r="A29" t="s">
        <v>733</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713</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717</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718</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719</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720</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721</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714</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722</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723</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724</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725</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726</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715</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727</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728</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729</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730</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731</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716</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48" t="s">
        <v>734</v>
      </c>
      <c r="B52" s="48"/>
      <c r="C52" s="48"/>
      <c r="D52" s="48"/>
      <c r="E52" s="48"/>
      <c r="F52" s="48"/>
      <c r="G52" s="48"/>
      <c r="H52" s="48"/>
      <c r="I52" s="48"/>
      <c r="J52" s="48"/>
      <c r="K52" s="48"/>
      <c r="L52" s="48"/>
      <c r="M52" s="48"/>
      <c r="N52" s="48"/>
      <c r="O52" s="48"/>
      <c r="P52" s="48"/>
      <c r="Q52" s="48"/>
      <c r="R52" s="48"/>
      <c r="S52" s="48"/>
      <c r="T52" s="48"/>
    </row>
    <row r="53" spans="1:20" x14ac:dyDescent="0.2">
      <c r="A53" s="48"/>
      <c r="B53" s="48"/>
      <c r="C53" s="48"/>
      <c r="D53" s="48"/>
      <c r="E53" s="48"/>
      <c r="F53" s="48"/>
      <c r="G53" s="48"/>
      <c r="H53" s="48"/>
      <c r="I53" s="48"/>
      <c r="J53" s="48"/>
      <c r="K53" s="48"/>
      <c r="L53" s="48"/>
      <c r="M53" s="48"/>
      <c r="N53" s="48"/>
      <c r="O53" s="48"/>
      <c r="P53" s="48"/>
      <c r="Q53" s="48"/>
      <c r="R53" s="48"/>
      <c r="S53" s="48"/>
      <c r="T53" s="48"/>
    </row>
    <row r="54" spans="1:20" x14ac:dyDescent="0.2">
      <c r="A54" t="s">
        <v>733</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713</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717</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718</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719</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720</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721</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714</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722</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723</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724</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725</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726</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715</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727</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728</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729</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730</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731</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716</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48" t="s">
        <v>735</v>
      </c>
      <c r="B77" s="48"/>
      <c r="C77" s="48"/>
      <c r="D77" s="48"/>
      <c r="E77" s="48"/>
      <c r="F77" s="48"/>
      <c r="G77" s="48"/>
      <c r="H77" s="48"/>
      <c r="I77" s="48"/>
      <c r="J77" s="48"/>
      <c r="K77" s="48"/>
      <c r="L77" s="48"/>
      <c r="M77" s="48"/>
      <c r="N77" s="48"/>
      <c r="O77" s="48"/>
      <c r="P77" s="48"/>
      <c r="Q77" s="48"/>
      <c r="R77" s="48"/>
      <c r="S77" s="48"/>
      <c r="T77" s="48"/>
    </row>
    <row r="78" spans="1:20" x14ac:dyDescent="0.2">
      <c r="A78" s="48"/>
      <c r="B78" s="48"/>
      <c r="C78" s="48"/>
      <c r="D78" s="48"/>
      <c r="E78" s="48"/>
      <c r="F78" s="48"/>
      <c r="G78" s="48"/>
      <c r="H78" s="48"/>
      <c r="I78" s="48"/>
      <c r="J78" s="48"/>
      <c r="K78" s="48"/>
      <c r="L78" s="48"/>
      <c r="M78" s="48"/>
      <c r="N78" s="48"/>
      <c r="O78" s="48"/>
      <c r="P78" s="48"/>
      <c r="Q78" s="48"/>
      <c r="R78" s="48"/>
      <c r="S78" s="48"/>
      <c r="T78" s="48"/>
    </row>
    <row r="79" spans="1:20" x14ac:dyDescent="0.2">
      <c r="A79" t="s">
        <v>733</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713</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717</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718</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719</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720</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721</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714</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722</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723</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724</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725</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726</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715</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727</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728</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729</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730</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731</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716</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48" t="s">
        <v>736</v>
      </c>
      <c r="B102" s="48"/>
      <c r="C102" s="48"/>
      <c r="D102" s="48"/>
      <c r="E102" s="48"/>
      <c r="F102" s="48"/>
      <c r="G102" s="48"/>
      <c r="H102" s="48"/>
      <c r="I102" s="48"/>
      <c r="J102" s="48"/>
      <c r="K102" s="48"/>
      <c r="L102" s="48"/>
      <c r="M102" s="48"/>
      <c r="N102" s="48"/>
      <c r="O102" s="48"/>
      <c r="P102" s="48"/>
      <c r="Q102" s="48"/>
      <c r="R102" s="48"/>
      <c r="S102" s="48"/>
      <c r="T102" s="48"/>
    </row>
    <row r="103" spans="1:20" x14ac:dyDescent="0.2">
      <c r="A103" s="48"/>
      <c r="B103" s="48"/>
      <c r="C103" s="48"/>
      <c r="D103" s="48"/>
      <c r="E103" s="48"/>
      <c r="F103" s="48"/>
      <c r="G103" s="48"/>
      <c r="H103" s="48"/>
      <c r="I103" s="48"/>
      <c r="J103" s="48"/>
      <c r="K103" s="48"/>
      <c r="L103" s="48"/>
      <c r="M103" s="48"/>
      <c r="N103" s="48"/>
      <c r="O103" s="48"/>
      <c r="P103" s="48"/>
      <c r="Q103" s="48"/>
      <c r="R103" s="48"/>
      <c r="S103" s="48"/>
      <c r="T103" s="48"/>
    </row>
    <row r="104" spans="1:20" x14ac:dyDescent="0.2">
      <c r="A104" t="s">
        <v>733</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713</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717</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718</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719</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720</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721</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714</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722</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723</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724</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725</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726</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715</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727</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728</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729</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730</v>
      </c>
      <c r="B121">
        <f t="shared" si="41"/>
        <v>0.54668372749489003</v>
      </c>
      <c r="C121">
        <f t="shared" ref="C121:T121" si="57">((1-SIN(C$54*PI()/180))*(B46+C46)/2+(1-SIN(B$54*PI()/180))*(B121-(B46+C46)/2))/(1-SIN(C$54*PI()/180))</f>
        <v>0.54673155166345</v>
      </c>
      <c r="D121">
        <f t="shared" si="57"/>
        <v>0.54687402676160191</v>
      </c>
      <c r="E121">
        <f t="shared" si="57"/>
        <v>0.5471127621758527</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731</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716</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48" t="s">
        <v>738</v>
      </c>
      <c r="B126" s="48"/>
      <c r="C126" s="48"/>
      <c r="D126" s="48"/>
      <c r="E126" s="48"/>
      <c r="F126" s="48"/>
      <c r="G126" s="48"/>
      <c r="H126" s="48"/>
      <c r="I126" s="48"/>
      <c r="J126" s="48"/>
      <c r="K126" s="48"/>
      <c r="L126" s="48"/>
      <c r="M126" s="48"/>
      <c r="N126" s="48"/>
      <c r="O126" s="48"/>
      <c r="P126" s="48"/>
      <c r="Q126" s="48"/>
      <c r="R126" s="48"/>
      <c r="S126" s="48"/>
      <c r="T126" s="18"/>
    </row>
    <row r="127" spans="1:20" ht="14.25" customHeight="1" x14ac:dyDescent="0.2">
      <c r="A127" s="48"/>
      <c r="B127" s="48"/>
      <c r="C127" s="48"/>
      <c r="D127" s="48"/>
      <c r="E127" s="48"/>
      <c r="F127" s="48"/>
      <c r="G127" s="48"/>
      <c r="H127" s="48"/>
      <c r="I127" s="48"/>
      <c r="J127" s="48"/>
      <c r="K127" s="48"/>
      <c r="L127" s="48"/>
      <c r="M127" s="48"/>
      <c r="N127" s="48"/>
      <c r="O127" s="48"/>
      <c r="P127" s="48"/>
      <c r="Q127" s="48"/>
      <c r="R127" s="48"/>
      <c r="S127" s="48"/>
      <c r="T127" s="18"/>
    </row>
    <row r="128" spans="1:20" x14ac:dyDescent="0.2">
      <c r="A128" t="s">
        <v>733</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713</v>
      </c>
      <c r="B129" s="2" t="s">
        <v>739</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717</v>
      </c>
      <c r="B130" s="2" t="s">
        <v>739</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718</v>
      </c>
      <c r="B131" s="2" t="s">
        <v>739</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719</v>
      </c>
      <c r="B132" s="2" t="s">
        <v>739</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720</v>
      </c>
      <c r="B133" s="2" t="s">
        <v>739</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721</v>
      </c>
      <c r="B134" s="2" t="s">
        <v>739</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714</v>
      </c>
      <c r="B135" s="2" t="s">
        <v>739</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722</v>
      </c>
      <c r="B136" s="2" t="s">
        <v>739</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723</v>
      </c>
      <c r="B137" s="2" t="s">
        <v>739</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724</v>
      </c>
      <c r="B138" s="2" t="s">
        <v>739</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725</v>
      </c>
      <c r="B139" s="2" t="s">
        <v>739</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726</v>
      </c>
      <c r="B140" s="2" t="s">
        <v>739</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715</v>
      </c>
      <c r="B141" s="2" t="s">
        <v>739</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727</v>
      </c>
      <c r="B142" s="2" t="s">
        <v>739</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728</v>
      </c>
      <c r="B143" s="2" t="s">
        <v>739</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729</v>
      </c>
      <c r="B144" s="2" t="s">
        <v>739</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730</v>
      </c>
      <c r="B145" s="2" t="s">
        <v>739</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731</v>
      </c>
      <c r="B146" s="2" t="s">
        <v>739</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716</v>
      </c>
      <c r="B147" s="2" t="s">
        <v>739</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4"/>
  <sheetViews>
    <sheetView workbookViewId="0">
      <selection activeCell="H28" sqref="H28"/>
    </sheetView>
  </sheetViews>
  <sheetFormatPr defaultRowHeight="14.25" x14ac:dyDescent="0.2"/>
  <sheetData>
    <row r="1" spans="1:1" x14ac:dyDescent="0.2">
      <c r="A1" t="s">
        <v>561</v>
      </c>
    </row>
    <row r="2" spans="1:1" x14ac:dyDescent="0.2">
      <c r="A2" t="s">
        <v>562</v>
      </c>
    </row>
    <row r="3" spans="1:1" x14ac:dyDescent="0.2">
      <c r="A3" t="s">
        <v>563</v>
      </c>
    </row>
    <row r="4" spans="1:1" x14ac:dyDescent="0.2">
      <c r="A4" t="s">
        <v>564</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62"/>
  <sheetViews>
    <sheetView workbookViewId="0">
      <selection activeCell="N7" sqref="N7"/>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51" t="s">
        <v>620</v>
      </c>
      <c r="B1" s="51"/>
      <c r="C1" s="51"/>
      <c r="K1" t="s">
        <v>576</v>
      </c>
    </row>
    <row r="2" spans="1:21" x14ac:dyDescent="0.2">
      <c r="A2" s="36" t="s">
        <v>619</v>
      </c>
      <c r="B2" s="36"/>
      <c r="C2" s="36"/>
      <c r="K2" t="s">
        <v>761</v>
      </c>
      <c r="N2" t="s">
        <v>583</v>
      </c>
    </row>
    <row r="3" spans="1:21" x14ac:dyDescent="0.2">
      <c r="A3" s="36" t="s">
        <v>618</v>
      </c>
      <c r="B3" s="36"/>
      <c r="C3" s="36"/>
      <c r="K3" t="s">
        <v>760</v>
      </c>
    </row>
    <row r="4" spans="1:21" x14ac:dyDescent="0.2">
      <c r="A4" s="36" t="s">
        <v>617</v>
      </c>
      <c r="B4" s="36"/>
      <c r="C4" s="36"/>
    </row>
    <row r="5" spans="1:21" x14ac:dyDescent="0.2">
      <c r="A5" s="36" t="s">
        <v>627</v>
      </c>
      <c r="B5" s="36"/>
      <c r="C5" s="36"/>
      <c r="D5" t="s">
        <v>634</v>
      </c>
    </row>
    <row r="7" spans="1:21" ht="25.5" x14ac:dyDescent="0.2">
      <c r="A7" s="53" t="s">
        <v>632</v>
      </c>
      <c r="B7" s="53"/>
      <c r="C7" s="53"/>
      <c r="D7" s="53"/>
      <c r="E7" s="53"/>
      <c r="F7" s="54" t="s">
        <v>626</v>
      </c>
      <c r="G7" s="54"/>
      <c r="H7" s="17"/>
      <c r="K7" s="52" t="s">
        <v>629</v>
      </c>
      <c r="L7" s="52"/>
    </row>
    <row r="8" spans="1:21" x14ac:dyDescent="0.2">
      <c r="A8" t="s">
        <v>622</v>
      </c>
      <c r="B8" t="s">
        <v>623</v>
      </c>
      <c r="C8" t="s">
        <v>624</v>
      </c>
      <c r="D8" t="s">
        <v>625</v>
      </c>
      <c r="E8" t="s">
        <v>628</v>
      </c>
      <c r="F8" t="s">
        <v>631</v>
      </c>
      <c r="G8">
        <v>114</v>
      </c>
      <c r="K8" t="s">
        <v>621</v>
      </c>
      <c r="L8" t="s">
        <v>630</v>
      </c>
    </row>
    <row r="9" spans="1:21" x14ac:dyDescent="0.2">
      <c r="A9">
        <v>6</v>
      </c>
      <c r="B9">
        <f>10.8+1.2*($A9-6)</f>
        <v>10.8</v>
      </c>
      <c r="C9">
        <f>22.4+4*($A9-6)</f>
        <v>22.4</v>
      </c>
      <c r="D9">
        <f>1800+300*($A9-6)</f>
        <v>1800</v>
      </c>
      <c r="E9">
        <f>(360000+60000*($A9-6))/2400000</f>
        <v>0.15</v>
      </c>
      <c r="F9" t="s">
        <v>623</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624</v>
      </c>
      <c r="G10">
        <f>22.4+4*(G8-6)</f>
        <v>454.4</v>
      </c>
      <c r="K10">
        <v>7</v>
      </c>
      <c r="L10">
        <f t="shared" si="0"/>
        <v>100</v>
      </c>
    </row>
    <row r="11" spans="1:21" x14ac:dyDescent="0.2">
      <c r="A11">
        <v>8</v>
      </c>
      <c r="B11">
        <f t="shared" si="1"/>
        <v>13.200000000000001</v>
      </c>
      <c r="C11">
        <f t="shared" si="2"/>
        <v>30.4</v>
      </c>
      <c r="D11">
        <f t="shared" si="3"/>
        <v>2400</v>
      </c>
      <c r="E11">
        <f t="shared" si="4"/>
        <v>0.2</v>
      </c>
      <c r="F11" t="s">
        <v>625</v>
      </c>
      <c r="G11">
        <f>1800+300*(G8-6)</f>
        <v>34200</v>
      </c>
      <c r="K11">
        <v>8</v>
      </c>
      <c r="L11">
        <f t="shared" si="0"/>
        <v>94</v>
      </c>
    </row>
    <row r="12" spans="1:21" x14ac:dyDescent="0.2">
      <c r="A12">
        <v>9</v>
      </c>
      <c r="B12">
        <f t="shared" si="1"/>
        <v>14.4</v>
      </c>
      <c r="C12">
        <f t="shared" si="2"/>
        <v>34.4</v>
      </c>
      <c r="D12">
        <f t="shared" si="3"/>
        <v>2700</v>
      </c>
      <c r="E12">
        <f t="shared" si="4"/>
        <v>0.22500000000000001</v>
      </c>
      <c r="F12" t="s">
        <v>628</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35" t="s">
        <v>633</v>
      </c>
      <c r="S13" s="35"/>
      <c r="T13" s="35"/>
      <c r="U13" s="35"/>
    </row>
    <row r="14" spans="1:21" x14ac:dyDescent="0.2">
      <c r="A14">
        <v>11</v>
      </c>
      <c r="B14">
        <f t="shared" si="1"/>
        <v>16.8</v>
      </c>
      <c r="C14">
        <f t="shared" si="2"/>
        <v>42.4</v>
      </c>
      <c r="D14">
        <f t="shared" si="3"/>
        <v>3300</v>
      </c>
      <c r="E14">
        <f t="shared" si="4"/>
        <v>0.27500000000000002</v>
      </c>
      <c r="K14">
        <v>11</v>
      </c>
      <c r="L14">
        <f t="shared" si="0"/>
        <v>80</v>
      </c>
      <c r="R14" s="35" t="s">
        <v>574</v>
      </c>
      <c r="S14" s="35"/>
      <c r="T14" s="35" t="s">
        <v>575</v>
      </c>
      <c r="U14" s="35"/>
    </row>
    <row r="15" spans="1:21" x14ac:dyDescent="0.2">
      <c r="A15">
        <v>12</v>
      </c>
      <c r="B15">
        <f t="shared" si="1"/>
        <v>18</v>
      </c>
      <c r="C15">
        <f t="shared" si="2"/>
        <v>46.4</v>
      </c>
      <c r="D15">
        <f t="shared" si="3"/>
        <v>3600</v>
      </c>
      <c r="E15">
        <f t="shared" si="4"/>
        <v>0.3</v>
      </c>
      <c r="G15" s="50" t="s">
        <v>646</v>
      </c>
      <c r="H15" s="50"/>
      <c r="I15" s="50"/>
      <c r="K15">
        <v>12</v>
      </c>
      <c r="L15">
        <f t="shared" si="0"/>
        <v>76</v>
      </c>
      <c r="R15" t="s">
        <v>572</v>
      </c>
      <c r="S15" t="s">
        <v>573</v>
      </c>
      <c r="T15" t="s">
        <v>570</v>
      </c>
      <c r="U15" t="s">
        <v>571</v>
      </c>
    </row>
    <row r="16" spans="1:21" x14ac:dyDescent="0.2">
      <c r="A16">
        <v>13</v>
      </c>
      <c r="B16">
        <f t="shared" si="1"/>
        <v>19.200000000000003</v>
      </c>
      <c r="C16">
        <f t="shared" si="2"/>
        <v>50.4</v>
      </c>
      <c r="D16">
        <f t="shared" si="3"/>
        <v>3900</v>
      </c>
      <c r="E16">
        <f t="shared" si="4"/>
        <v>0.32500000000000001</v>
      </c>
      <c r="G16" s="50"/>
      <c r="H16" s="50"/>
      <c r="I16" s="50"/>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645</v>
      </c>
      <c r="H17" t="s">
        <v>643</v>
      </c>
      <c r="I17" t="s">
        <v>644</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650</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649</v>
      </c>
    </row>
    <row r="51" spans="1:13" x14ac:dyDescent="0.2">
      <c r="A51">
        <v>1400</v>
      </c>
      <c r="B51">
        <f t="shared" si="1"/>
        <v>1683.6</v>
      </c>
      <c r="C51">
        <f t="shared" si="2"/>
        <v>5598.4</v>
      </c>
      <c r="D51">
        <f t="shared" si="3"/>
        <v>420000</v>
      </c>
      <c r="E51">
        <f t="shared" si="4"/>
        <v>35</v>
      </c>
      <c r="K51">
        <v>16201</v>
      </c>
      <c r="L51">
        <f t="shared" si="0"/>
        <v>2</v>
      </c>
      <c r="M51" t="s">
        <v>648</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35" t="s">
        <v>582</v>
      </c>
      <c r="B1" s="35"/>
      <c r="C1" s="35"/>
      <c r="D1" s="35"/>
    </row>
    <row r="2" spans="1:4" x14ac:dyDescent="0.2">
      <c r="A2" s="35"/>
      <c r="B2" s="35"/>
      <c r="C2" s="35"/>
      <c r="D2" s="35"/>
    </row>
    <row r="3" spans="1:4" x14ac:dyDescent="0.2">
      <c r="A3" t="s">
        <v>579</v>
      </c>
      <c r="B3" t="s">
        <v>580</v>
      </c>
      <c r="C3" t="s">
        <v>577</v>
      </c>
      <c r="D3" t="s">
        <v>578</v>
      </c>
    </row>
    <row r="4" spans="1:4" x14ac:dyDescent="0.2">
      <c r="A4" t="s">
        <v>635</v>
      </c>
      <c r="B4">
        <v>4.0975215025032501</v>
      </c>
      <c r="C4">
        <f>B4*PI()/180</f>
        <v>7.151524138994679E-2</v>
      </c>
      <c r="D4">
        <f>12*ASIN(1/SQRT(4-C4*C4))/(6*ASIN(1/SQRT(4-C4*C4))-PI())</f>
        <v>2836.1247656695359</v>
      </c>
    </row>
    <row r="5" spans="1:4" x14ac:dyDescent="0.2">
      <c r="A5" t="s">
        <v>636</v>
      </c>
      <c r="B5">
        <f>SQRT(7.34806152153*7.34806152153+4*4)/1000*400*PI()</f>
        <v>10.51332998156065</v>
      </c>
      <c r="C5">
        <f>B5/200</f>
        <v>5.2566649907803249E-2</v>
      </c>
      <c r="D5">
        <f>12*ASIN(1/SQRT(4-C5*C5))/(6*ASIN(1/SQRT(4-C5*C5))-PI())</f>
        <v>5250.177670586937</v>
      </c>
    </row>
    <row r="6" spans="1:4" x14ac:dyDescent="0.2">
      <c r="A6" t="s">
        <v>637</v>
      </c>
      <c r="B6">
        <v>10.5</v>
      </c>
      <c r="C6">
        <f t="shared" ref="C6:C11" si="0">B6/200</f>
        <v>5.2499999999999998E-2</v>
      </c>
      <c r="D6">
        <f t="shared" ref="D6:D11" si="1">12*ASIN(1/SQRT(4-C6*C6))/(6*ASIN(1/SQRT(4-C6*C6))-PI())</f>
        <v>5263.5191650480847</v>
      </c>
    </row>
    <row r="7" spans="1:4" x14ac:dyDescent="0.2">
      <c r="A7" t="s">
        <v>638</v>
      </c>
      <c r="B7">
        <v>29</v>
      </c>
      <c r="C7">
        <f t="shared" si="0"/>
        <v>0.14499999999999999</v>
      </c>
      <c r="D7">
        <f t="shared" si="1"/>
        <v>689.1249867029893</v>
      </c>
    </row>
    <row r="8" spans="1:4" x14ac:dyDescent="0.2">
      <c r="A8" t="s">
        <v>639</v>
      </c>
      <c r="B8">
        <v>15</v>
      </c>
      <c r="C8">
        <f t="shared" si="0"/>
        <v>7.4999999999999997E-2</v>
      </c>
      <c r="D8">
        <f t="shared" si="1"/>
        <v>2578.6023380512447</v>
      </c>
    </row>
    <row r="9" spans="1:4" x14ac:dyDescent="0.2">
      <c r="A9" t="s">
        <v>640</v>
      </c>
      <c r="B9">
        <v>3.5</v>
      </c>
      <c r="C9">
        <f t="shared" si="0"/>
        <v>1.7500000000000002E-2</v>
      </c>
      <c r="D9">
        <f t="shared" si="1"/>
        <v>47379.85832932224</v>
      </c>
    </row>
    <row r="10" spans="1:4" x14ac:dyDescent="0.2">
      <c r="A10" t="s">
        <v>641</v>
      </c>
      <c r="B10">
        <v>10.6</v>
      </c>
      <c r="C10">
        <f t="shared" si="0"/>
        <v>5.2999999999999999E-2</v>
      </c>
      <c r="D10">
        <f t="shared" si="1"/>
        <v>5164.6567152985654</v>
      </c>
    </row>
    <row r="11" spans="1:4" x14ac:dyDescent="0.2">
      <c r="A11" t="s">
        <v>642</v>
      </c>
      <c r="B11">
        <v>12</v>
      </c>
      <c r="C11">
        <f t="shared" si="0"/>
        <v>0.06</v>
      </c>
      <c r="D11">
        <f t="shared" si="1"/>
        <v>4029.641982692584</v>
      </c>
    </row>
    <row r="14" spans="1:4" x14ac:dyDescent="0.2">
      <c r="A14" s="36" t="s">
        <v>581</v>
      </c>
      <c r="B14" s="36"/>
      <c r="C14" s="36"/>
      <c r="D14" s="36"/>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4"/>
  <sheetViews>
    <sheetView workbookViewId="0">
      <selection activeCell="X38" sqref="X37:X38"/>
    </sheetView>
  </sheetViews>
  <sheetFormatPr defaultRowHeight="14.25" x14ac:dyDescent="0.2"/>
  <sheetData>
    <row r="1" spans="1:26" x14ac:dyDescent="0.2">
      <c r="A1" s="36" t="s">
        <v>684</v>
      </c>
      <c r="B1" s="36"/>
      <c r="C1" s="36"/>
      <c r="D1" s="36"/>
      <c r="E1" s="36"/>
      <c r="F1" s="36"/>
      <c r="G1" s="36"/>
      <c r="H1" s="36"/>
      <c r="I1" s="36"/>
      <c r="J1" s="36"/>
      <c r="K1" s="36"/>
      <c r="L1" s="36"/>
      <c r="M1" s="36"/>
      <c r="N1" s="36"/>
      <c r="O1" s="36"/>
      <c r="P1" s="36"/>
    </row>
    <row r="2" spans="1:26" x14ac:dyDescent="0.2">
      <c r="A2" s="36" t="s">
        <v>685</v>
      </c>
      <c r="B2" s="36"/>
      <c r="C2" s="36"/>
      <c r="D2" s="36"/>
      <c r="E2" s="36"/>
      <c r="F2" s="36"/>
      <c r="G2" s="36"/>
      <c r="H2" s="36"/>
      <c r="I2" s="36"/>
      <c r="J2" s="36"/>
      <c r="K2" s="36"/>
      <c r="L2" s="36"/>
      <c r="M2" s="36"/>
      <c r="N2" s="36"/>
      <c r="O2" s="36"/>
      <c r="P2" s="36"/>
      <c r="Q2" s="11"/>
      <c r="R2" s="11"/>
      <c r="S2" s="11"/>
      <c r="T2" s="11"/>
      <c r="U2" s="11"/>
      <c r="V2" s="11"/>
      <c r="W2" s="11"/>
      <c r="X2" s="11"/>
      <c r="Y2" s="11"/>
      <c r="Z2" s="11"/>
    </row>
    <row r="3" spans="1:26" x14ac:dyDescent="0.2">
      <c r="A3" s="36" t="s">
        <v>686</v>
      </c>
      <c r="B3" s="36"/>
      <c r="C3" s="36"/>
      <c r="D3" s="36"/>
      <c r="E3" s="36"/>
      <c r="F3" s="36"/>
      <c r="G3" s="36"/>
      <c r="H3" s="36"/>
      <c r="I3" s="36"/>
      <c r="J3" s="36"/>
      <c r="K3" s="36"/>
      <c r="L3" s="36"/>
      <c r="M3" s="36"/>
      <c r="N3" s="36"/>
      <c r="O3" s="36"/>
      <c r="P3" s="36"/>
      <c r="Q3" s="36"/>
      <c r="R3" s="36"/>
      <c r="S3" s="36"/>
    </row>
    <row r="4" spans="1:26" x14ac:dyDescent="0.2">
      <c r="A4" t="s">
        <v>683</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topLeftCell="A10" workbookViewId="0">
      <selection activeCell="D38" sqref="D38"/>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489</v>
      </c>
      <c r="E1" t="s">
        <v>490</v>
      </c>
      <c r="F1" t="s">
        <v>560</v>
      </c>
      <c r="G1" s="32" t="s">
        <v>491</v>
      </c>
      <c r="H1" t="s">
        <v>25</v>
      </c>
      <c r="I1" t="s">
        <v>26</v>
      </c>
      <c r="J1" t="s">
        <v>489</v>
      </c>
      <c r="K1" t="s">
        <v>490</v>
      </c>
      <c r="L1" t="s">
        <v>560</v>
      </c>
    </row>
    <row r="2" spans="1:13" x14ac:dyDescent="0.2">
      <c r="A2" t="s">
        <v>19</v>
      </c>
      <c r="B2">
        <v>1.1555899999999999</v>
      </c>
      <c r="C2">
        <v>1.1555899999999999</v>
      </c>
      <c r="D2">
        <f t="shared" ref="D2:E3" si="0">2*B2</f>
        <v>2.3111799999999998</v>
      </c>
      <c r="E2">
        <f t="shared" si="0"/>
        <v>2.3111799999999998</v>
      </c>
      <c r="F2">
        <v>0.79500000000000004</v>
      </c>
      <c r="G2" s="32"/>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32"/>
      <c r="H3">
        <f t="shared" si="1"/>
        <v>1.9110936430317318</v>
      </c>
      <c r="I3">
        <f t="shared" si="1"/>
        <v>1.9110936430317318</v>
      </c>
      <c r="J3">
        <f t="shared" si="1"/>
        <v>3.8221872860634636</v>
      </c>
      <c r="K3">
        <f t="shared" si="1"/>
        <v>3.8221872860634636</v>
      </c>
      <c r="L3">
        <f t="shared" si="1"/>
        <v>1.0995574287564212</v>
      </c>
    </row>
    <row r="4" spans="1:13" x14ac:dyDescent="0.2">
      <c r="A4" t="s">
        <v>21</v>
      </c>
      <c r="B4" t="s">
        <v>682</v>
      </c>
      <c r="C4" t="s">
        <v>611</v>
      </c>
      <c r="D4">
        <v>6.5972906</v>
      </c>
      <c r="E4">
        <f>3.49776</f>
        <v>3.49776</v>
      </c>
      <c r="F4" t="s">
        <v>584</v>
      </c>
      <c r="G4" s="32"/>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660</v>
      </c>
      <c r="C5">
        <f>2.22475</f>
        <v>2.2247499999999998</v>
      </c>
      <c r="D5">
        <f>2.22475+2.6</f>
        <v>4.8247499999999999</v>
      </c>
      <c r="E5">
        <f>2*C5</f>
        <v>4.4494999999999996</v>
      </c>
      <c r="F5">
        <v>1.8285556999999999</v>
      </c>
      <c r="G5" s="32"/>
      <c r="H5" t="e">
        <f t="shared" si="2"/>
        <v>#VALUE!</v>
      </c>
      <c r="I5">
        <f t="shared" si="2"/>
        <v>2.7957033024295401</v>
      </c>
      <c r="J5">
        <f t="shared" si="2"/>
        <v>6.062959662162906</v>
      </c>
      <c r="K5">
        <f t="shared" si="2"/>
        <v>5.5914066048590803</v>
      </c>
      <c r="L5">
        <f t="shared" si="1"/>
        <v>2.2978308615198832</v>
      </c>
    </row>
    <row r="6" spans="1:13" x14ac:dyDescent="0.2">
      <c r="A6" t="s">
        <v>23</v>
      </c>
      <c r="B6" t="s">
        <v>599</v>
      </c>
      <c r="C6">
        <f>E6/2</f>
        <v>2.3378000000000001</v>
      </c>
      <c r="D6" t="s">
        <v>651</v>
      </c>
      <c r="E6">
        <f>4.6756</f>
        <v>4.6756000000000002</v>
      </c>
      <c r="F6" t="s">
        <v>600</v>
      </c>
      <c r="G6" s="32"/>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656</v>
      </c>
      <c r="C7">
        <f>2.79486/2</f>
        <v>1.3974299999999999</v>
      </c>
      <c r="D7" t="s">
        <v>657</v>
      </c>
      <c r="E7">
        <f>2*C7</f>
        <v>2.7948599999999999</v>
      </c>
      <c r="F7" t="s">
        <v>653</v>
      </c>
      <c r="G7" s="32"/>
      <c r="H7" t="e">
        <f>B7*1.25663706143591</f>
        <v>#VALUE!</v>
      </c>
      <c r="I7">
        <f t="shared" si="3"/>
        <v>1.7560623287623836</v>
      </c>
      <c r="J7" t="e">
        <f t="shared" si="3"/>
        <v>#VALUE!</v>
      </c>
      <c r="K7">
        <f t="shared" si="3"/>
        <v>3.5121246575247671</v>
      </c>
      <c r="L7" t="s">
        <v>652</v>
      </c>
    </row>
    <row r="9" spans="1:13" x14ac:dyDescent="0.2">
      <c r="A9" t="s">
        <v>33</v>
      </c>
      <c r="B9">
        <f>6.751/2</f>
        <v>3.3755000000000002</v>
      </c>
      <c r="C9">
        <f>6.751/2</f>
        <v>3.3755000000000002</v>
      </c>
      <c r="D9">
        <f>6.751/2</f>
        <v>3.3755000000000002</v>
      </c>
      <c r="E9">
        <f>6.751/2</f>
        <v>3.3755000000000002</v>
      </c>
      <c r="F9">
        <v>48.96</v>
      </c>
      <c r="G9" t="s">
        <v>35</v>
      </c>
      <c r="H9">
        <f>4*D9*D9</f>
        <v>45.576001000000005</v>
      </c>
      <c r="I9" t="s">
        <v>487</v>
      </c>
    </row>
    <row r="10" spans="1:13" x14ac:dyDescent="0.2">
      <c r="A10" t="s">
        <v>34</v>
      </c>
      <c r="B10" t="s">
        <v>284</v>
      </c>
      <c r="E10" t="s">
        <v>285</v>
      </c>
      <c r="F10">
        <v>54.824300000000001</v>
      </c>
      <c r="G10" t="s">
        <v>305</v>
      </c>
    </row>
    <row r="11" spans="1:13" x14ac:dyDescent="0.2">
      <c r="A11" t="s">
        <v>598</v>
      </c>
      <c r="B11">
        <v>0.2</v>
      </c>
      <c r="C11">
        <v>0.2</v>
      </c>
      <c r="D11">
        <v>0.4</v>
      </c>
      <c r="E11">
        <v>0.4</v>
      </c>
    </row>
    <row r="13" spans="1:13" x14ac:dyDescent="0.2">
      <c r="A13" t="s">
        <v>255</v>
      </c>
      <c r="B13">
        <v>1.8</v>
      </c>
      <c r="C13">
        <v>1.8</v>
      </c>
      <c r="D13">
        <v>2</v>
      </c>
      <c r="E13" t="s">
        <v>256</v>
      </c>
      <c r="F13" t="s">
        <v>257</v>
      </c>
    </row>
    <row r="15" spans="1:13" x14ac:dyDescent="0.2">
      <c r="A15" t="s">
        <v>681</v>
      </c>
      <c r="B15" t="s">
        <v>661</v>
      </c>
      <c r="C15" t="s">
        <v>662</v>
      </c>
      <c r="D15" t="s">
        <v>663</v>
      </c>
      <c r="E15" t="s">
        <v>664</v>
      </c>
      <c r="F15" t="s">
        <v>665</v>
      </c>
      <c r="G15" t="s">
        <v>666</v>
      </c>
    </row>
    <row r="16" spans="1:13" x14ac:dyDescent="0.2">
      <c r="A16" t="s">
        <v>667</v>
      </c>
      <c r="B16" t="s">
        <v>675</v>
      </c>
      <c r="C16" t="s">
        <v>676</v>
      </c>
      <c r="D16" t="s">
        <v>677</v>
      </c>
      <c r="E16" t="s">
        <v>678</v>
      </c>
      <c r="F16" t="s">
        <v>679</v>
      </c>
      <c r="G16" t="s">
        <v>680</v>
      </c>
    </row>
    <row r="17" spans="1:21" x14ac:dyDescent="0.2">
      <c r="A17" t="s">
        <v>668</v>
      </c>
      <c r="B17" t="s">
        <v>670</v>
      </c>
      <c r="C17" t="s">
        <v>669</v>
      </c>
      <c r="D17" t="s">
        <v>671</v>
      </c>
      <c r="E17" t="s">
        <v>672</v>
      </c>
      <c r="F17" t="s">
        <v>673</v>
      </c>
      <c r="G17" t="s">
        <v>674</v>
      </c>
    </row>
    <row r="21" spans="1:21" x14ac:dyDescent="0.2">
      <c r="A21" t="s">
        <v>505</v>
      </c>
      <c r="B21" t="s">
        <v>506</v>
      </c>
      <c r="C21" t="s">
        <v>507</v>
      </c>
      <c r="D21" t="s">
        <v>508</v>
      </c>
      <c r="E21" t="s">
        <v>509</v>
      </c>
      <c r="F21" t="s">
        <v>510</v>
      </c>
      <c r="G21" t="s">
        <v>511</v>
      </c>
      <c r="H21" t="s">
        <v>512</v>
      </c>
      <c r="I21" t="s">
        <v>513</v>
      </c>
      <c r="J21" t="s">
        <v>514</v>
      </c>
      <c r="K21" t="s">
        <v>515</v>
      </c>
      <c r="L21" t="s">
        <v>516</v>
      </c>
      <c r="M21" t="s">
        <v>517</v>
      </c>
      <c r="N21" t="s">
        <v>518</v>
      </c>
      <c r="O21" t="s">
        <v>519</v>
      </c>
      <c r="P21" t="s">
        <v>520</v>
      </c>
      <c r="Q21" t="s">
        <v>521</v>
      </c>
      <c r="R21" t="s">
        <v>522</v>
      </c>
      <c r="S21" t="s">
        <v>523</v>
      </c>
      <c r="T21" t="s">
        <v>524</v>
      </c>
      <c r="U21" t="s">
        <v>525</v>
      </c>
    </row>
    <row r="22" spans="1:21" x14ac:dyDescent="0.2">
      <c r="A22" t="s">
        <v>526</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527</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528</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655</v>
      </c>
      <c r="K28" t="s">
        <v>604</v>
      </c>
    </row>
    <row r="29" spans="1:21" x14ac:dyDescent="0.2">
      <c r="B29" t="s">
        <v>586</v>
      </c>
      <c r="C29" t="s">
        <v>587</v>
      </c>
      <c r="E29" t="s">
        <v>601</v>
      </c>
      <c r="F29" t="s">
        <v>602</v>
      </c>
      <c r="G29" t="s">
        <v>603</v>
      </c>
      <c r="I29" t="s">
        <v>606</v>
      </c>
      <c r="J29" t="s">
        <v>607</v>
      </c>
      <c r="K29">
        <v>0</v>
      </c>
      <c r="L29" t="s">
        <v>605</v>
      </c>
    </row>
    <row r="30" spans="1:21" x14ac:dyDescent="0.2">
      <c r="A30" t="s">
        <v>585</v>
      </c>
      <c r="B30" t="s">
        <v>588</v>
      </c>
      <c r="C30" t="s">
        <v>589</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590</v>
      </c>
      <c r="B31" t="s">
        <v>591</v>
      </c>
      <c r="C31" t="s">
        <v>592</v>
      </c>
      <c r="E31">
        <f>COS(PI()*24/180)*0.8</f>
        <v>0.73083636611408076</v>
      </c>
      <c r="F31">
        <f>SIN(PI()*24/180)*0.8</f>
        <v>0.32538931446064012</v>
      </c>
      <c r="G31">
        <f>8/25</f>
        <v>0.32</v>
      </c>
    </row>
    <row r="32" spans="1:21" x14ac:dyDescent="0.2">
      <c r="A32" t="s">
        <v>593</v>
      </c>
      <c r="B32" t="s">
        <v>594</v>
      </c>
      <c r="C32" t="s">
        <v>595</v>
      </c>
      <c r="E32">
        <f>COS(PI()*24/180)*1.451</f>
        <v>1.3255544590394139</v>
      </c>
      <c r="F32">
        <f>SIN(PI()*24/180)*1.451</f>
        <v>0.590174869102986</v>
      </c>
      <c r="G32">
        <f>10/17</f>
        <v>0.58823529411764708</v>
      </c>
      <c r="K32" t="s">
        <v>604</v>
      </c>
    </row>
    <row r="33" spans="1:12" x14ac:dyDescent="0.2">
      <c r="I33" t="s">
        <v>608</v>
      </c>
      <c r="J33" t="s">
        <v>609</v>
      </c>
      <c r="K33">
        <v>0.375</v>
      </c>
      <c r="L33" t="s">
        <v>605</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604</v>
      </c>
    </row>
    <row r="37" spans="1:12" x14ac:dyDescent="0.2">
      <c r="F37">
        <f>19/24</f>
        <v>0.79166666666666663</v>
      </c>
      <c r="I37" t="s">
        <v>608</v>
      </c>
      <c r="J37" t="s">
        <v>606</v>
      </c>
      <c r="K37">
        <v>0.375</v>
      </c>
      <c r="L37" t="s">
        <v>605</v>
      </c>
    </row>
    <row r="38" spans="1:12" x14ac:dyDescent="0.2">
      <c r="A38" t="s">
        <v>610</v>
      </c>
      <c r="I38">
        <v>0</v>
      </c>
      <c r="J38">
        <f>1.1-0.12856650352478</f>
        <v>0.97143349647522004</v>
      </c>
      <c r="K38">
        <f>SQRT(K37*K37+I38*I38)</f>
        <v>0.375</v>
      </c>
      <c r="L38">
        <f>ATAN(K38/J38)*180/PI()</f>
        <v>21.107957327406918</v>
      </c>
    </row>
    <row r="39" spans="1:12" x14ac:dyDescent="0.2">
      <c r="A39" t="s">
        <v>647</v>
      </c>
    </row>
    <row r="40" spans="1:12" x14ac:dyDescent="0.2">
      <c r="A40" t="s">
        <v>654</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4B8B-0106-4C82-B22C-72E62A7A9237}">
  <dimension ref="A1:V152"/>
  <sheetViews>
    <sheetView topLeftCell="A16" workbookViewId="0">
      <selection activeCell="O33" sqref="O33"/>
    </sheetView>
  </sheetViews>
  <sheetFormatPr defaultColWidth="9.875" defaultRowHeight="14.25" x14ac:dyDescent="0.2"/>
  <sheetData>
    <row r="1" spans="1:22" ht="18" x14ac:dyDescent="0.2">
      <c r="A1" s="36" t="s">
        <v>787</v>
      </c>
      <c r="B1" s="36"/>
      <c r="C1" s="36"/>
      <c r="D1" s="36"/>
      <c r="E1" s="36"/>
      <c r="F1" s="36"/>
      <c r="G1" s="36"/>
      <c r="H1" s="36"/>
      <c r="I1" s="36"/>
      <c r="J1" s="36"/>
      <c r="P1" s="56" t="s">
        <v>785</v>
      </c>
      <c r="Q1" s="56"/>
      <c r="R1" s="56"/>
      <c r="T1" s="56" t="s">
        <v>789</v>
      </c>
      <c r="U1" s="56"/>
      <c r="V1" s="56"/>
    </row>
    <row r="2" spans="1:22" ht="14.25" customHeight="1" x14ac:dyDescent="0.2">
      <c r="A2" s="35"/>
      <c r="B2" s="35"/>
      <c r="C2" s="35"/>
      <c r="D2" s="35"/>
      <c r="E2" s="35"/>
      <c r="F2" s="35"/>
      <c r="G2" s="35"/>
      <c r="H2" s="35"/>
      <c r="I2" s="35"/>
      <c r="J2" s="35"/>
      <c r="K2" s="35"/>
      <c r="L2" s="35"/>
      <c r="M2" s="35"/>
      <c r="P2" t="s">
        <v>781</v>
      </c>
      <c r="Q2" t="s">
        <v>784</v>
      </c>
      <c r="R2" t="s">
        <v>780</v>
      </c>
      <c r="T2" t="s">
        <v>781</v>
      </c>
      <c r="U2" t="s">
        <v>780</v>
      </c>
      <c r="V2" t="s">
        <v>779</v>
      </c>
    </row>
    <row r="3" spans="1:22" x14ac:dyDescent="0.2">
      <c r="A3" s="35"/>
      <c r="B3" s="35"/>
      <c r="C3" s="35"/>
      <c r="D3" s="35"/>
      <c r="E3" s="35"/>
      <c r="F3" s="35"/>
      <c r="G3" s="35"/>
      <c r="H3" s="35"/>
      <c r="I3" s="35"/>
      <c r="J3" s="35"/>
      <c r="K3" s="35"/>
      <c r="L3" s="35"/>
      <c r="M3" s="35"/>
      <c r="O3" t="s">
        <v>782</v>
      </c>
      <c r="P3">
        <v>0.79500000000000004</v>
      </c>
      <c r="Q3">
        <f>POWER(P3,2.424242+0.975417/LN(POWER(P3,4.329004)+4))</f>
        <v>0.49268833803552353</v>
      </c>
      <c r="R3">
        <f>40000*IF(P3&lt;0.859048,0.458908,IF(P3&lt;1.0003696,0.336+0.220878*POWER(Q3,1.25631),IF(P3&lt;1.179172,0.552194*POWER(Q3,1.25631),IF(P3&lt;2.456765,0.875315*POWER(Q3,0.314077),1.86))))</f>
        <v>18356.32</v>
      </c>
      <c r="T3">
        <v>1.5</v>
      </c>
      <c r="U3">
        <f>3.3*40000*0.875315*(POWER(POWER(T3/1.16778,2.424242+0.975417/LN(POWER(T3/1.16778,4.329004)+4)),0.314077))</f>
        <v>145445.11212248355</v>
      </c>
      <c r="V3">
        <f>(U4-U3)/0.01/40000</f>
        <v>2.134220759906384</v>
      </c>
    </row>
    <row r="4" spans="1:22" x14ac:dyDescent="0.2">
      <c r="A4" s="35"/>
      <c r="B4" s="35"/>
      <c r="C4" s="35"/>
      <c r="D4" s="35"/>
      <c r="E4" s="35"/>
      <c r="F4" s="35"/>
      <c r="G4" s="35"/>
      <c r="H4" s="35"/>
      <c r="I4" s="35"/>
      <c r="J4" s="35"/>
      <c r="K4" s="35"/>
      <c r="L4" s="35"/>
      <c r="M4" s="35"/>
      <c r="T4">
        <v>1.51</v>
      </c>
      <c r="U4">
        <f t="shared" ref="U4:U67" si="0">3.3*40000*0.875315*(POWER(POWER(T4/1.16778,2.424242+0.975417/LN(POWER(T4/1.16778,4.329004)+4)),0.314077))</f>
        <v>146298.80042644611</v>
      </c>
      <c r="V4">
        <f t="shared" ref="V4:V67" si="1">(U5-U4)/0.01/40000</f>
        <v>2.1273628470913537</v>
      </c>
    </row>
    <row r="5" spans="1:22" x14ac:dyDescent="0.2">
      <c r="A5" s="35"/>
      <c r="B5" s="35"/>
      <c r="C5" s="35"/>
      <c r="D5" s="35"/>
      <c r="E5" s="35"/>
      <c r="F5" s="35"/>
      <c r="G5" s="35"/>
      <c r="H5" s="35"/>
      <c r="I5" s="35"/>
      <c r="J5" s="35"/>
      <c r="K5" s="35"/>
      <c r="L5" s="35"/>
      <c r="M5" s="35"/>
      <c r="T5">
        <v>1.52</v>
      </c>
      <c r="U5">
        <f t="shared" si="0"/>
        <v>147149.74556528265</v>
      </c>
      <c r="V5">
        <f t="shared" si="1"/>
        <v>2.1205349271425074</v>
      </c>
    </row>
    <row r="6" spans="1:22" ht="18" x14ac:dyDescent="0.2">
      <c r="A6" s="35"/>
      <c r="B6" s="35"/>
      <c r="C6" s="35"/>
      <c r="D6" s="35"/>
      <c r="E6" s="35"/>
      <c r="F6" s="35"/>
      <c r="G6" s="35"/>
      <c r="H6" s="35"/>
      <c r="I6" s="35"/>
      <c r="J6" s="35"/>
      <c r="K6" s="35"/>
      <c r="L6" s="35"/>
      <c r="M6" s="35"/>
      <c r="P6" s="56" t="s">
        <v>790</v>
      </c>
      <c r="Q6" s="56"/>
      <c r="R6" s="56"/>
      <c r="T6">
        <v>1.53</v>
      </c>
      <c r="U6">
        <f t="shared" si="0"/>
        <v>147997.95953613965</v>
      </c>
      <c r="V6">
        <f t="shared" si="1"/>
        <v>2.1137401212288385</v>
      </c>
    </row>
    <row r="7" spans="1:22" x14ac:dyDescent="0.2">
      <c r="A7" s="35"/>
      <c r="B7" s="35"/>
      <c r="C7" s="35"/>
      <c r="D7" s="35"/>
      <c r="E7" s="35"/>
      <c r="F7" s="35"/>
      <c r="G7" s="35"/>
      <c r="H7" s="35"/>
      <c r="I7" s="35"/>
      <c r="J7" s="35"/>
      <c r="K7" s="35"/>
      <c r="L7" s="35"/>
      <c r="M7" s="35"/>
      <c r="P7" t="s">
        <v>781</v>
      </c>
      <c r="Q7" t="s">
        <v>784</v>
      </c>
      <c r="R7" t="s">
        <v>780</v>
      </c>
      <c r="T7">
        <v>1.54</v>
      </c>
      <c r="U7">
        <f t="shared" si="0"/>
        <v>148843.45558463119</v>
      </c>
      <c r="V7">
        <f t="shared" si="1"/>
        <v>2.1069814015451995</v>
      </c>
    </row>
    <row r="8" spans="1:22" x14ac:dyDescent="0.2">
      <c r="A8" s="35"/>
      <c r="B8" s="35"/>
      <c r="C8" s="35"/>
      <c r="D8" s="35"/>
      <c r="E8" s="35"/>
      <c r="F8" s="35"/>
      <c r="G8" s="35"/>
      <c r="H8" s="35"/>
      <c r="I8" s="35"/>
      <c r="J8" s="35"/>
      <c r="K8" s="35"/>
      <c r="L8" s="35"/>
      <c r="M8" s="35"/>
      <c r="O8" t="s">
        <v>782</v>
      </c>
      <c r="P8">
        <v>2.6779999999999999</v>
      </c>
      <c r="Q8">
        <f>POWER(P9,2.424242+0.975417/LN(POWER(P9,4.329004)+4))</f>
        <v>9.3091278860456335</v>
      </c>
      <c r="R8">
        <f>R9*3.3</f>
        <v>232836.10898914313</v>
      </c>
      <c r="T8">
        <v>1.55</v>
      </c>
      <c r="U8">
        <f t="shared" si="0"/>
        <v>149686.24814524926</v>
      </c>
      <c r="V8">
        <f t="shared" si="1"/>
        <v>2.1002615905090352</v>
      </c>
    </row>
    <row r="9" spans="1:22" x14ac:dyDescent="0.2">
      <c r="A9" s="35"/>
      <c r="B9" s="35"/>
      <c r="C9" s="35"/>
      <c r="D9" s="35"/>
      <c r="E9" s="35"/>
      <c r="F9" s="35"/>
      <c r="G9" s="35"/>
      <c r="H9" s="35"/>
      <c r="I9" s="35"/>
      <c r="J9" s="35"/>
      <c r="K9" s="35"/>
      <c r="L9" s="35"/>
      <c r="M9" s="35"/>
      <c r="O9" s="20" t="s">
        <v>791</v>
      </c>
      <c r="P9" s="21">
        <f>P8/1.16778</f>
        <v>2.2932401650995904</v>
      </c>
      <c r="Q9" s="21"/>
      <c r="R9" s="21">
        <f>40000*IF(P9&lt;0.782365,0.455548,IF(P9&lt;1.086909,0.66673*POWER(Q8,0.502524),IF(P9&lt;1.179172,0.552194*POWER(Q8,1.25631),IF(P9&lt;2.456765,0.875315*POWER(Q8,0.314077),1.86))))</f>
        <v>70556.396663376712</v>
      </c>
      <c r="T9">
        <v>1.56</v>
      </c>
      <c r="U9">
        <f t="shared" si="0"/>
        <v>150526.35278145288</v>
      </c>
      <c r="V9">
        <f t="shared" si="1"/>
        <v>2.0935833605112566</v>
      </c>
    </row>
    <row r="10" spans="1:22" x14ac:dyDescent="0.2">
      <c r="A10" s="35"/>
      <c r="B10" s="35"/>
      <c r="C10" s="35"/>
      <c r="D10" s="35"/>
      <c r="E10" s="35"/>
      <c r="F10" s="35"/>
      <c r="G10" s="35"/>
      <c r="H10" s="35"/>
      <c r="I10" s="35"/>
      <c r="J10" s="35"/>
      <c r="K10" s="35"/>
      <c r="L10" s="35"/>
      <c r="M10" s="35"/>
      <c r="T10">
        <v>1.57</v>
      </c>
      <c r="U10">
        <f t="shared" si="0"/>
        <v>151363.78612565738</v>
      </c>
      <c r="V10">
        <f t="shared" si="1"/>
        <v>2.0869492341927982</v>
      </c>
    </row>
    <row r="11" spans="1:22" x14ac:dyDescent="0.2">
      <c r="A11" s="35"/>
      <c r="B11" s="35"/>
      <c r="C11" s="35"/>
      <c r="D11" s="35"/>
      <c r="E11" s="35"/>
      <c r="F11" s="35"/>
      <c r="G11" s="35"/>
      <c r="H11" s="35"/>
      <c r="I11" s="35"/>
      <c r="J11" s="35"/>
      <c r="K11" s="35"/>
      <c r="L11" s="35"/>
      <c r="M11" s="35"/>
      <c r="T11">
        <v>1.58</v>
      </c>
      <c r="U11">
        <f t="shared" si="0"/>
        <v>152198.5658193345</v>
      </c>
      <c r="V11">
        <f t="shared" si="1"/>
        <v>2.0803615852126676</v>
      </c>
    </row>
    <row r="12" spans="1:22" x14ac:dyDescent="0.2">
      <c r="A12" s="35"/>
      <c r="B12" s="35"/>
      <c r="C12" s="35"/>
      <c r="D12" s="35"/>
      <c r="E12" s="35"/>
      <c r="F12" s="35"/>
      <c r="G12" s="35"/>
      <c r="H12" s="35"/>
      <c r="I12" s="35"/>
      <c r="J12" s="35"/>
      <c r="K12" s="35"/>
      <c r="L12" s="35"/>
      <c r="M12" s="35"/>
      <c r="T12">
        <v>1.59</v>
      </c>
      <c r="U12">
        <f t="shared" si="0"/>
        <v>153030.71045341957</v>
      </c>
      <c r="V12">
        <f t="shared" si="1"/>
        <v>2.0738226394771484</v>
      </c>
    </row>
    <row r="13" spans="1:22" x14ac:dyDescent="0.2">
      <c r="A13" s="35"/>
      <c r="B13" s="35"/>
      <c r="C13" s="35"/>
      <c r="D13" s="35"/>
      <c r="E13" s="35"/>
      <c r="F13" s="35"/>
      <c r="G13" s="35"/>
      <c r="H13" s="35"/>
      <c r="I13" s="35"/>
      <c r="J13" s="35"/>
      <c r="K13" s="35"/>
      <c r="L13" s="35"/>
      <c r="M13" s="35"/>
      <c r="T13">
        <v>1.6</v>
      </c>
      <c r="U13">
        <f t="shared" si="0"/>
        <v>153860.23950921043</v>
      </c>
      <c r="V13">
        <f t="shared" si="1"/>
        <v>2.0673344767941306</v>
      </c>
    </row>
    <row r="14" spans="1:22" x14ac:dyDescent="0.2">
      <c r="A14" s="35"/>
      <c r="B14" s="35"/>
      <c r="C14" s="35"/>
      <c r="D14" s="35"/>
      <c r="E14" s="35"/>
      <c r="F14" s="35"/>
      <c r="G14" s="35"/>
      <c r="H14" s="35"/>
      <c r="I14" s="35"/>
      <c r="J14" s="35"/>
      <c r="K14" s="35"/>
      <c r="L14" s="35"/>
      <c r="M14" s="35"/>
      <c r="O14" t="s">
        <v>762</v>
      </c>
      <c r="P14" t="s">
        <v>763</v>
      </c>
      <c r="Q14" t="s">
        <v>768</v>
      </c>
      <c r="R14" t="s">
        <v>769</v>
      </c>
      <c r="T14">
        <v>1.61</v>
      </c>
      <c r="U14">
        <f t="shared" si="0"/>
        <v>154687.17329992808</v>
      </c>
      <c r="V14">
        <f t="shared" si="1"/>
        <v>2.0608990329214429</v>
      </c>
    </row>
    <row r="15" spans="1:22" ht="14.25" customHeight="1" x14ac:dyDescent="0.2">
      <c r="A15" s="47" t="s">
        <v>788</v>
      </c>
      <c r="B15" s="47"/>
      <c r="C15" s="47"/>
      <c r="D15" s="47"/>
      <c r="E15" s="47"/>
      <c r="F15" s="47"/>
      <c r="G15" s="47"/>
      <c r="H15" s="47"/>
      <c r="I15" s="47"/>
      <c r="J15" s="47"/>
      <c r="K15" s="47"/>
      <c r="L15" s="47"/>
      <c r="M15" s="47"/>
      <c r="O15" t="s">
        <v>764</v>
      </c>
      <c r="P15" s="2" t="s">
        <v>770</v>
      </c>
      <c r="Q15" s="2">
        <v>1</v>
      </c>
      <c r="R15" s="2" t="s">
        <v>771</v>
      </c>
      <c r="T15">
        <v>1.62</v>
      </c>
      <c r="U15">
        <f t="shared" si="0"/>
        <v>155511.53291309666</v>
      </c>
      <c r="V15">
        <f t="shared" si="1"/>
        <v>2.0545181019729353</v>
      </c>
    </row>
    <row r="16" spans="1:22" x14ac:dyDescent="0.2">
      <c r="A16" s="47"/>
      <c r="B16" s="47"/>
      <c r="C16" s="47"/>
      <c r="D16" s="47"/>
      <c r="E16" s="47"/>
      <c r="F16" s="47"/>
      <c r="G16" s="47"/>
      <c r="H16" s="47"/>
      <c r="I16" s="47"/>
      <c r="J16" s="47"/>
      <c r="K16" s="47"/>
      <c r="L16" s="47"/>
      <c r="M16" s="47"/>
      <c r="O16" t="s">
        <v>765</v>
      </c>
      <c r="P16" s="2" t="s">
        <v>774</v>
      </c>
      <c r="Q16" s="2" t="s">
        <v>775</v>
      </c>
      <c r="R16" s="2" t="s">
        <v>771</v>
      </c>
      <c r="T16">
        <v>1.63</v>
      </c>
      <c r="U16">
        <f t="shared" si="0"/>
        <v>156333.34015388583</v>
      </c>
      <c r="V16">
        <f t="shared" si="1"/>
        <v>2.0481933391524945</v>
      </c>
    </row>
    <row r="17" spans="1:22" x14ac:dyDescent="0.2">
      <c r="A17" s="47"/>
      <c r="B17" s="47"/>
      <c r="C17" s="47"/>
      <c r="D17" s="47"/>
      <c r="E17" s="47"/>
      <c r="F17" s="47"/>
      <c r="G17" s="47"/>
      <c r="H17" s="47"/>
      <c r="I17" s="47"/>
      <c r="J17" s="47"/>
      <c r="K17" s="47"/>
      <c r="L17" s="47"/>
      <c r="M17" s="47"/>
      <c r="O17" t="s">
        <v>766</v>
      </c>
      <c r="P17" s="2" t="s">
        <v>776</v>
      </c>
      <c r="Q17">
        <v>1</v>
      </c>
      <c r="R17" s="2" t="s">
        <v>772</v>
      </c>
      <c r="T17">
        <v>1.64</v>
      </c>
      <c r="U17">
        <f t="shared" si="0"/>
        <v>157152.61748954683</v>
      </c>
      <c r="V17">
        <f t="shared" si="1"/>
        <v>2.0419262637801148</v>
      </c>
    </row>
    <row r="18" spans="1:22" ht="14.25" customHeight="1" x14ac:dyDescent="0.2">
      <c r="A18" s="57" t="s">
        <v>786</v>
      </c>
      <c r="B18" s="57"/>
      <c r="C18" s="57"/>
      <c r="D18" s="57"/>
      <c r="E18" s="57"/>
      <c r="F18" s="57"/>
      <c r="G18" s="57"/>
      <c r="H18" s="57"/>
      <c r="I18" s="57"/>
      <c r="J18" s="57"/>
      <c r="K18" s="57"/>
      <c r="L18" s="57"/>
      <c r="M18" s="57"/>
      <c r="O18" t="s">
        <v>767</v>
      </c>
      <c r="P18" s="2" t="s">
        <v>777</v>
      </c>
      <c r="Q18">
        <v>3.3</v>
      </c>
      <c r="R18" s="2" t="s">
        <v>773</v>
      </c>
      <c r="T18">
        <v>1.65</v>
      </c>
      <c r="U18">
        <f t="shared" si="0"/>
        <v>157969.38799505887</v>
      </c>
      <c r="V18">
        <f t="shared" si="1"/>
        <v>2.0357182625791754</v>
      </c>
    </row>
    <row r="19" spans="1:22" x14ac:dyDescent="0.2">
      <c r="A19" s="57"/>
      <c r="B19" s="57"/>
      <c r="C19" s="57"/>
      <c r="D19" s="57"/>
      <c r="E19" s="57"/>
      <c r="F19" s="57"/>
      <c r="G19" s="57"/>
      <c r="H19" s="57"/>
      <c r="I19" s="57"/>
      <c r="J19" s="57"/>
      <c r="K19" s="57"/>
      <c r="L19" s="57"/>
      <c r="M19" s="57"/>
      <c r="T19">
        <v>1.66</v>
      </c>
      <c r="U19">
        <f t="shared" si="0"/>
        <v>158783.67530009054</v>
      </c>
      <c r="V19">
        <f t="shared" si="1"/>
        <v>2.0295705931948032</v>
      </c>
    </row>
    <row r="20" spans="1:22" ht="14.25" customHeight="1" x14ac:dyDescent="0.2">
      <c r="A20" s="47" t="s">
        <v>793</v>
      </c>
      <c r="B20" s="47"/>
      <c r="C20" s="47"/>
      <c r="D20" s="47"/>
      <c r="E20" s="47"/>
      <c r="F20" s="47"/>
      <c r="G20" s="47"/>
      <c r="H20" s="47"/>
      <c r="I20" s="47"/>
      <c r="J20" s="47"/>
      <c r="K20" s="47"/>
      <c r="L20" s="47"/>
      <c r="M20" s="47"/>
      <c r="T20">
        <v>1.67</v>
      </c>
      <c r="U20">
        <f t="shared" si="0"/>
        <v>159595.50353736847</v>
      </c>
      <c r="V20">
        <f t="shared" si="1"/>
        <v>2.023484387910794</v>
      </c>
    </row>
    <row r="21" spans="1:22" ht="18.75" customHeight="1" x14ac:dyDescent="0.2">
      <c r="A21" s="47"/>
      <c r="B21" s="47"/>
      <c r="C21" s="47"/>
      <c r="D21" s="47"/>
      <c r="E21" s="47"/>
      <c r="F21" s="47"/>
      <c r="G21" s="47"/>
      <c r="H21" s="47"/>
      <c r="I21" s="47"/>
      <c r="J21" s="47"/>
      <c r="K21" s="47"/>
      <c r="L21" s="47"/>
      <c r="M21" s="47"/>
      <c r="P21" s="56" t="s">
        <v>783</v>
      </c>
      <c r="Q21" s="56"/>
      <c r="R21" s="56"/>
      <c r="T21">
        <v>1.68</v>
      </c>
      <c r="U21">
        <f t="shared" si="0"/>
        <v>160404.89729253278</v>
      </c>
      <c r="V21">
        <f t="shared" si="1"/>
        <v>2.017460657538686</v>
      </c>
    </row>
    <row r="22" spans="1:22" x14ac:dyDescent="0.2">
      <c r="A22" s="47"/>
      <c r="B22" s="47"/>
      <c r="C22" s="47"/>
      <c r="D22" s="47"/>
      <c r="E22" s="47"/>
      <c r="F22" s="47"/>
      <c r="G22" s="47"/>
      <c r="H22" s="47"/>
      <c r="I22" s="47"/>
      <c r="J22" s="47"/>
      <c r="K22" s="47"/>
      <c r="L22" s="47"/>
      <c r="M22" s="47"/>
      <c r="P22" t="s">
        <v>781</v>
      </c>
      <c r="Q22" t="s">
        <v>780</v>
      </c>
      <c r="R22" t="s">
        <v>779</v>
      </c>
      <c r="T22">
        <v>1.69</v>
      </c>
      <c r="U22">
        <f t="shared" si="0"/>
        <v>161211.88155554826</v>
      </c>
      <c r="V22">
        <f t="shared" si="1"/>
        <v>2.0115002954491503</v>
      </c>
    </row>
    <row r="23" spans="1:22" x14ac:dyDescent="0.2">
      <c r="P23">
        <v>1.18</v>
      </c>
      <c r="Q23">
        <f>40000*0.875315*(POWER(POWER(P23,2.424242+0.975417/LN(POWER(P23,4.329004)+4)),0.314077))</f>
        <v>40849.998524711038</v>
      </c>
      <c r="R23">
        <f>(Q24-Q23)/0.01/40000</f>
        <v>0.78501098096903665</v>
      </c>
      <c r="T23">
        <v>1.7</v>
      </c>
      <c r="U23">
        <f t="shared" si="0"/>
        <v>162016.48167372792</v>
      </c>
      <c r="V23">
        <f t="shared" si="1"/>
        <v>2.0056040817195027</v>
      </c>
    </row>
    <row r="24" spans="1:22" x14ac:dyDescent="0.2">
      <c r="P24">
        <v>1.19</v>
      </c>
      <c r="Q24">
        <f t="shared" ref="Q24:Q87" si="2">40000*0.875315*(POWER(POWER(P24,2.424242+0.975417/LN(POWER(P24,4.329004)+4)),0.314077))</f>
        <v>41164.002917098653</v>
      </c>
      <c r="R24">
        <f t="shared" ref="R24:R87" si="3">(Q25-Q24)/0.01/40000</f>
        <v>0.78215001694192321</v>
      </c>
      <c r="T24">
        <v>1.71</v>
      </c>
      <c r="U24">
        <f t="shared" si="0"/>
        <v>162818.72330641572</v>
      </c>
      <c r="V24">
        <f t="shared" si="1"/>
        <v>1.9997726873745705</v>
      </c>
    </row>
    <row r="25" spans="1:22" x14ac:dyDescent="0.2">
      <c r="A25" s="36" t="s">
        <v>778</v>
      </c>
      <c r="B25" s="36"/>
      <c r="C25" s="36"/>
      <c r="D25" s="36"/>
      <c r="E25" s="36"/>
      <c r="F25" s="36"/>
      <c r="G25" s="36"/>
      <c r="H25" s="36"/>
      <c r="I25" s="36"/>
      <c r="J25" s="36"/>
      <c r="K25" s="36"/>
      <c r="L25" s="36"/>
      <c r="M25" s="36"/>
      <c r="P25">
        <v>1.2</v>
      </c>
      <c r="Q25">
        <f t="shared" si="2"/>
        <v>41476.862923875422</v>
      </c>
      <c r="R25">
        <f t="shared" si="3"/>
        <v>0.77928051505714391</v>
      </c>
      <c r="T25">
        <v>1.72</v>
      </c>
      <c r="U25">
        <f t="shared" si="0"/>
        <v>163618.63238136555</v>
      </c>
      <c r="V25">
        <f t="shared" si="1"/>
        <v>1.994006678693113</v>
      </c>
    </row>
    <row r="26" spans="1:22" x14ac:dyDescent="0.2">
      <c r="A26" s="36" t="s">
        <v>792</v>
      </c>
      <c r="B26" s="36"/>
      <c r="C26" s="36"/>
      <c r="D26" s="36"/>
      <c r="E26" s="36"/>
      <c r="F26" s="36"/>
      <c r="G26" s="36"/>
      <c r="H26" s="36"/>
      <c r="I26" s="36"/>
      <c r="J26" s="36"/>
      <c r="K26" s="36"/>
      <c r="L26" s="36"/>
      <c r="M26" s="36"/>
      <c r="N26" s="36"/>
      <c r="P26">
        <v>1.21</v>
      </c>
      <c r="Q26">
        <f t="shared" si="2"/>
        <v>41788.57512989828</v>
      </c>
      <c r="R26">
        <f t="shared" si="3"/>
        <v>0.77640506711195489</v>
      </c>
      <c r="T26">
        <v>1.73</v>
      </c>
      <c r="U26">
        <f t="shared" si="0"/>
        <v>164416.23505284279</v>
      </c>
      <c r="V26">
        <f t="shared" si="1"/>
        <v>1.988306521561608</v>
      </c>
    </row>
    <row r="27" spans="1:22" x14ac:dyDescent="0.2">
      <c r="P27">
        <v>1.22</v>
      </c>
      <c r="Q27">
        <f t="shared" si="2"/>
        <v>42099.137156743061</v>
      </c>
      <c r="R27">
        <f t="shared" si="3"/>
        <v>0.77352620584435494</v>
      </c>
      <c r="T27">
        <v>1.74</v>
      </c>
      <c r="U27">
        <f t="shared" si="0"/>
        <v>165211.55766146744</v>
      </c>
      <c r="V27">
        <f t="shared" si="1"/>
        <v>1.9826725858529244</v>
      </c>
    </row>
    <row r="28" spans="1:22" x14ac:dyDescent="0.2">
      <c r="P28">
        <v>1.23</v>
      </c>
      <c r="Q28">
        <f t="shared" si="2"/>
        <v>42408.547639080803</v>
      </c>
      <c r="R28">
        <f t="shared" si="3"/>
        <v>0.77064639818252545</v>
      </c>
      <c r="T28">
        <v>1.75</v>
      </c>
      <c r="U28">
        <f t="shared" si="0"/>
        <v>166004.62669580861</v>
      </c>
      <c r="V28">
        <f t="shared" si="1"/>
        <v>1.9771051498103043</v>
      </c>
    </row>
    <row r="29" spans="1:22" x14ac:dyDescent="0.2">
      <c r="P29">
        <v>1.24</v>
      </c>
      <c r="Q29">
        <f t="shared" si="2"/>
        <v>42716.806198353814</v>
      </c>
      <c r="R29">
        <f t="shared" si="3"/>
        <v>0.76776803913664482</v>
      </c>
      <c r="T29">
        <v>1.76</v>
      </c>
      <c r="U29">
        <f t="shared" si="0"/>
        <v>166795.46875573273</v>
      </c>
      <c r="V29">
        <f t="shared" si="1"/>
        <v>1.9716044044202863</v>
      </c>
    </row>
    <row r="30" spans="1:22" x14ac:dyDescent="0.2">
      <c r="A30" s="36" t="s">
        <v>818</v>
      </c>
      <c r="B30" s="36"/>
      <c r="C30" s="36"/>
      <c r="D30" s="36"/>
      <c r="E30" s="36"/>
      <c r="F30" s="36"/>
      <c r="G30" s="36"/>
      <c r="H30" s="36"/>
      <c r="I30" s="36"/>
      <c r="J30" s="36"/>
      <c r="K30" s="36"/>
      <c r="L30" s="36"/>
      <c r="M30" s="36"/>
      <c r="N30" s="36"/>
      <c r="P30">
        <v>1.25</v>
      </c>
      <c r="Q30">
        <f t="shared" si="2"/>
        <v>43023.913414008472</v>
      </c>
      <c r="R30">
        <f t="shared" si="3"/>
        <v>0.76489344633997458</v>
      </c>
      <c r="T30">
        <v>1.77</v>
      </c>
      <c r="U30">
        <f t="shared" si="0"/>
        <v>167584.11051750084</v>
      </c>
      <c r="V30">
        <f t="shared" si="1"/>
        <v>1.9661704577577621</v>
      </c>
    </row>
    <row r="31" spans="1:22" x14ac:dyDescent="0.2">
      <c r="A31" t="s">
        <v>819</v>
      </c>
      <c r="B31" t="s">
        <v>811</v>
      </c>
      <c r="C31" t="s">
        <v>812</v>
      </c>
      <c r="D31" t="s">
        <v>813</v>
      </c>
      <c r="E31" t="s">
        <v>814</v>
      </c>
      <c r="F31" t="s">
        <v>815</v>
      </c>
      <c r="G31" t="s">
        <v>816</v>
      </c>
      <c r="H31" t="s">
        <v>817</v>
      </c>
      <c r="P31">
        <v>1.26</v>
      </c>
      <c r="Q31">
        <f t="shared" si="2"/>
        <v>43329.870792544461</v>
      </c>
      <c r="R31">
        <f t="shared" si="3"/>
        <v>0.76202485524143415</v>
      </c>
      <c r="T31">
        <v>1.78</v>
      </c>
      <c r="U31">
        <f t="shared" si="0"/>
        <v>168370.57870060395</v>
      </c>
      <c r="V31">
        <f t="shared" si="1"/>
        <v>1.960803339287595</v>
      </c>
    </row>
    <row r="32" spans="1:22" x14ac:dyDescent="0.2">
      <c r="A32" t="s">
        <v>820</v>
      </c>
      <c r="B32" t="s">
        <v>810</v>
      </c>
      <c r="C32" t="s">
        <v>821</v>
      </c>
      <c r="D32" t="s">
        <v>822</v>
      </c>
      <c r="E32" t="s">
        <v>823</v>
      </c>
      <c r="F32" t="s">
        <v>824</v>
      </c>
      <c r="G32" t="s">
        <v>825</v>
      </c>
      <c r="H32" t="s">
        <v>826</v>
      </c>
      <c r="P32">
        <v>1.27</v>
      </c>
      <c r="Q32">
        <f t="shared" si="2"/>
        <v>43634.680734641035</v>
      </c>
      <c r="R32">
        <f t="shared" si="3"/>
        <v>0.75916441494488029</v>
      </c>
      <c r="T32">
        <v>1.79</v>
      </c>
      <c r="U32">
        <f t="shared" si="0"/>
        <v>169154.90003631898</v>
      </c>
      <c r="V32">
        <f t="shared" si="1"/>
        <v>1.9555030041118153</v>
      </c>
    </row>
    <row r="33" spans="1:22" x14ac:dyDescent="0.2">
      <c r="P33">
        <v>1.28</v>
      </c>
      <c r="Q33">
        <f t="shared" si="2"/>
        <v>43938.346500618987</v>
      </c>
      <c r="R33">
        <f t="shared" si="3"/>
        <v>0.75631418468652556</v>
      </c>
      <c r="T33">
        <v>1.8</v>
      </c>
      <c r="U33">
        <f t="shared" si="0"/>
        <v>169937.10123796371</v>
      </c>
      <c r="V33">
        <f t="shared" si="1"/>
        <v>1.9502693371470377</v>
      </c>
    </row>
    <row r="34" spans="1:22" x14ac:dyDescent="0.2">
      <c r="P34">
        <v>1.29</v>
      </c>
      <c r="Q34">
        <f t="shared" si="2"/>
        <v>44240.872174493597</v>
      </c>
      <c r="R34">
        <f t="shared" si="3"/>
        <v>0.7534761309350142</v>
      </c>
      <c r="T34">
        <v>1.81</v>
      </c>
      <c r="U34">
        <f t="shared" si="0"/>
        <v>170717.20897282253</v>
      </c>
      <c r="V34">
        <f t="shared" si="1"/>
        <v>1.9451021572255558</v>
      </c>
    </row>
    <row r="35" spans="1:22" x14ac:dyDescent="0.2">
      <c r="A35" s="55" t="s">
        <v>809</v>
      </c>
      <c r="B35" s="55"/>
      <c r="C35" s="55"/>
      <c r="D35" s="55"/>
      <c r="E35" s="55"/>
      <c r="F35" s="55"/>
      <c r="G35" s="55"/>
      <c r="H35" s="55"/>
      <c r="I35" s="55"/>
      <c r="J35" s="55"/>
      <c r="K35" s="55"/>
      <c r="L35" s="55"/>
      <c r="M35" s="55"/>
      <c r="N35" s="55"/>
      <c r="P35">
        <v>1.3</v>
      </c>
      <c r="Q35">
        <f t="shared" si="2"/>
        <v>44542.262626867603</v>
      </c>
      <c r="R35">
        <f t="shared" si="3"/>
        <v>0.75065212509636692</v>
      </c>
      <c r="T35">
        <v>1.82</v>
      </c>
      <c r="U35">
        <f t="shared" si="0"/>
        <v>171495.24983571275</v>
      </c>
      <c r="V35">
        <f t="shared" si="1"/>
        <v>1.9400012211057038</v>
      </c>
    </row>
    <row r="36" spans="1:22" x14ac:dyDescent="0.2">
      <c r="A36" s="55"/>
      <c r="B36" s="55"/>
      <c r="C36" s="55"/>
      <c r="D36" s="55"/>
      <c r="E36" s="55"/>
      <c r="F36" s="55"/>
      <c r="G36" s="55"/>
      <c r="H36" s="55"/>
      <c r="I36" s="55"/>
      <c r="J36" s="55"/>
      <c r="K36" s="55"/>
      <c r="L36" s="55"/>
      <c r="M36" s="55"/>
      <c r="N36" s="55"/>
      <c r="P36">
        <v>1.31</v>
      </c>
      <c r="Q36">
        <f t="shared" si="2"/>
        <v>44842.52347690615</v>
      </c>
      <c r="R36">
        <f t="shared" si="3"/>
        <v>0.74784394180092928</v>
      </c>
      <c r="T36">
        <v>1.83</v>
      </c>
      <c r="U36">
        <f t="shared" si="0"/>
        <v>172271.25032415503</v>
      </c>
      <c r="V36">
        <f t="shared" si="1"/>
        <v>1.9349662273898138</v>
      </c>
    </row>
    <row r="37" spans="1:22" x14ac:dyDescent="0.2">
      <c r="P37">
        <v>1.32</v>
      </c>
      <c r="Q37">
        <f t="shared" si="2"/>
        <v>45141.661053626522</v>
      </c>
      <c r="R37">
        <f t="shared" si="3"/>
        <v>0.74505325774636733</v>
      </c>
      <c r="T37">
        <v>1.84</v>
      </c>
      <c r="U37">
        <f t="shared" si="0"/>
        <v>173045.23681511095</v>
      </c>
      <c r="V37">
        <f t="shared" si="1"/>
        <v>1.929996820334636</v>
      </c>
    </row>
    <row r="38" spans="1:22" x14ac:dyDescent="0.2">
      <c r="P38">
        <v>1.33</v>
      </c>
      <c r="Q38">
        <f t="shared" si="2"/>
        <v>45439.682356725069</v>
      </c>
      <c r="R38">
        <f t="shared" si="3"/>
        <v>0.74228165106847888</v>
      </c>
      <c r="T38">
        <v>1.85</v>
      </c>
      <c r="U38">
        <f t="shared" si="0"/>
        <v>173817.23554324481</v>
      </c>
      <c r="V38">
        <f t="shared" si="1"/>
        <v>1.9250925935567649</v>
      </c>
    </row>
    <row r="39" spans="1:22" x14ac:dyDescent="0.2">
      <c r="P39">
        <v>1.34</v>
      </c>
      <c r="Q39">
        <f t="shared" si="2"/>
        <v>45736.59501715246</v>
      </c>
      <c r="R39">
        <f t="shared" si="3"/>
        <v>0.73953060120862579</v>
      </c>
      <c r="T39">
        <v>1.86</v>
      </c>
      <c r="U39">
        <f t="shared" si="0"/>
        <v>174587.27258066752</v>
      </c>
      <c r="V39">
        <f t="shared" si="1"/>
        <v>1.9202530936210678</v>
      </c>
    </row>
    <row r="40" spans="1:22" x14ac:dyDescent="0.2">
      <c r="P40">
        <v>1.35</v>
      </c>
      <c r="Q40">
        <f t="shared" si="2"/>
        <v>46032.40725763591</v>
      </c>
      <c r="R40">
        <f t="shared" si="3"/>
        <v>0.73680148924584499</v>
      </c>
      <c r="T40">
        <v>1.87</v>
      </c>
      <c r="U40">
        <f t="shared" si="0"/>
        <v>175355.37381811594</v>
      </c>
      <c r="V40">
        <f t="shared" si="1"/>
        <v>1.9154778235127015</v>
      </c>
    </row>
    <row r="41" spans="1:22" x14ac:dyDescent="0.2">
      <c r="P41">
        <v>1.36</v>
      </c>
      <c r="Q41">
        <f t="shared" si="2"/>
        <v>46327.127853334248</v>
      </c>
      <c r="R41">
        <f t="shared" si="3"/>
        <v>0.7340955986584049</v>
      </c>
      <c r="T41">
        <v>1.88</v>
      </c>
      <c r="U41">
        <f t="shared" si="0"/>
        <v>176121.56494752102</v>
      </c>
      <c r="V41">
        <f t="shared" si="1"/>
        <v>1.9107662459865242</v>
      </c>
    </row>
    <row r="42" spans="1:22" x14ac:dyDescent="0.2">
      <c r="P42">
        <v>1.37</v>
      </c>
      <c r="Q42">
        <f t="shared" si="2"/>
        <v>46620.76609279761</v>
      </c>
      <c r="R42">
        <f t="shared" si="3"/>
        <v>0.73141411648217403</v>
      </c>
      <c r="T42">
        <v>1.89</v>
      </c>
      <c r="U42">
        <f t="shared" si="0"/>
        <v>176885.87144591563</v>
      </c>
      <c r="V42">
        <f t="shared" si="1"/>
        <v>1.9061177867945662</v>
      </c>
    </row>
    <row r="43" spans="1:22" x14ac:dyDescent="0.2">
      <c r="P43">
        <v>1.38</v>
      </c>
      <c r="Q43">
        <f t="shared" si="2"/>
        <v>46913.33173939048</v>
      </c>
      <c r="R43">
        <f t="shared" si="3"/>
        <v>0.72875813482873131</v>
      </c>
      <c r="T43">
        <v>1.9</v>
      </c>
      <c r="U43">
        <f t="shared" si="0"/>
        <v>177648.31856063346</v>
      </c>
      <c r="V43">
        <f t="shared" si="1"/>
        <v>1.9015318377871153</v>
      </c>
    </row>
    <row r="44" spans="1:22" x14ac:dyDescent="0.2">
      <c r="P44">
        <v>1.39</v>
      </c>
      <c r="Q44">
        <f t="shared" si="2"/>
        <v>47204.834993321972</v>
      </c>
      <c r="R44">
        <f t="shared" si="3"/>
        <v>0.72612865272898486</v>
      </c>
      <c r="T44">
        <v>1.91</v>
      </c>
      <c r="U44">
        <f t="shared" si="0"/>
        <v>178408.93129574831</v>
      </c>
      <c r="V44">
        <f t="shared" si="1"/>
        <v>1.8970077598878561</v>
      </c>
    </row>
    <row r="45" spans="1:22" x14ac:dyDescent="0.2">
      <c r="P45">
        <v>1.4</v>
      </c>
      <c r="Q45">
        <f t="shared" si="2"/>
        <v>47495.286454413566</v>
      </c>
      <c r="R45">
        <f t="shared" si="3"/>
        <v>0.72352657826786526</v>
      </c>
      <c r="T45">
        <v>1.92</v>
      </c>
      <c r="U45">
        <f t="shared" si="0"/>
        <v>179167.73439970345</v>
      </c>
      <c r="V45">
        <f t="shared" si="1"/>
        <v>1.8925448859439349</v>
      </c>
    </row>
    <row r="46" spans="1:22" x14ac:dyDescent="0.2">
      <c r="P46">
        <v>1.41</v>
      </c>
      <c r="Q46">
        <f t="shared" si="2"/>
        <v>47784.697085720712</v>
      </c>
      <c r="R46">
        <f t="shared" si="3"/>
        <v>0.72095273097496826</v>
      </c>
      <c r="T46">
        <v>1.93</v>
      </c>
      <c r="U46">
        <f t="shared" si="0"/>
        <v>179924.75235408102</v>
      </c>
      <c r="V46">
        <f t="shared" si="1"/>
        <v>1.8881425234486959</v>
      </c>
    </row>
    <row r="47" spans="1:22" x14ac:dyDescent="0.2">
      <c r="P47">
        <v>1.42</v>
      </c>
      <c r="Q47">
        <f t="shared" si="2"/>
        <v>48073.0781781107</v>
      </c>
      <c r="R47">
        <f t="shared" si="3"/>
        <v>0.71840784443838857</v>
      </c>
      <c r="T47">
        <v>1.94</v>
      </c>
      <c r="U47">
        <f t="shared" si="0"/>
        <v>180680.0093634605</v>
      </c>
      <c r="V47">
        <f t="shared" si="1"/>
        <v>1.883799957139854</v>
      </c>
    </row>
    <row r="48" spans="1:22" x14ac:dyDescent="0.2">
      <c r="P48">
        <v>1.43</v>
      </c>
      <c r="Q48">
        <f t="shared" si="2"/>
        <v>48360.441315886055</v>
      </c>
      <c r="R48">
        <f t="shared" si="3"/>
        <v>0.71589256910976473</v>
      </c>
      <c r="T48">
        <v>1.95</v>
      </c>
      <c r="U48">
        <f t="shared" si="0"/>
        <v>181433.52934631644</v>
      </c>
      <c r="V48">
        <f t="shared" si="1"/>
        <v>1.8795164514744829</v>
      </c>
    </row>
    <row r="49" spans="16:22" x14ac:dyDescent="0.2">
      <c r="P49">
        <v>1.44</v>
      </c>
      <c r="Q49">
        <f t="shared" si="2"/>
        <v>48646.798343529961</v>
      </c>
      <c r="R49">
        <f t="shared" si="3"/>
        <v>0.71340747526899573</v>
      </c>
      <c r="T49">
        <v>1.96</v>
      </c>
      <c r="U49">
        <f t="shared" si="0"/>
        <v>182185.33592690623</v>
      </c>
      <c r="V49">
        <f t="shared" si="1"/>
        <v>1.8752912529801689</v>
      </c>
    </row>
    <row r="50" spans="16:22" x14ac:dyDescent="0.2">
      <c r="P50">
        <v>1.45</v>
      </c>
      <c r="Q50">
        <f t="shared" si="2"/>
        <v>48932.161333637559</v>
      </c>
      <c r="R50">
        <f t="shared" si="3"/>
        <v>0.71095305612012449</v>
      </c>
      <c r="T50">
        <v>1.97</v>
      </c>
      <c r="U50">
        <f t="shared" si="0"/>
        <v>182935.4524280983</v>
      </c>
      <c r="V50">
        <f t="shared" si="1"/>
        <v>1.8711235924890206</v>
      </c>
    </row>
    <row r="51" spans="16:22" x14ac:dyDescent="0.2">
      <c r="P51">
        <v>1.46</v>
      </c>
      <c r="Q51">
        <f t="shared" si="2"/>
        <v>49216.542556085609</v>
      </c>
      <c r="R51">
        <f t="shared" si="3"/>
        <v>0.70852973098999428</v>
      </c>
      <c r="T51">
        <v>1.98</v>
      </c>
      <c r="U51">
        <f t="shared" si="0"/>
        <v>183683.90186509391</v>
      </c>
      <c r="V51">
        <f t="shared" si="1"/>
        <v>1.8670126872502442</v>
      </c>
    </row>
    <row r="52" spans="16:22" x14ac:dyDescent="0.2">
      <c r="P52">
        <v>1.47</v>
      </c>
      <c r="Q52">
        <f t="shared" si="2"/>
        <v>49499.954448481607</v>
      </c>
      <c r="R52">
        <f t="shared" si="3"/>
        <v>0.70613784860384843</v>
      </c>
      <c r="T52">
        <v>1.99</v>
      </c>
      <c r="U52">
        <f t="shared" si="0"/>
        <v>184430.70693999401</v>
      </c>
      <c r="V52">
        <f t="shared" si="1"/>
        <v>1.8629577429303754</v>
      </c>
    </row>
    <row r="53" spans="16:22" x14ac:dyDescent="0.2">
      <c r="P53">
        <v>1.48</v>
      </c>
      <c r="Q53">
        <f t="shared" si="2"/>
        <v>49782.409587923146</v>
      </c>
      <c r="R53">
        <f t="shared" si="3"/>
        <v>0.70377769041397187</v>
      </c>
      <c r="T53">
        <v>2</v>
      </c>
      <c r="U53">
        <f t="shared" si="0"/>
        <v>185175.89003716616</v>
      </c>
      <c r="V53">
        <f t="shared" si="1"/>
        <v>1.8589579555020463</v>
      </c>
    </row>
    <row r="54" spans="16:22" x14ac:dyDescent="0.2">
      <c r="P54">
        <v>1.49</v>
      </c>
      <c r="Q54">
        <f t="shared" si="2"/>
        <v>50063.920664088735</v>
      </c>
      <c r="R54">
        <f t="shared" si="3"/>
        <v>0.70144947395818236</v>
      </c>
      <c r="T54">
        <v>2.0099999999999998</v>
      </c>
      <c r="U54">
        <f t="shared" si="0"/>
        <v>185919.47321936698</v>
      </c>
      <c r="V54">
        <f t="shared" si="1"/>
        <v>1.8550125130196831</v>
      </c>
    </row>
    <row r="55" spans="16:22" x14ac:dyDescent="0.2">
      <c r="P55">
        <v>1.5</v>
      </c>
      <c r="Q55">
        <f t="shared" si="2"/>
        <v>50344.500453672008</v>
      </c>
      <c r="R55">
        <f t="shared" si="3"/>
        <v>0.69915335622838026</v>
      </c>
      <c r="T55">
        <v>2.02</v>
      </c>
      <c r="U55">
        <f t="shared" si="0"/>
        <v>186661.47822457485</v>
      </c>
      <c r="V55">
        <f t="shared" si="1"/>
        <v>1.8511205972935567</v>
      </c>
    </row>
    <row r="56" spans="16:22" x14ac:dyDescent="0.2">
      <c r="P56">
        <v>1.51</v>
      </c>
      <c r="Q56">
        <f t="shared" si="2"/>
        <v>50624.16179616336</v>
      </c>
      <c r="R56">
        <f t="shared" si="3"/>
        <v>0.69688943702998585</v>
      </c>
      <c r="T56">
        <v>2.0299999999999998</v>
      </c>
      <c r="U56">
        <f t="shared" si="0"/>
        <v>187401.92646349227</v>
      </c>
      <c r="V56">
        <f t="shared" si="1"/>
        <v>1.8472813854593551</v>
      </c>
    </row>
    <row r="57" spans="16:22" x14ac:dyDescent="0.2">
      <c r="P57">
        <v>1.52</v>
      </c>
      <c r="Q57">
        <f t="shared" si="2"/>
        <v>50902.917570975354</v>
      </c>
      <c r="R57">
        <f t="shared" si="3"/>
        <v>0.69465776231523702</v>
      </c>
      <c r="T57">
        <v>2.04</v>
      </c>
      <c r="U57">
        <f t="shared" si="0"/>
        <v>188140.83901767601</v>
      </c>
      <c r="V57">
        <f t="shared" si="1"/>
        <v>1.8434940514485061</v>
      </c>
    </row>
    <row r="58" spans="16:22" x14ac:dyDescent="0.2">
      <c r="P58">
        <v>1.53</v>
      </c>
      <c r="Q58">
        <f t="shared" si="2"/>
        <v>51180.780675901449</v>
      </c>
      <c r="R58">
        <f t="shared" si="3"/>
        <v>0.69245832747528768</v>
      </c>
      <c r="T58">
        <v>2.0499999999999998</v>
      </c>
      <c r="U58">
        <f t="shared" si="0"/>
        <v>188878.23663825542</v>
      </c>
      <c r="V58">
        <f t="shared" si="1"/>
        <v>1.839757767364572</v>
      </c>
    </row>
    <row r="59" spans="16:22" x14ac:dyDescent="0.2">
      <c r="P59">
        <v>1.54</v>
      </c>
      <c r="Q59">
        <f t="shared" si="2"/>
        <v>51457.764006891564</v>
      </c>
      <c r="R59">
        <f t="shared" si="3"/>
        <v>0.69029108057759003</v>
      </c>
      <c r="T59">
        <v>2.06</v>
      </c>
      <c r="U59">
        <f t="shared" si="0"/>
        <v>189614.13974520125</v>
      </c>
      <c r="V59">
        <f t="shared" si="1"/>
        <v>1.8360717047649815</v>
      </c>
    </row>
    <row r="60" spans="16:22" x14ac:dyDescent="0.2">
      <c r="P60">
        <v>1.55</v>
      </c>
      <c r="Q60">
        <f t="shared" si="2"/>
        <v>51733.8804391226</v>
      </c>
      <c r="R60">
        <f t="shared" si="3"/>
        <v>0.68815592553719396</v>
      </c>
      <c r="T60">
        <v>2.0699999999999998</v>
      </c>
      <c r="U60">
        <f t="shared" si="0"/>
        <v>190348.56842710724</v>
      </c>
      <c r="V60">
        <f t="shared" si="1"/>
        <v>1.8324350358577066</v>
      </c>
    </row>
    <row r="61" spans="16:22" x14ac:dyDescent="0.2">
      <c r="P61">
        <v>1.56</v>
      </c>
      <c r="Q61">
        <f t="shared" si="2"/>
        <v>52009.142809337478</v>
      </c>
      <c r="R61">
        <f t="shared" si="3"/>
        <v>0.68605272521010197</v>
      </c>
      <c r="T61">
        <v>2.08</v>
      </c>
      <c r="U61">
        <f t="shared" si="0"/>
        <v>191081.54244145032</v>
      </c>
      <c r="V61">
        <f t="shared" si="1"/>
        <v>1.8288469346101193</v>
      </c>
    </row>
    <row r="62" spans="16:22" x14ac:dyDescent="0.2">
      <c r="P62">
        <v>1.57</v>
      </c>
      <c r="Q62">
        <f t="shared" si="2"/>
        <v>52283.563899421519</v>
      </c>
      <c r="R62">
        <f t="shared" si="3"/>
        <v>0.68398130440229576</v>
      </c>
      <c r="T62">
        <v>2.09</v>
      </c>
      <c r="U62">
        <f t="shared" si="0"/>
        <v>191813.08121529437</v>
      </c>
      <c r="V62">
        <f t="shared" si="1"/>
        <v>1.8253065777799202</v>
      </c>
    </row>
    <row r="63" spans="16:22" x14ac:dyDescent="0.2">
      <c r="P63">
        <v>1.58</v>
      </c>
      <c r="Q63">
        <f t="shared" si="2"/>
        <v>52557.156421182437</v>
      </c>
      <c r="R63">
        <f t="shared" si="3"/>
        <v>0.68194145278495855</v>
      </c>
      <c r="T63">
        <v>2.1</v>
      </c>
      <c r="U63">
        <f t="shared" si="0"/>
        <v>192543.20384640634</v>
      </c>
      <c r="V63">
        <f t="shared" si="1"/>
        <v>1.8218131458650897</v>
      </c>
    </row>
    <row r="64" spans="16:22" x14ac:dyDescent="0.2">
      <c r="P64">
        <v>1.59</v>
      </c>
      <c r="Q64">
        <f t="shared" si="2"/>
        <v>52829.93300229642</v>
      </c>
      <c r="R64">
        <f t="shared" si="3"/>
        <v>0.67993292771096092</v>
      </c>
      <c r="T64">
        <v>2.11</v>
      </c>
      <c r="U64">
        <f t="shared" si="0"/>
        <v>193271.92910475237</v>
      </c>
      <c r="V64">
        <f t="shared" si="1"/>
        <v>1.8183658239830403</v>
      </c>
    </row>
    <row r="65" spans="16:22" x14ac:dyDescent="0.2">
      <c r="P65">
        <v>1.6</v>
      </c>
      <c r="Q65">
        <f t="shared" si="2"/>
        <v>53101.906173380805</v>
      </c>
      <c r="R65">
        <f t="shared" si="3"/>
        <v>0.67795545692710224</v>
      </c>
      <c r="T65">
        <v>2.12</v>
      </c>
      <c r="U65">
        <f t="shared" si="0"/>
        <v>193999.27543434559</v>
      </c>
      <c r="V65">
        <f t="shared" si="1"/>
        <v>1.8149638026767934</v>
      </c>
    </row>
    <row r="66" spans="16:22" x14ac:dyDescent="0.2">
      <c r="P66">
        <v>1.61</v>
      </c>
      <c r="Q66">
        <f t="shared" si="2"/>
        <v>53373.088356151646</v>
      </c>
      <c r="R66">
        <f t="shared" si="3"/>
        <v>0.67600874117912102</v>
      </c>
      <c r="T66">
        <v>2.13</v>
      </c>
      <c r="U66">
        <f t="shared" si="0"/>
        <v>194725.26095541631</v>
      </c>
      <c r="V66">
        <f t="shared" si="1"/>
        <v>1.811606278656327</v>
      </c>
    </row>
    <row r="67" spans="16:22" x14ac:dyDescent="0.2">
      <c r="P67">
        <v>1.62</v>
      </c>
      <c r="Q67">
        <f t="shared" si="2"/>
        <v>53643.491852623294</v>
      </c>
      <c r="R67">
        <f t="shared" si="3"/>
        <v>0.67409245670609375</v>
      </c>
      <c r="T67">
        <v>2.14</v>
      </c>
      <c r="U67">
        <f t="shared" si="0"/>
        <v>195449.90346687884</v>
      </c>
      <c r="V67">
        <f t="shared" si="1"/>
        <v>1.808292455473711</v>
      </c>
    </row>
    <row r="68" spans="16:22" x14ac:dyDescent="0.2">
      <c r="P68">
        <v>1.63</v>
      </c>
      <c r="Q68">
        <f t="shared" si="2"/>
        <v>53913.128835305732</v>
      </c>
      <c r="R68">
        <f t="shared" si="3"/>
        <v>0.67220625762258346</v>
      </c>
      <c r="T68">
        <v>2.15</v>
      </c>
      <c r="U68">
        <f t="shared" ref="U68:U131" si="4">3.3*40000*0.875315*(POWER(POWER(T68/1.16778,2.424242+0.975417/LN(POWER(T68/1.16778,4.329004)+4)),0.314077))</f>
        <v>196173.22044906832</v>
      </c>
      <c r="V68">
        <f t="shared" ref="V68:V131" si="5">(U69-U68)/0.01/40000</f>
        <v>1.8050215441406181</v>
      </c>
    </row>
    <row r="69" spans="16:22" x14ac:dyDescent="0.2">
      <c r="P69">
        <v>1.64</v>
      </c>
      <c r="Q69">
        <f t="shared" si="2"/>
        <v>54182.011338354765</v>
      </c>
      <c r="R69">
        <f t="shared" si="3"/>
        <v>0.67034977818786501</v>
      </c>
      <c r="T69">
        <v>2.16</v>
      </c>
      <c r="U69">
        <f t="shared" si="4"/>
        <v>196895.22906672457</v>
      </c>
      <c r="V69">
        <f t="shared" si="5"/>
        <v>1.8017927636860986</v>
      </c>
    </row>
    <row r="70" spans="16:22" x14ac:dyDescent="0.2">
      <c r="P70">
        <v>1.65</v>
      </c>
      <c r="Q70">
        <f t="shared" si="2"/>
        <v>54450.151249629911</v>
      </c>
      <c r="R70">
        <f t="shared" si="3"/>
        <v>0.66852263496202791</v>
      </c>
      <c r="T70">
        <v>2.17</v>
      </c>
      <c r="U70">
        <f t="shared" si="4"/>
        <v>197615.94617219901</v>
      </c>
      <c r="V70">
        <f t="shared" si="5"/>
        <v>1.7986053416619689</v>
      </c>
    </row>
    <row r="71" spans="16:22" x14ac:dyDescent="0.2">
      <c r="P71">
        <v>1.66</v>
      </c>
      <c r="Q71">
        <f t="shared" si="2"/>
        <v>54717.560303614722</v>
      </c>
      <c r="R71">
        <f t="shared" si="3"/>
        <v>0.66672442884910199</v>
      </c>
      <c r="T71">
        <v>2.1800000000000002</v>
      </c>
      <c r="U71">
        <f t="shared" si="4"/>
        <v>198335.3883088638</v>
      </c>
      <c r="V71">
        <f t="shared" si="5"/>
        <v>1.7954585145957389</v>
      </c>
    </row>
    <row r="72" spans="16:22" x14ac:dyDescent="0.2">
      <c r="P72">
        <v>1.67</v>
      </c>
      <c r="Q72">
        <f t="shared" si="2"/>
        <v>54984.250075154363</v>
      </c>
      <c r="R72">
        <f t="shared" si="3"/>
        <v>0.66495474702885982</v>
      </c>
      <c r="T72">
        <v>2.19</v>
      </c>
      <c r="U72">
        <f t="shared" si="4"/>
        <v>199053.57171470209</v>
      </c>
      <c r="V72">
        <f t="shared" si="5"/>
        <v>1.792351528397121</v>
      </c>
    </row>
    <row r="73" spans="16:22" x14ac:dyDescent="0.2">
      <c r="P73">
        <v>1.68</v>
      </c>
      <c r="Q73">
        <f t="shared" si="2"/>
        <v>55250.231973965907</v>
      </c>
      <c r="R73">
        <f t="shared" si="3"/>
        <v>0.66321316477862635</v>
      </c>
      <c r="T73">
        <v>2.2000000000000002</v>
      </c>
      <c r="U73">
        <f t="shared" si="4"/>
        <v>199770.51232606094</v>
      </c>
      <c r="V73">
        <f t="shared" si="5"/>
        <v>1.7892836387168063</v>
      </c>
    </row>
    <row r="74" spans="16:22" x14ac:dyDescent="0.2">
      <c r="P74">
        <v>1.69</v>
      </c>
      <c r="Q74">
        <f t="shared" si="2"/>
        <v>55515.517239877357</v>
      </c>
      <c r="R74">
        <f t="shared" si="3"/>
        <v>0.66149924718683906</v>
      </c>
      <c r="T74">
        <v>2.21</v>
      </c>
      <c r="U74">
        <f t="shared" si="4"/>
        <v>200486.22578154766</v>
      </c>
      <c r="V74">
        <f t="shared" si="5"/>
        <v>1.7862541112653707</v>
      </c>
    </row>
    <row r="75" spans="16:22" x14ac:dyDescent="0.2">
      <c r="P75">
        <v>1.7</v>
      </c>
      <c r="Q75">
        <f t="shared" si="2"/>
        <v>55780.116938752093</v>
      </c>
      <c r="R75">
        <f t="shared" si="3"/>
        <v>0.65981255076210799</v>
      </c>
      <c r="T75">
        <v>2.2200000000000002</v>
      </c>
      <c r="U75">
        <f t="shared" si="4"/>
        <v>201200.72742605381</v>
      </c>
      <c r="V75">
        <f t="shared" si="5"/>
        <v>1.7832622220885241</v>
      </c>
    </row>
    <row r="76" spans="16:22" x14ac:dyDescent="0.2">
      <c r="P76">
        <v>1.71</v>
      </c>
      <c r="Q76">
        <f t="shared" si="2"/>
        <v>56044.041959056936</v>
      </c>
      <c r="R76">
        <f t="shared" si="3"/>
        <v>0.65815262493875704</v>
      </c>
      <c r="T76">
        <v>2.23</v>
      </c>
      <c r="U76">
        <f t="shared" si="4"/>
        <v>201914.03231488922</v>
      </c>
      <c r="V76">
        <f t="shared" si="5"/>
        <v>1.7803072578083812</v>
      </c>
    </row>
    <row r="77" spans="16:22" x14ac:dyDescent="0.2">
      <c r="P77">
        <v>1.72</v>
      </c>
      <c r="Q77">
        <f t="shared" si="2"/>
        <v>56307.303009032439</v>
      </c>
      <c r="R77">
        <f t="shared" si="3"/>
        <v>0.65651901348370301</v>
      </c>
      <c r="T77">
        <v>2.2400000000000002</v>
      </c>
      <c r="U77">
        <f t="shared" si="4"/>
        <v>202626.15521801257</v>
      </c>
      <c r="V77">
        <f t="shared" si="5"/>
        <v>1.7773885158278426</v>
      </c>
    </row>
    <row r="78" spans="16:22" x14ac:dyDescent="0.2">
      <c r="P78">
        <v>1.73</v>
      </c>
      <c r="Q78">
        <f t="shared" si="2"/>
        <v>56569.91061442592</v>
      </c>
      <c r="R78">
        <f t="shared" si="3"/>
        <v>0.6549112558065463</v>
      </c>
      <c r="T78">
        <v>2.25</v>
      </c>
      <c r="U78">
        <f t="shared" si="4"/>
        <v>203337.11062434371</v>
      </c>
      <c r="V78">
        <f t="shared" si="5"/>
        <v>1.7745053045016539</v>
      </c>
    </row>
    <row r="79" spans="16:22" x14ac:dyDescent="0.2">
      <c r="P79">
        <v>1.74</v>
      </c>
      <c r="Q79">
        <f t="shared" si="2"/>
        <v>56831.875116748539</v>
      </c>
      <c r="R79">
        <f t="shared" si="3"/>
        <v>0.6533288881776389</v>
      </c>
      <c r="T79">
        <v>2.2599999999999998</v>
      </c>
      <c r="U79">
        <f t="shared" si="4"/>
        <v>204046.91274614437</v>
      </c>
      <c r="V79">
        <f t="shared" si="5"/>
        <v>1.7716569432776306</v>
      </c>
    </row>
    <row r="80" spans="16:22" x14ac:dyDescent="0.2">
      <c r="P80">
        <v>1.75</v>
      </c>
      <c r="Q80">
        <f t="shared" si="2"/>
        <v>57093.206672019594</v>
      </c>
      <c r="R80">
        <f t="shared" si="3"/>
        <v>0.65177144485640381</v>
      </c>
      <c r="T80">
        <v>2.27</v>
      </c>
      <c r="U80">
        <f t="shared" si="4"/>
        <v>204755.57552345542</v>
      </c>
      <c r="V80">
        <f t="shared" si="5"/>
        <v>1.7688427628086356</v>
      </c>
    </row>
    <row r="81" spans="16:22" x14ac:dyDescent="0.2">
      <c r="P81">
        <v>1.76</v>
      </c>
      <c r="Q81">
        <f t="shared" si="2"/>
        <v>57353.915249962156</v>
      </c>
      <c r="R81">
        <f t="shared" si="3"/>
        <v>0.65023845913474365</v>
      </c>
      <c r="T81">
        <v>2.2799999999999998</v>
      </c>
      <c r="U81">
        <f t="shared" si="4"/>
        <v>205463.11262857888</v>
      </c>
      <c r="V81">
        <f t="shared" si="5"/>
        <v>1.7660621050394547</v>
      </c>
    </row>
    <row r="82" spans="16:22" x14ac:dyDescent="0.2">
      <c r="P82">
        <v>1.77</v>
      </c>
      <c r="Q82">
        <f t="shared" si="2"/>
        <v>57614.010633616053</v>
      </c>
      <c r="R82">
        <f t="shared" si="3"/>
        <v>0.64872946429886724</v>
      </c>
      <c r="T82">
        <v>2.29</v>
      </c>
      <c r="U82">
        <f t="shared" si="4"/>
        <v>206169.53747059466</v>
      </c>
      <c r="V82">
        <f t="shared" si="5"/>
        <v>1.7633143232663862</v>
      </c>
    </row>
    <row r="83" spans="16:22" x14ac:dyDescent="0.2">
      <c r="P83">
        <v>1.78</v>
      </c>
      <c r="Q83">
        <f t="shared" si="2"/>
        <v>57873.5024193356</v>
      </c>
      <c r="R83">
        <f t="shared" si="3"/>
        <v>0.64724399451286441</v>
      </c>
      <c r="T83">
        <v>2.2999999999999998</v>
      </c>
      <c r="U83">
        <f t="shared" si="4"/>
        <v>206874.86319990121</v>
      </c>
      <c r="V83">
        <f t="shared" si="5"/>
        <v>1.7605987821766758</v>
      </c>
    </row>
    <row r="84" spans="16:22" x14ac:dyDescent="0.2">
      <c r="P84">
        <v>1.79</v>
      </c>
      <c r="Q84">
        <f t="shared" si="2"/>
        <v>58132.400017140746</v>
      </c>
      <c r="R84">
        <f t="shared" si="3"/>
        <v>0.64578158562886534</v>
      </c>
      <c r="T84">
        <v>2.31</v>
      </c>
      <c r="U84">
        <f t="shared" si="4"/>
        <v>207579.10271277188</v>
      </c>
      <c r="V84">
        <f t="shared" si="5"/>
        <v>1.7579148578645254</v>
      </c>
    </row>
    <row r="85" spans="16:22" x14ac:dyDescent="0.2">
      <c r="P85">
        <v>1.8</v>
      </c>
      <c r="Q85">
        <f t="shared" si="2"/>
        <v>58390.712651392292</v>
      </c>
      <c r="R85">
        <f t="shared" si="3"/>
        <v>0.64434177592618658</v>
      </c>
      <c r="T85">
        <v>2.3199999999999998</v>
      </c>
      <c r="U85">
        <f t="shared" si="4"/>
        <v>208282.26865591769</v>
      </c>
      <c r="V85">
        <f t="shared" si="5"/>
        <v>1.7552619378294185</v>
      </c>
    </row>
    <row r="86" spans="16:22" x14ac:dyDescent="0.2">
      <c r="P86">
        <v>1.81</v>
      </c>
      <c r="Q86">
        <f t="shared" si="2"/>
        <v>58648.449361762767</v>
      </c>
      <c r="R86">
        <f t="shared" si="3"/>
        <v>0.64292410678488521</v>
      </c>
      <c r="T86">
        <v>2.33</v>
      </c>
      <c r="U86">
        <f t="shared" si="4"/>
        <v>208984.37343104946</v>
      </c>
      <c r="V86">
        <f t="shared" si="5"/>
        <v>1.7526394209544378</v>
      </c>
    </row>
    <row r="87" spans="16:22" x14ac:dyDescent="0.2">
      <c r="P87">
        <v>1.82</v>
      </c>
      <c r="Q87">
        <f t="shared" si="2"/>
        <v>58905.619004476721</v>
      </c>
      <c r="R87">
        <f t="shared" si="3"/>
        <v>0.64152812329517472</v>
      </c>
      <c r="T87">
        <v>2.34</v>
      </c>
      <c r="U87">
        <f t="shared" si="4"/>
        <v>209685.42919943124</v>
      </c>
      <c r="V87">
        <f t="shared" si="5"/>
        <v>1.7500467174703953</v>
      </c>
    </row>
    <row r="88" spans="16:22" x14ac:dyDescent="0.2">
      <c r="P88">
        <v>1.83</v>
      </c>
      <c r="Q88">
        <f t="shared" ref="Q88:Q150" si="6">40000*0.875315*(POWER(POWER(P88,2.424242+0.975417/LN(POWER(P88,4.329004)+4)),0.314077))</f>
        <v>59162.230253794791</v>
      </c>
      <c r="R88">
        <f t="shared" ref="R88:R151" si="7">(Q89-Q88)/0.01/40000</f>
        <v>0.64015337480876044</v>
      </c>
      <c r="T88">
        <v>2.35</v>
      </c>
      <c r="U88">
        <f t="shared" si="4"/>
        <v>210385.4478864194</v>
      </c>
      <c r="V88">
        <f t="shared" si="5"/>
        <v>1.7474832489021355</v>
      </c>
    </row>
    <row r="89" spans="16:22" x14ac:dyDescent="0.2">
      <c r="P89">
        <v>1.84</v>
      </c>
      <c r="Q89">
        <f t="shared" si="6"/>
        <v>59418.291603718295</v>
      </c>
      <c r="R89">
        <f t="shared" si="7"/>
        <v>0.63879941543355012</v>
      </c>
      <c r="T89">
        <v>2.36</v>
      </c>
      <c r="U89">
        <f t="shared" si="4"/>
        <v>211084.44118598025</v>
      </c>
      <c r="V89">
        <f t="shared" si="5"/>
        <v>1.7449484480041428</v>
      </c>
    </row>
    <row r="90" spans="16:22" x14ac:dyDescent="0.2">
      <c r="P90">
        <v>1.85</v>
      </c>
      <c r="Q90">
        <f t="shared" si="6"/>
        <v>59673.811369891715</v>
      </c>
      <c r="R90">
        <f t="shared" si="7"/>
        <v>0.63746580447603263</v>
      </c>
      <c r="T90">
        <v>2.37</v>
      </c>
      <c r="U90">
        <f t="shared" si="4"/>
        <v>211782.42056518191</v>
      </c>
      <c r="V90">
        <f t="shared" si="5"/>
        <v>1.7424417586786876</v>
      </c>
    </row>
    <row r="91" spans="16:22" x14ac:dyDescent="0.2">
      <c r="P91">
        <v>1.86</v>
      </c>
      <c r="Q91">
        <f t="shared" si="6"/>
        <v>59928.797691682128</v>
      </c>
      <c r="R91">
        <f t="shared" si="7"/>
        <v>0.6361521068348156</v>
      </c>
      <c r="T91">
        <v>2.38</v>
      </c>
      <c r="U91">
        <f t="shared" si="4"/>
        <v>212479.39726865338</v>
      </c>
      <c r="V91">
        <f t="shared" si="5"/>
        <v>1.7399626358893148</v>
      </c>
    </row>
    <row r="92" spans="16:22" x14ac:dyDescent="0.2">
      <c r="P92">
        <v>1.87</v>
      </c>
      <c r="Q92">
        <f t="shared" si="6"/>
        <v>60183.258534416054</v>
      </c>
      <c r="R92">
        <f t="shared" si="7"/>
        <v>0.63485789334788933</v>
      </c>
      <c r="T92">
        <v>2.39</v>
      </c>
      <c r="U92">
        <f t="shared" si="4"/>
        <v>213175.38232300911</v>
      </c>
      <c r="V92">
        <f t="shared" si="5"/>
        <v>1.7375105455555604</v>
      </c>
    </row>
    <row r="93" spans="16:22" x14ac:dyDescent="0.2">
      <c r="P93">
        <v>1.88</v>
      </c>
      <c r="Q93">
        <f t="shared" si="6"/>
        <v>60437.20169175521</v>
      </c>
      <c r="R93">
        <f t="shared" si="7"/>
        <v>0.63358274109696144</v>
      </c>
      <c r="T93">
        <v>2.4</v>
      </c>
      <c r="U93">
        <f t="shared" si="4"/>
        <v>213870.38654123133</v>
      </c>
      <c r="V93">
        <f t="shared" si="5"/>
        <v>1.7350849644473783</v>
      </c>
    </row>
    <row r="94" spans="16:22" x14ac:dyDescent="0.2">
      <c r="P94">
        <v>1.89</v>
      </c>
      <c r="Q94">
        <f t="shared" si="6"/>
        <v>60690.634788193995</v>
      </c>
      <c r="R94">
        <f t="shared" si="7"/>
        <v>0.63232623367164709</v>
      </c>
      <c r="T94">
        <v>2.41</v>
      </c>
      <c r="U94">
        <f t="shared" si="4"/>
        <v>214564.42052701028</v>
      </c>
      <c r="V94">
        <f t="shared" si="5"/>
        <v>1.7326853800616664</v>
      </c>
    </row>
    <row r="95" spans="16:22" x14ac:dyDescent="0.2">
      <c r="P95">
        <v>1.9</v>
      </c>
      <c r="Q95">
        <f t="shared" si="6"/>
        <v>60943.565281662653</v>
      </c>
      <c r="R95">
        <f t="shared" si="7"/>
        <v>0.63108796139695189</v>
      </c>
      <c r="T95">
        <v>2.42</v>
      </c>
      <c r="U95">
        <f t="shared" si="4"/>
        <v>215257.49467903495</v>
      </c>
      <c r="V95">
        <f t="shared" si="5"/>
        <v>1.7303112904998852</v>
      </c>
    </row>
    <row r="96" spans="16:22" x14ac:dyDescent="0.2">
      <c r="P96">
        <v>1.91</v>
      </c>
      <c r="Q96">
        <f t="shared" si="6"/>
        <v>61196.000466221434</v>
      </c>
      <c r="R96">
        <f t="shared" si="7"/>
        <v>0.62986752152555714</v>
      </c>
      <c r="T96">
        <v>2.4300000000000002</v>
      </c>
      <c r="U96">
        <f t="shared" si="4"/>
        <v>215949.6191952349</v>
      </c>
      <c r="V96">
        <f t="shared" si="5"/>
        <v>1.7279622043323615</v>
      </c>
    </row>
    <row r="97" spans="16:22" x14ac:dyDescent="0.2">
      <c r="P97">
        <v>1.92</v>
      </c>
      <c r="Q97">
        <f t="shared" si="6"/>
        <v>61447.947474831657</v>
      </c>
      <c r="R97">
        <f t="shared" si="7"/>
        <v>0.62866451839838189</v>
      </c>
      <c r="T97">
        <v>2.44</v>
      </c>
      <c r="U97">
        <f t="shared" si="4"/>
        <v>216640.80407696785</v>
      </c>
      <c r="V97">
        <f t="shared" si="5"/>
        <v>1.7256376404604088</v>
      </c>
    </row>
    <row r="98" spans="16:22" x14ac:dyDescent="0.2">
      <c r="P98">
        <v>1.93</v>
      </c>
      <c r="Q98">
        <f t="shared" si="6"/>
        <v>61699.41328219101</v>
      </c>
      <c r="R98">
        <f t="shared" si="7"/>
        <v>0.62747856357545972</v>
      </c>
      <c r="T98">
        <v>2.4500000000000002</v>
      </c>
      <c r="U98">
        <f t="shared" si="4"/>
        <v>217331.05913315201</v>
      </c>
      <c r="V98">
        <f t="shared" si="5"/>
        <v>1.723337127971754</v>
      </c>
    </row>
    <row r="99" spans="16:22" x14ac:dyDescent="0.2">
      <c r="P99">
        <v>1.94</v>
      </c>
      <c r="Q99">
        <f t="shared" si="6"/>
        <v>61950.404707621194</v>
      </c>
      <c r="R99">
        <f t="shared" si="7"/>
        <v>0.62630927593994778</v>
      </c>
      <c r="T99">
        <v>2.46</v>
      </c>
      <c r="U99">
        <f t="shared" si="4"/>
        <v>218020.39398434071</v>
      </c>
      <c r="V99">
        <f t="shared" si="5"/>
        <v>1.7210602059915254</v>
      </c>
    </row>
    <row r="100" spans="16:22" x14ac:dyDescent="0.2">
      <c r="P100">
        <v>1.95</v>
      </c>
      <c r="Q100">
        <f t="shared" si="6"/>
        <v>62200.928417997173</v>
      </c>
      <c r="R100">
        <f t="shared" si="7"/>
        <v>0.62515628177607141</v>
      </c>
      <c r="T100">
        <v>2.4700000000000002</v>
      </c>
      <c r="U100">
        <f t="shared" si="4"/>
        <v>218708.81806673732</v>
      </c>
      <c r="V100">
        <f t="shared" si="5"/>
        <v>1.718806423529968</v>
      </c>
    </row>
    <row r="101" spans="16:22" x14ac:dyDescent="0.2">
      <c r="P101">
        <v>1.96</v>
      </c>
      <c r="Q101">
        <f t="shared" si="6"/>
        <v>62450.990930707601</v>
      </c>
      <c r="R101">
        <f t="shared" si="7"/>
        <v>0.62401921482496614</v>
      </c>
      <c r="T101">
        <v>2.48</v>
      </c>
      <c r="U101">
        <f t="shared" si="4"/>
        <v>219396.34063614931</v>
      </c>
      <c r="V101">
        <f t="shared" si="5"/>
        <v>1.7165753393258638</v>
      </c>
    </row>
    <row r="102" spans="16:22" x14ac:dyDescent="0.2">
      <c r="P102">
        <v>1.97</v>
      </c>
      <c r="Q102">
        <f t="shared" si="6"/>
        <v>62700.598616637588</v>
      </c>
      <c r="R102">
        <f t="shared" si="7"/>
        <v>0.62289771631898472</v>
      </c>
      <c r="T102">
        <v>2.4900000000000002</v>
      </c>
      <c r="U102">
        <f t="shared" si="4"/>
        <v>220082.97077187966</v>
      </c>
      <c r="V102">
        <f t="shared" si="5"/>
        <v>1.7143665216874797</v>
      </c>
    </row>
    <row r="103" spans="16:22" x14ac:dyDescent="0.2">
      <c r="P103">
        <v>1.98</v>
      </c>
      <c r="Q103">
        <f t="shared" si="6"/>
        <v>62949.757703165182</v>
      </c>
      <c r="R103">
        <f t="shared" si="7"/>
        <v>0.62179143499621203</v>
      </c>
      <c r="T103">
        <v>2.5</v>
      </c>
      <c r="U103">
        <f t="shared" si="4"/>
        <v>220768.71738055465</v>
      </c>
      <c r="V103">
        <f t="shared" si="5"/>
        <v>1.7121795483319147</v>
      </c>
    </row>
    <row r="104" spans="16:22" x14ac:dyDescent="0.2">
      <c r="P104">
        <v>1.99</v>
      </c>
      <c r="Q104">
        <f t="shared" si="6"/>
        <v>63198.474277163667</v>
      </c>
      <c r="R104">
        <f t="shared" si="7"/>
        <v>0.62070002709855543</v>
      </c>
      <c r="T104">
        <v>2.5099999999999998</v>
      </c>
      <c r="U104">
        <f t="shared" si="4"/>
        <v>221453.58919988741</v>
      </c>
      <c r="V104">
        <f t="shared" si="5"/>
        <v>1.7100140062225546</v>
      </c>
    </row>
    <row r="105" spans="16:22" x14ac:dyDescent="0.2">
      <c r="P105">
        <v>2</v>
      </c>
      <c r="Q105">
        <f t="shared" si="6"/>
        <v>63446.754288003089</v>
      </c>
      <c r="R105">
        <f t="shared" si="7"/>
        <v>0.61962315635240883</v>
      </c>
      <c r="T105">
        <v>2.52</v>
      </c>
      <c r="U105">
        <f t="shared" si="4"/>
        <v>222137.59480237644</v>
      </c>
      <c r="V105">
        <f t="shared" si="5"/>
        <v>1.7078694914022343</v>
      </c>
    </row>
    <row r="106" spans="16:22" x14ac:dyDescent="0.2">
      <c r="P106">
        <v>2.0099999999999998</v>
      </c>
      <c r="Q106">
        <f t="shared" si="6"/>
        <v>63694.603550544052</v>
      </c>
      <c r="R106">
        <f t="shared" si="7"/>
        <v>0.61856049393614743</v>
      </c>
      <c r="T106">
        <v>2.5299999999999998</v>
      </c>
      <c r="U106">
        <f t="shared" si="4"/>
        <v>222820.74259893733</v>
      </c>
      <c r="V106">
        <f t="shared" si="5"/>
        <v>1.7057456088317122</v>
      </c>
    </row>
    <row r="107" spans="16:22" x14ac:dyDescent="0.2">
      <c r="P107">
        <v>2.02</v>
      </c>
      <c r="Q107">
        <f t="shared" si="6"/>
        <v>63942.027748118511</v>
      </c>
      <c r="R107">
        <f t="shared" si="7"/>
        <v>0.61751171843337938</v>
      </c>
      <c r="T107">
        <v>2.54</v>
      </c>
      <c r="U107">
        <f t="shared" si="4"/>
        <v>223503.04084247001</v>
      </c>
      <c r="V107">
        <f t="shared" si="5"/>
        <v>1.7036419722202119</v>
      </c>
    </row>
    <row r="108" spans="16:22" x14ac:dyDescent="0.2">
      <c r="P108">
        <v>2.0299999999999998</v>
      </c>
      <c r="Q108">
        <f t="shared" si="6"/>
        <v>64189.032435491863</v>
      </c>
      <c r="R108">
        <f t="shared" si="7"/>
        <v>0.61647651577539364</v>
      </c>
      <c r="T108">
        <v>2.5499999999999998</v>
      </c>
      <c r="U108">
        <f t="shared" si="4"/>
        <v>224184.4976313581</v>
      </c>
      <c r="V108">
        <f t="shared" si="5"/>
        <v>1.701558203861059</v>
      </c>
    </row>
    <row r="109" spans="16:22" x14ac:dyDescent="0.2">
      <c r="P109">
        <v>2.04</v>
      </c>
      <c r="Q109">
        <f t="shared" si="6"/>
        <v>64435.62304180202</v>
      </c>
      <c r="R109">
        <f t="shared" si="7"/>
        <v>0.61545457917260138</v>
      </c>
      <c r="T109">
        <v>2.56</v>
      </c>
      <c r="U109">
        <f t="shared" si="4"/>
        <v>224865.12091290252</v>
      </c>
      <c r="V109">
        <f t="shared" si="5"/>
        <v>1.6994939344652813</v>
      </c>
    </row>
    <row r="110" spans="16:22" x14ac:dyDescent="0.2">
      <c r="P110">
        <v>2.0499999999999998</v>
      </c>
      <c r="Q110">
        <f t="shared" si="6"/>
        <v>64681.804873471061</v>
      </c>
      <c r="R110">
        <f t="shared" si="7"/>
        <v>0.61444560903639289</v>
      </c>
      <c r="T110">
        <v>2.57</v>
      </c>
      <c r="U110">
        <f t="shared" si="4"/>
        <v>225544.91848668864</v>
      </c>
      <c r="V110">
        <f t="shared" si="5"/>
        <v>1.697448802995059</v>
      </c>
    </row>
    <row r="111" spans="16:22" x14ac:dyDescent="0.2">
      <c r="P111">
        <v>2.06</v>
      </c>
      <c r="Q111">
        <f t="shared" si="6"/>
        <v>64927.583117085618</v>
      </c>
      <c r="R111">
        <f t="shared" si="7"/>
        <v>0.6134493128930808</v>
      </c>
      <c r="T111">
        <v>2.58</v>
      </c>
      <c r="U111">
        <f t="shared" si="4"/>
        <v>226223.89800788666</v>
      </c>
      <c r="V111">
        <f t="shared" si="5"/>
        <v>1.6954224564991456</v>
      </c>
    </row>
    <row r="112" spans="16:22" x14ac:dyDescent="0.2">
      <c r="P112">
        <v>2.0699999999999998</v>
      </c>
      <c r="Q112">
        <f t="shared" si="6"/>
        <v>65172.96284224285</v>
      </c>
      <c r="R112">
        <f t="shared" si="7"/>
        <v>0.6124654052904589</v>
      </c>
      <c r="T112">
        <v>2.59</v>
      </c>
      <c r="U112">
        <f t="shared" si="4"/>
        <v>226902.06699048632</v>
      </c>
      <c r="V112">
        <f t="shared" si="5"/>
        <v>1.6934145499479201</v>
      </c>
    </row>
    <row r="113" spans="16:22" x14ac:dyDescent="0.2">
      <c r="P113">
        <v>2.08</v>
      </c>
      <c r="Q113">
        <f t="shared" si="6"/>
        <v>65417.949004359034</v>
      </c>
      <c r="R113">
        <f t="shared" si="7"/>
        <v>0.61149360769733907</v>
      </c>
      <c r="T113">
        <v>2.6</v>
      </c>
      <c r="U113">
        <f t="shared" si="4"/>
        <v>227579.43281046549</v>
      </c>
      <c r="V113">
        <f t="shared" si="5"/>
        <v>1.6914247460704792</v>
      </c>
    </row>
    <row r="114" spans="16:22" x14ac:dyDescent="0.2">
      <c r="P114">
        <v>2.09</v>
      </c>
      <c r="Q114">
        <f t="shared" si="6"/>
        <v>65662.54644743797</v>
      </c>
      <c r="R114">
        <f t="shared" si="7"/>
        <v>0.6105336483983046</v>
      </c>
      <c r="T114">
        <v>2.61</v>
      </c>
      <c r="U114">
        <f t="shared" si="4"/>
        <v>228256.00270889368</v>
      </c>
      <c r="V114">
        <f t="shared" si="5"/>
        <v>1.6894527151915826</v>
      </c>
    </row>
    <row r="115" spans="16:22" x14ac:dyDescent="0.2">
      <c r="P115">
        <v>2.1</v>
      </c>
      <c r="Q115">
        <f t="shared" si="6"/>
        <v>65906.759906797291</v>
      </c>
      <c r="R115">
        <f t="shared" si="7"/>
        <v>0.60958526238307964</v>
      </c>
      <c r="T115">
        <v>2.62</v>
      </c>
      <c r="U115">
        <f t="shared" si="4"/>
        <v>228931.78379497031</v>
      </c>
      <c r="V115">
        <f t="shared" si="5"/>
        <v>1.6874981350718736</v>
      </c>
    </row>
    <row r="116" spans="16:22" x14ac:dyDescent="0.2">
      <c r="P116">
        <v>2.11</v>
      </c>
      <c r="Q116">
        <f t="shared" si="6"/>
        <v>66150.594011750523</v>
      </c>
      <c r="R116">
        <f t="shared" si="7"/>
        <v>0.60864819123209601</v>
      </c>
      <c r="T116">
        <v>2.63</v>
      </c>
      <c r="U116">
        <f t="shared" si="4"/>
        <v>229606.78304899906</v>
      </c>
      <c r="V116">
        <f t="shared" si="5"/>
        <v>1.6855606907480978</v>
      </c>
    </row>
    <row r="117" spans="16:22" x14ac:dyDescent="0.2">
      <c r="P117">
        <v>2.12</v>
      </c>
      <c r="Q117">
        <f t="shared" si="6"/>
        <v>66394.053288243362</v>
      </c>
      <c r="R117">
        <f t="shared" si="7"/>
        <v>0.60772218299807723</v>
      </c>
      <c r="T117">
        <v>2.64</v>
      </c>
      <c r="U117">
        <f t="shared" si="4"/>
        <v>230281.0073252983</v>
      </c>
      <c r="V117">
        <f t="shared" si="5"/>
        <v>1.6836400743755804</v>
      </c>
    </row>
    <row r="118" spans="16:22" x14ac:dyDescent="0.2">
      <c r="P118">
        <v>2.13</v>
      </c>
      <c r="Q118">
        <f t="shared" si="6"/>
        <v>66637.142161442593</v>
      </c>
      <c r="R118">
        <f t="shared" si="7"/>
        <v>0.60680699208587607</v>
      </c>
      <c r="T118">
        <v>2.65</v>
      </c>
      <c r="U118">
        <f t="shared" si="4"/>
        <v>230954.46335504853</v>
      </c>
      <c r="V118">
        <f t="shared" si="5"/>
        <v>1.6817359850730282</v>
      </c>
    </row>
    <row r="119" spans="16:22" x14ac:dyDescent="0.2">
      <c r="P119">
        <v>2.14</v>
      </c>
      <c r="Q119">
        <f t="shared" si="6"/>
        <v>66879.864958276943</v>
      </c>
      <c r="R119">
        <f t="shared" si="7"/>
        <v>0.60590237912867451</v>
      </c>
      <c r="T119">
        <v>2.66</v>
      </c>
      <c r="U119">
        <f t="shared" si="4"/>
        <v>231627.15774907774</v>
      </c>
      <c r="V119">
        <f t="shared" si="5"/>
        <v>1.6798481287674076</v>
      </c>
    </row>
    <row r="120" spans="16:22" x14ac:dyDescent="0.2">
      <c r="P120">
        <v>2.15</v>
      </c>
      <c r="Q120">
        <f t="shared" si="6"/>
        <v>67122.225909928413</v>
      </c>
      <c r="R120">
        <f t="shared" si="7"/>
        <v>0.6050081108636004</v>
      </c>
      <c r="T120">
        <v>2.67</v>
      </c>
      <c r="U120">
        <f t="shared" si="4"/>
        <v>232299.0970005847</v>
      </c>
      <c r="V120">
        <f t="shared" si="5"/>
        <v>1.6779762180454418</v>
      </c>
    </row>
    <row r="121" spans="16:22" x14ac:dyDescent="0.2">
      <c r="P121">
        <v>2.16</v>
      </c>
      <c r="Q121">
        <f t="shared" si="6"/>
        <v>67364.229154273853</v>
      </c>
      <c r="R121">
        <f t="shared" si="7"/>
        <v>0.60412396000498125</v>
      </c>
      <c r="T121">
        <v>2.68</v>
      </c>
      <c r="U121">
        <f t="shared" si="4"/>
        <v>232970.28748780288</v>
      </c>
      <c r="V121">
        <f t="shared" si="5"/>
        <v>1.6761199719997968</v>
      </c>
    </row>
    <row r="122" spans="16:22" x14ac:dyDescent="0.2">
      <c r="P122">
        <v>2.17</v>
      </c>
      <c r="Q122">
        <f t="shared" si="6"/>
        <v>67605.878738275846</v>
      </c>
      <c r="R122">
        <f t="shared" si="7"/>
        <v>0.60324970511803255</v>
      </c>
      <c r="T122">
        <v>2.69</v>
      </c>
      <c r="U122">
        <f t="shared" si="4"/>
        <v>233640.7354766028</v>
      </c>
      <c r="V122">
        <f t="shared" si="5"/>
        <v>1.6742791160856723</v>
      </c>
    </row>
    <row r="123" spans="16:22" x14ac:dyDescent="0.2">
      <c r="P123">
        <v>2.1800000000000002</v>
      </c>
      <c r="Q123">
        <f t="shared" si="6"/>
        <v>67847.178620323059</v>
      </c>
      <c r="R123">
        <f t="shared" si="7"/>
        <v>0.60238513049018361</v>
      </c>
      <c r="T123">
        <v>2.7</v>
      </c>
      <c r="U123">
        <f t="shared" si="4"/>
        <v>234310.44712303707</v>
      </c>
      <c r="V123">
        <f t="shared" si="5"/>
        <v>1.672453381973537</v>
      </c>
    </row>
    <row r="124" spans="16:22" x14ac:dyDescent="0.2">
      <c r="P124">
        <v>2.19</v>
      </c>
      <c r="Q124">
        <f t="shared" si="6"/>
        <v>68088.132672519132</v>
      </c>
      <c r="R124">
        <f t="shared" si="7"/>
        <v>0.60153002600447503</v>
      </c>
      <c r="T124">
        <v>2.71</v>
      </c>
      <c r="U124">
        <f t="shared" si="4"/>
        <v>234979.42847582648</v>
      </c>
      <c r="V124">
        <f t="shared" si="5"/>
        <v>1.6706425074072468</v>
      </c>
    </row>
    <row r="125" spans="16:22" x14ac:dyDescent="0.2">
      <c r="P125">
        <v>2.2000000000000002</v>
      </c>
      <c r="Q125">
        <f t="shared" si="6"/>
        <v>68328.744682920922</v>
      </c>
      <c r="R125">
        <f t="shared" si="7"/>
        <v>0.60068418701099291</v>
      </c>
      <c r="T125">
        <v>2.72</v>
      </c>
      <c r="U125">
        <f t="shared" si="4"/>
        <v>235647.68547878938</v>
      </c>
      <c r="V125">
        <f t="shared" si="5"/>
        <v>1.6688462360634002</v>
      </c>
    </row>
    <row r="126" spans="16:22" x14ac:dyDescent="0.2">
      <c r="P126">
        <v>2.21</v>
      </c>
      <c r="Q126">
        <f t="shared" si="6"/>
        <v>68569.018357725319</v>
      </c>
      <c r="R126">
        <f t="shared" si="7"/>
        <v>0.59984741420055798</v>
      </c>
      <c r="T126">
        <v>2.73</v>
      </c>
      <c r="U126">
        <f t="shared" si="4"/>
        <v>236315.22397321474</v>
      </c>
      <c r="V126">
        <f t="shared" si="5"/>
        <v>1.6670643174142605</v>
      </c>
    </row>
    <row r="127" spans="16:22" x14ac:dyDescent="0.2">
      <c r="P127">
        <v>2.2200000000000002</v>
      </c>
      <c r="Q127">
        <f t="shared" si="6"/>
        <v>68808.957323405542</v>
      </c>
      <c r="R127">
        <f t="shared" si="7"/>
        <v>0.59901951347732396</v>
      </c>
      <c r="T127">
        <v>2.74</v>
      </c>
      <c r="U127">
        <f t="shared" si="4"/>
        <v>236982.04970018045</v>
      </c>
      <c r="V127">
        <f t="shared" si="5"/>
        <v>1.6652965065911121</v>
      </c>
    </row>
    <row r="128" spans="16:22" x14ac:dyDescent="0.2">
      <c r="P128">
        <v>2.23</v>
      </c>
      <c r="Q128">
        <f t="shared" si="6"/>
        <v>69048.565128796472</v>
      </c>
      <c r="R128">
        <f t="shared" si="7"/>
        <v>0.59820029583443102</v>
      </c>
      <c r="T128">
        <v>2.75</v>
      </c>
      <c r="U128">
        <f t="shared" si="4"/>
        <v>237648.16830281689</v>
      </c>
      <c r="V128">
        <f t="shared" si="5"/>
        <v>1.6635425642525661</v>
      </c>
    </row>
    <row r="129" spans="16:22" x14ac:dyDescent="0.2">
      <c r="P129">
        <v>2.2400000000000002</v>
      </c>
      <c r="Q129">
        <f t="shared" si="6"/>
        <v>69287.845247130244</v>
      </c>
      <c r="R129">
        <f t="shared" si="7"/>
        <v>0.59738957722849595</v>
      </c>
      <c r="T129">
        <v>2.76</v>
      </c>
      <c r="U129">
        <f t="shared" si="4"/>
        <v>238313.58532851792</v>
      </c>
      <c r="V129">
        <f t="shared" si="5"/>
        <v>1.6618022564543207</v>
      </c>
    </row>
    <row r="130" spans="16:22" x14ac:dyDescent="0.2">
      <c r="P130">
        <v>2.25</v>
      </c>
      <c r="Q130">
        <f t="shared" si="6"/>
        <v>69526.801078021643</v>
      </c>
      <c r="R130">
        <f t="shared" si="7"/>
        <v>0.59658717845741194</v>
      </c>
      <c r="T130">
        <v>2.77</v>
      </c>
      <c r="U130">
        <f t="shared" si="4"/>
        <v>238978.30623109965</v>
      </c>
      <c r="V130">
        <f t="shared" si="5"/>
        <v>1.6600753545186309</v>
      </c>
    </row>
    <row r="131" spans="16:22" x14ac:dyDescent="0.2">
      <c r="P131">
        <v>2.2599999999999998</v>
      </c>
      <c r="Q131">
        <f t="shared" si="6"/>
        <v>69765.435949404608</v>
      </c>
      <c r="R131">
        <f t="shared" si="7"/>
        <v>0.59579292503811299</v>
      </c>
      <c r="T131">
        <v>2.78</v>
      </c>
      <c r="U131">
        <f t="shared" si="4"/>
        <v>239642.3363729071</v>
      </c>
      <c r="V131">
        <f t="shared" si="5"/>
        <v>1.6583616349125077</v>
      </c>
    </row>
    <row r="132" spans="16:22" x14ac:dyDescent="0.2">
      <c r="P132">
        <v>2.27</v>
      </c>
      <c r="Q132">
        <f t="shared" si="6"/>
        <v>70003.753119419853</v>
      </c>
      <c r="R132">
        <f t="shared" si="7"/>
        <v>0.59500664708706608</v>
      </c>
      <c r="T132">
        <v>2.79</v>
      </c>
      <c r="U132">
        <f t="shared" ref="U132:U139" si="8">3.3*40000*0.875315*(POWER(POWER(T132/1.16778,2.424242+0.975417/LN(POWER(T132/1.16778,4.329004)+4)),0.314077))</f>
        <v>240305.6810268721</v>
      </c>
      <c r="V132">
        <f t="shared" ref="V132:V140" si="9">(U133-U132)/0.01/40000</f>
        <v>1.6566608791230102</v>
      </c>
    </row>
    <row r="133" spans="16:22" x14ac:dyDescent="0.2">
      <c r="P133">
        <v>2.2799999999999998</v>
      </c>
      <c r="Q133">
        <f t="shared" si="6"/>
        <v>70241.755778254679</v>
      </c>
      <c r="R133">
        <f t="shared" si="7"/>
        <v>0.59422817920192761</v>
      </c>
      <c r="T133">
        <v>2.8</v>
      </c>
      <c r="U133">
        <f t="shared" si="8"/>
        <v>240968.34537852131</v>
      </c>
      <c r="V133">
        <f t="shared" si="9"/>
        <v>1.6549728735361713</v>
      </c>
    </row>
    <row r="134" spans="16:22" x14ac:dyDescent="0.2">
      <c r="P134">
        <v>2.29</v>
      </c>
      <c r="Q134">
        <f t="shared" si="6"/>
        <v>70479.44704993545</v>
      </c>
      <c r="R134">
        <f t="shared" si="7"/>
        <v>0.59345736034469154</v>
      </c>
      <c r="T134">
        <v>2.81</v>
      </c>
      <c r="U134">
        <f t="shared" si="8"/>
        <v>241630.33452793577</v>
      </c>
      <c r="V134">
        <f t="shared" si="9"/>
        <v>1.6532974093202211</v>
      </c>
    </row>
    <row r="135" spans="16:22" x14ac:dyDescent="0.2">
      <c r="P135">
        <v>2.2999999999999998</v>
      </c>
      <c r="Q135">
        <f t="shared" si="6"/>
        <v>70716.829994073327</v>
      </c>
      <c r="R135">
        <f t="shared" si="7"/>
        <v>0.59269403372822127</v>
      </c>
      <c r="T135">
        <v>2.82</v>
      </c>
      <c r="U135">
        <f t="shared" si="8"/>
        <v>242291.65349166386</v>
      </c>
      <c r="V135">
        <f t="shared" si="9"/>
        <v>1.6516342823108425</v>
      </c>
    </row>
    <row r="136" spans="16:22" x14ac:dyDescent="0.2">
      <c r="P136">
        <v>2.31</v>
      </c>
      <c r="Q136">
        <f t="shared" si="6"/>
        <v>70953.907607564615</v>
      </c>
      <c r="R136">
        <f t="shared" si="7"/>
        <v>0.59193804670245298</v>
      </c>
      <c r="T136">
        <v>2.83</v>
      </c>
      <c r="U136">
        <f t="shared" si="8"/>
        <v>242952.3072045882</v>
      </c>
      <c r="V136">
        <f t="shared" si="9"/>
        <v>1.6499832928956311</v>
      </c>
    </row>
    <row r="137" spans="16:22" x14ac:dyDescent="0.2">
      <c r="P137">
        <v>2.3199999999999998</v>
      </c>
      <c r="Q137">
        <f t="shared" si="6"/>
        <v>71190.682826245597</v>
      </c>
      <c r="R137">
        <f t="shared" si="7"/>
        <v>0.5911892506454387</v>
      </c>
      <c r="T137">
        <v>2.84</v>
      </c>
      <c r="U137">
        <f t="shared" si="8"/>
        <v>243612.30052174645</v>
      </c>
      <c r="V137">
        <f t="shared" si="9"/>
        <v>1.6483442459068465</v>
      </c>
    </row>
    <row r="138" spans="16:22" x14ac:dyDescent="0.2">
      <c r="P138">
        <v>2.33</v>
      </c>
      <c r="Q138">
        <f t="shared" si="6"/>
        <v>71427.158526503772</v>
      </c>
      <c r="R138">
        <f t="shared" si="7"/>
        <v>0.59044750085387931</v>
      </c>
      <c r="T138">
        <v>2.85</v>
      </c>
      <c r="U138">
        <f t="shared" si="8"/>
        <v>244271.63822010919</v>
      </c>
      <c r="V138">
        <f t="shared" si="9"/>
        <v>1.646716950510454</v>
      </c>
    </row>
    <row r="139" spans="16:22" x14ac:dyDescent="0.2">
      <c r="P139">
        <v>2.34</v>
      </c>
      <c r="Q139">
        <f t="shared" si="6"/>
        <v>71663.337526845324</v>
      </c>
      <c r="R139">
        <f t="shared" si="7"/>
        <v>0.58971265643798687</v>
      </c>
      <c r="T139">
        <v>2.86</v>
      </c>
      <c r="U139">
        <f t="shared" si="8"/>
        <v>244930.32500031337</v>
      </c>
      <c r="V139">
        <f t="shared" si="9"/>
        <v>1.4741874992165684</v>
      </c>
    </row>
    <row r="140" spans="16:22" x14ac:dyDescent="0.2">
      <c r="P140">
        <v>2.35</v>
      </c>
      <c r="Q140">
        <f t="shared" si="6"/>
        <v>71899.222589420518</v>
      </c>
      <c r="R140">
        <f t="shared" si="7"/>
        <v>0.58898458021682021</v>
      </c>
      <c r="T140">
        <v>2.87</v>
      </c>
      <c r="U140">
        <f>40000*1.86*3.3</f>
        <v>245520</v>
      </c>
      <c r="V140">
        <f t="shared" si="9"/>
        <v>0</v>
      </c>
    </row>
    <row r="141" spans="16:22" x14ac:dyDescent="0.2">
      <c r="P141">
        <v>2.36</v>
      </c>
      <c r="Q141">
        <f t="shared" si="6"/>
        <v>72134.816421507247</v>
      </c>
      <c r="R141">
        <f t="shared" si="7"/>
        <v>0.58826313861725799</v>
      </c>
      <c r="T141">
        <v>2.88</v>
      </c>
      <c r="U141">
        <f>40000*1.86*3.3</f>
        <v>245520</v>
      </c>
    </row>
    <row r="142" spans="16:22" x14ac:dyDescent="0.2">
      <c r="P142">
        <v>2.37</v>
      </c>
      <c r="Q142">
        <f t="shared" si="6"/>
        <v>72370.12167695415</v>
      </c>
      <c r="R142">
        <f t="shared" si="7"/>
        <v>0.58754820157442733</v>
      </c>
    </row>
    <row r="143" spans="16:22" x14ac:dyDescent="0.2">
      <c r="P143">
        <v>2.38</v>
      </c>
      <c r="Q143">
        <f t="shared" si="6"/>
        <v>72605.140957583921</v>
      </c>
      <c r="R143">
        <f t="shared" si="7"/>
        <v>0.58683964243413356</v>
      </c>
    </row>
    <row r="144" spans="16:22" x14ac:dyDescent="0.2">
      <c r="P144">
        <v>2.39</v>
      </c>
      <c r="Q144">
        <f t="shared" si="6"/>
        <v>72839.876814557574</v>
      </c>
      <c r="R144">
        <f t="shared" si="7"/>
        <v>0.58613733785867228</v>
      </c>
    </row>
    <row r="145" spans="16:18" x14ac:dyDescent="0.2">
      <c r="P145">
        <v>2.4</v>
      </c>
      <c r="Q145">
        <f t="shared" si="6"/>
        <v>73074.331749701043</v>
      </c>
      <c r="R145">
        <f t="shared" si="7"/>
        <v>0.58544116773355204</v>
      </c>
    </row>
    <row r="146" spans="16:18" x14ac:dyDescent="0.2">
      <c r="P146">
        <v>2.41</v>
      </c>
      <c r="Q146">
        <f t="shared" si="6"/>
        <v>73308.508216794464</v>
      </c>
      <c r="R146">
        <f t="shared" si="7"/>
        <v>0.58475101507741778</v>
      </c>
    </row>
    <row r="147" spans="16:18" x14ac:dyDescent="0.2">
      <c r="P147">
        <v>2.42</v>
      </c>
      <c r="Q147">
        <f t="shared" si="6"/>
        <v>73542.408622825431</v>
      </c>
      <c r="R147">
        <f t="shared" si="7"/>
        <v>0.58406676595379392</v>
      </c>
    </row>
    <row r="148" spans="16:18" x14ac:dyDescent="0.2">
      <c r="P148">
        <v>2.4300000000000002</v>
      </c>
      <c r="Q148">
        <f t="shared" si="6"/>
        <v>73776.035329206949</v>
      </c>
      <c r="R148">
        <f t="shared" si="7"/>
        <v>0.58338830938504538</v>
      </c>
    </row>
    <row r="149" spans="16:18" x14ac:dyDescent="0.2">
      <c r="P149">
        <v>2.44</v>
      </c>
      <c r="Q149">
        <f t="shared" si="6"/>
        <v>74009.390652960967</v>
      </c>
      <c r="R149">
        <f t="shared" si="7"/>
        <v>0.58271553726881398</v>
      </c>
    </row>
    <row r="150" spans="16:18" x14ac:dyDescent="0.2">
      <c r="P150">
        <v>2.4500000000000002</v>
      </c>
      <c r="Q150">
        <f t="shared" si="6"/>
        <v>74242.476867868492</v>
      </c>
      <c r="R150">
        <f t="shared" si="7"/>
        <v>0.39380783032876931</v>
      </c>
    </row>
    <row r="151" spans="16:18" x14ac:dyDescent="0.2">
      <c r="P151">
        <v>2.46</v>
      </c>
      <c r="Q151">
        <f>40000*1.86</f>
        <v>74400</v>
      </c>
      <c r="R151">
        <f t="shared" si="7"/>
        <v>0</v>
      </c>
    </row>
    <row r="152" spans="16:18" x14ac:dyDescent="0.2">
      <c r="P152">
        <v>2.4700000000000002</v>
      </c>
      <c r="Q152">
        <f>40000*1.86</f>
        <v>74400</v>
      </c>
    </row>
  </sheetData>
  <mergeCells count="13">
    <mergeCell ref="A35:N36"/>
    <mergeCell ref="A26:N26"/>
    <mergeCell ref="A20:M22"/>
    <mergeCell ref="T1:V1"/>
    <mergeCell ref="P6:R6"/>
    <mergeCell ref="A25:M25"/>
    <mergeCell ref="P21:R21"/>
    <mergeCell ref="P1:R1"/>
    <mergeCell ref="A18:M19"/>
    <mergeCell ref="A1:J1"/>
    <mergeCell ref="A2:M14"/>
    <mergeCell ref="A15:M17"/>
    <mergeCell ref="A30:N30"/>
  </mergeCells>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3DF-70FA-4A19-AA9E-AF4EADC72024}">
  <dimension ref="A1:P67"/>
  <sheetViews>
    <sheetView workbookViewId="0">
      <selection activeCell="R27" sqref="R27"/>
    </sheetView>
  </sheetViews>
  <sheetFormatPr defaultColWidth="10.875" defaultRowHeight="14.25" x14ac:dyDescent="0.2"/>
  <cols>
    <col min="13" max="13" width="12.875" customWidth="1"/>
    <col min="14" max="14" width="13" customWidth="1"/>
    <col min="16" max="16" width="10.875" customWidth="1"/>
  </cols>
  <sheetData>
    <row r="1" spans="1:16" x14ac:dyDescent="0.2">
      <c r="A1" s="36" t="s">
        <v>794</v>
      </c>
      <c r="B1" s="36"/>
      <c r="C1" s="36"/>
      <c r="D1" s="36"/>
      <c r="E1" s="36"/>
      <c r="F1" s="36"/>
      <c r="G1" s="36"/>
      <c r="H1" s="36"/>
      <c r="I1" s="36"/>
      <c r="J1" s="36"/>
      <c r="K1" s="36"/>
      <c r="L1" s="36"/>
      <c r="M1" s="36"/>
      <c r="N1" s="36"/>
      <c r="O1" s="36"/>
      <c r="P1" s="36"/>
    </row>
    <row r="3" spans="1:16" x14ac:dyDescent="0.2">
      <c r="A3" s="36" t="s">
        <v>833</v>
      </c>
      <c r="B3" s="36"/>
      <c r="C3" s="36"/>
      <c r="D3" s="36"/>
      <c r="E3" s="36"/>
      <c r="F3" s="36"/>
      <c r="G3" s="36"/>
      <c r="H3" s="36"/>
      <c r="I3" s="36"/>
      <c r="J3" s="36"/>
    </row>
    <row r="4" spans="1:16" x14ac:dyDescent="0.2">
      <c r="A4">
        <v>1</v>
      </c>
      <c r="B4">
        <v>2</v>
      </c>
      <c r="C4">
        <v>3</v>
      </c>
      <c r="D4">
        <v>4</v>
      </c>
      <c r="E4">
        <v>5</v>
      </c>
      <c r="F4">
        <v>6</v>
      </c>
      <c r="G4">
        <v>7</v>
      </c>
      <c r="H4">
        <v>8</v>
      </c>
      <c r="I4">
        <v>9</v>
      </c>
      <c r="J4">
        <v>10</v>
      </c>
      <c r="K4">
        <v>11</v>
      </c>
      <c r="L4">
        <v>12</v>
      </c>
      <c r="M4">
        <v>13</v>
      </c>
      <c r="N4">
        <v>14</v>
      </c>
      <c r="O4">
        <v>15</v>
      </c>
      <c r="P4">
        <v>16</v>
      </c>
    </row>
    <row r="5" spans="1:16" x14ac:dyDescent="0.2">
      <c r="A5">
        <v>0.4</v>
      </c>
      <c r="B5">
        <v>0.7</v>
      </c>
      <c r="C5">
        <v>1</v>
      </c>
      <c r="D5">
        <v>1.4</v>
      </c>
      <c r="E5">
        <v>1.9</v>
      </c>
      <c r="F5">
        <v>2.5</v>
      </c>
      <c r="G5">
        <v>3.3</v>
      </c>
      <c r="H5">
        <v>4.3</v>
      </c>
      <c r="I5">
        <v>5.5</v>
      </c>
      <c r="J5">
        <v>6.9</v>
      </c>
      <c r="K5">
        <v>8.4</v>
      </c>
      <c r="L5">
        <v>10</v>
      </c>
      <c r="M5">
        <v>11.7</v>
      </c>
      <c r="N5">
        <v>13.5</v>
      </c>
      <c r="O5">
        <v>15.4</v>
      </c>
      <c r="P5">
        <v>17.5</v>
      </c>
    </row>
    <row r="6" spans="1:16" x14ac:dyDescent="0.2">
      <c r="A6" s="36" t="s">
        <v>834</v>
      </c>
      <c r="B6" s="36"/>
    </row>
    <row r="7" spans="1:16" x14ac:dyDescent="0.2">
      <c r="B7" t="s">
        <v>835</v>
      </c>
    </row>
    <row r="12" spans="1:16" x14ac:dyDescent="0.2">
      <c r="A12" s="58" t="s">
        <v>795</v>
      </c>
      <c r="B12" s="59"/>
      <c r="C12" s="59"/>
      <c r="D12" s="59"/>
      <c r="E12" s="59"/>
      <c r="F12" s="59"/>
      <c r="G12" s="59"/>
      <c r="H12" s="59"/>
      <c r="I12" s="59"/>
      <c r="J12" s="59"/>
      <c r="K12" s="59"/>
      <c r="L12" s="59"/>
      <c r="M12" s="59"/>
      <c r="N12" s="59"/>
      <c r="O12" s="59"/>
      <c r="P12" s="60"/>
    </row>
    <row r="13" spans="1:16" x14ac:dyDescent="0.2">
      <c r="A13" s="22"/>
      <c r="B13" s="23"/>
      <c r="C13" s="23"/>
      <c r="D13" s="23"/>
      <c r="E13" s="23"/>
      <c r="F13" s="23"/>
      <c r="G13" s="23"/>
      <c r="H13" s="23"/>
      <c r="I13" s="23"/>
      <c r="J13" s="23"/>
      <c r="K13" s="23"/>
      <c r="L13" s="23"/>
      <c r="M13" s="23"/>
      <c r="N13" s="23"/>
      <c r="O13" s="23"/>
      <c r="P13" s="24"/>
    </row>
    <row r="14" spans="1:16" x14ac:dyDescent="0.2">
      <c r="A14" s="29" t="s">
        <v>808</v>
      </c>
      <c r="B14" s="11"/>
      <c r="C14" t="s">
        <v>796</v>
      </c>
      <c r="D14" s="25" t="s">
        <v>767</v>
      </c>
      <c r="E14" s="25" t="s">
        <v>800</v>
      </c>
      <c r="F14" s="25" t="s">
        <v>801</v>
      </c>
      <c r="G14" s="25"/>
      <c r="H14" s="25"/>
      <c r="I14" s="25"/>
      <c r="J14" s="25"/>
      <c r="K14" s="25"/>
      <c r="L14" s="25"/>
      <c r="M14" s="25"/>
      <c r="N14" s="25"/>
      <c r="O14" s="25"/>
      <c r="P14" s="26"/>
    </row>
    <row r="15" spans="1:16" x14ac:dyDescent="0.2">
      <c r="A15" s="27"/>
      <c r="D15" t="s">
        <v>797</v>
      </c>
      <c r="E15" t="s">
        <v>802</v>
      </c>
      <c r="F15" t="s">
        <v>802</v>
      </c>
      <c r="P15" s="28"/>
    </row>
    <row r="16" spans="1:16" x14ac:dyDescent="0.2">
      <c r="A16" s="27"/>
      <c r="D16" t="s">
        <v>798</v>
      </c>
      <c r="E16" t="s">
        <v>803</v>
      </c>
      <c r="F16" t="s">
        <v>802</v>
      </c>
      <c r="P16" s="28"/>
    </row>
    <row r="17" spans="1:16" x14ac:dyDescent="0.2">
      <c r="D17" t="s">
        <v>799</v>
      </c>
      <c r="E17" t="s">
        <v>804</v>
      </c>
      <c r="F17" t="s">
        <v>805</v>
      </c>
      <c r="P17" s="28"/>
    </row>
    <row r="18" spans="1:16" x14ac:dyDescent="0.2">
      <c r="A18" s="30" t="s">
        <v>767</v>
      </c>
      <c r="B18">
        <v>0.15</v>
      </c>
      <c r="C18">
        <v>0.15</v>
      </c>
      <c r="D18">
        <v>6.25E-2</v>
      </c>
      <c r="E18">
        <v>6.25E-2</v>
      </c>
      <c r="F18">
        <v>0.375</v>
      </c>
      <c r="G18">
        <v>1.4999999999999999E-2</v>
      </c>
      <c r="H18">
        <v>1.4999999999999999E-2</v>
      </c>
      <c r="I18">
        <v>0.06</v>
      </c>
      <c r="J18">
        <v>0.06</v>
      </c>
      <c r="K18">
        <v>2.5000000000000001E-2</v>
      </c>
      <c r="L18">
        <v>2.5000000000000001E-2</v>
      </c>
      <c r="N18" t="s">
        <v>807</v>
      </c>
      <c r="P18" s="28"/>
    </row>
    <row r="19" spans="1:16" x14ac:dyDescent="0.2">
      <c r="A19" s="27" t="s">
        <v>797</v>
      </c>
      <c r="B19" s="2">
        <v>2</v>
      </c>
      <c r="C19" s="2">
        <v>3</v>
      </c>
      <c r="D19" s="2">
        <v>2</v>
      </c>
      <c r="E19" s="2">
        <v>3</v>
      </c>
      <c r="F19" s="2" t="s">
        <v>806</v>
      </c>
      <c r="G19" s="2">
        <v>2</v>
      </c>
      <c r="H19" s="2">
        <v>3</v>
      </c>
      <c r="I19" s="2">
        <v>2</v>
      </c>
      <c r="J19" s="2">
        <v>3</v>
      </c>
      <c r="K19" s="2" t="s">
        <v>830</v>
      </c>
      <c r="L19" s="2" t="s">
        <v>829</v>
      </c>
      <c r="N19">
        <f>SUM(B18:L18)</f>
        <v>1.0000000000000002</v>
      </c>
      <c r="P19" s="28"/>
    </row>
    <row r="20" spans="1:16" x14ac:dyDescent="0.2">
      <c r="A20" s="27" t="s">
        <v>798</v>
      </c>
      <c r="B20" s="2">
        <v>-1</v>
      </c>
      <c r="C20" s="2">
        <v>-1</v>
      </c>
      <c r="D20" s="2">
        <v>3</v>
      </c>
      <c r="E20" s="2">
        <v>4</v>
      </c>
      <c r="F20" s="2" t="s">
        <v>804</v>
      </c>
      <c r="G20" s="2">
        <v>3</v>
      </c>
      <c r="H20" s="2">
        <v>4</v>
      </c>
      <c r="I20" s="2" t="s">
        <v>829</v>
      </c>
      <c r="J20" s="2" t="s">
        <v>829</v>
      </c>
      <c r="K20" s="2" t="s">
        <v>804</v>
      </c>
      <c r="L20" s="2" t="s">
        <v>804</v>
      </c>
      <c r="P20" s="28"/>
    </row>
    <row r="21" spans="1:16" x14ac:dyDescent="0.2">
      <c r="A21" s="22" t="s">
        <v>799</v>
      </c>
      <c r="B21" s="31">
        <v>-1</v>
      </c>
      <c r="C21" s="31">
        <v>-1</v>
      </c>
      <c r="D21" s="31">
        <v>-1</v>
      </c>
      <c r="E21" s="31">
        <v>-1</v>
      </c>
      <c r="F21" s="31">
        <v>-1</v>
      </c>
      <c r="G21" s="31">
        <v>4</v>
      </c>
      <c r="H21" s="31">
        <v>5</v>
      </c>
      <c r="I21" s="31" t="s">
        <v>804</v>
      </c>
      <c r="J21" s="31" t="s">
        <v>804</v>
      </c>
      <c r="K21" s="31" t="s">
        <v>804</v>
      </c>
      <c r="L21" s="31" t="s">
        <v>804</v>
      </c>
      <c r="M21" s="23"/>
      <c r="N21" s="23"/>
      <c r="O21" s="23"/>
      <c r="P21" s="24"/>
    </row>
    <row r="22" spans="1:16" x14ac:dyDescent="0.2">
      <c r="A22" t="s">
        <v>836</v>
      </c>
    </row>
    <row r="23" spans="1:16" x14ac:dyDescent="0.2">
      <c r="A23" s="61" t="s">
        <v>844</v>
      </c>
      <c r="B23" s="35" t="s">
        <v>845</v>
      </c>
      <c r="C23" s="35"/>
      <c r="D23" s="35"/>
      <c r="E23" s="35"/>
      <c r="F23" s="35"/>
      <c r="G23" s="35"/>
      <c r="H23" s="62" t="s">
        <v>846</v>
      </c>
      <c r="I23" s="62"/>
      <c r="J23" s="62"/>
      <c r="K23" s="62"/>
      <c r="L23" s="62"/>
      <c r="M23" s="62"/>
    </row>
    <row r="24" spans="1:16" x14ac:dyDescent="0.2">
      <c r="A24" s="61"/>
      <c r="B24" s="2">
        <v>1</v>
      </c>
      <c r="C24" s="2">
        <v>2</v>
      </c>
      <c r="D24" s="2">
        <v>3</v>
      </c>
      <c r="E24" s="2">
        <v>4</v>
      </c>
      <c r="F24" s="2">
        <v>5</v>
      </c>
      <c r="G24" s="2">
        <v>6</v>
      </c>
      <c r="H24" s="2">
        <v>1</v>
      </c>
      <c r="I24" s="2">
        <v>2</v>
      </c>
      <c r="J24" s="2">
        <v>3</v>
      </c>
      <c r="K24" s="2">
        <v>4</v>
      </c>
      <c r="L24" s="2">
        <v>5</v>
      </c>
      <c r="M24" s="2">
        <v>6</v>
      </c>
    </row>
    <row r="25" spans="1:16" x14ac:dyDescent="0.2">
      <c r="A25" s="35" t="s">
        <v>837</v>
      </c>
      <c r="B25" s="35">
        <v>0.1</v>
      </c>
      <c r="C25" s="35">
        <v>0.2</v>
      </c>
      <c r="D25" s="35">
        <v>0.5</v>
      </c>
      <c r="E25" s="35">
        <v>0.2</v>
      </c>
      <c r="F25" s="35">
        <v>0</v>
      </c>
      <c r="G25" s="35">
        <v>0</v>
      </c>
      <c r="H25" s="2">
        <v>0.2</v>
      </c>
      <c r="I25" s="2">
        <v>0.2</v>
      </c>
      <c r="J25" s="2">
        <v>0</v>
      </c>
      <c r="K25" s="35" t="s">
        <v>847</v>
      </c>
      <c r="L25" s="35"/>
      <c r="M25" s="35"/>
      <c r="N25" s="35"/>
    </row>
    <row r="26" spans="1:16" x14ac:dyDescent="0.2">
      <c r="A26" s="35"/>
      <c r="B26" s="35"/>
      <c r="C26" s="35"/>
      <c r="D26" s="35"/>
      <c r="E26" s="35"/>
      <c r="F26" s="35"/>
      <c r="G26" s="35"/>
      <c r="H26" s="2">
        <v>0</v>
      </c>
      <c r="I26">
        <v>0.2</v>
      </c>
      <c r="J26">
        <v>0.3</v>
      </c>
      <c r="K26" s="2">
        <v>0</v>
      </c>
      <c r="L26" s="2">
        <v>0</v>
      </c>
      <c r="M26" s="2">
        <v>0</v>
      </c>
      <c r="N26" s="35"/>
    </row>
    <row r="27" spans="1:16" x14ac:dyDescent="0.2">
      <c r="A27" s="35" t="s">
        <v>838</v>
      </c>
      <c r="B27" s="35">
        <v>0.1</v>
      </c>
      <c r="C27" s="35">
        <v>0.1</v>
      </c>
      <c r="D27" s="35">
        <v>0.5</v>
      </c>
      <c r="E27" s="35">
        <v>0.25</v>
      </c>
      <c r="F27" s="35">
        <v>0.05</v>
      </c>
      <c r="G27" s="35">
        <v>0</v>
      </c>
      <c r="H27" s="2">
        <v>0.18</v>
      </c>
      <c r="I27" s="2">
        <v>0.18</v>
      </c>
      <c r="J27" s="2">
        <v>0</v>
      </c>
      <c r="K27" s="35" t="s">
        <v>847</v>
      </c>
      <c r="L27" s="35"/>
      <c r="M27" s="35"/>
    </row>
    <row r="28" spans="1:16" x14ac:dyDescent="0.2">
      <c r="A28" s="35"/>
      <c r="B28" s="35"/>
      <c r="C28" s="35"/>
      <c r="D28" s="35"/>
      <c r="E28" s="35"/>
      <c r="F28" s="35"/>
      <c r="G28" s="35"/>
      <c r="H28" s="2">
        <v>0</v>
      </c>
      <c r="I28" s="2">
        <v>0.18</v>
      </c>
      <c r="J28" s="2">
        <v>0.28000000000000003</v>
      </c>
      <c r="K28" s="2">
        <v>0.28000000000000003</v>
      </c>
      <c r="L28" s="2">
        <v>0</v>
      </c>
      <c r="M28" s="2">
        <v>0</v>
      </c>
    </row>
    <row r="29" spans="1:16" x14ac:dyDescent="0.2">
      <c r="A29" s="35" t="s">
        <v>839</v>
      </c>
      <c r="B29" s="35">
        <v>0</v>
      </c>
      <c r="C29" s="35">
        <v>0</v>
      </c>
      <c r="D29" s="35">
        <v>0.4</v>
      </c>
      <c r="E29" s="35">
        <v>0.5</v>
      </c>
      <c r="F29" s="35">
        <v>0.1</v>
      </c>
      <c r="G29" s="35">
        <v>0</v>
      </c>
      <c r="H29" s="2">
        <v>0.18</v>
      </c>
      <c r="I29" s="2">
        <v>0.18</v>
      </c>
      <c r="J29" s="2">
        <v>0</v>
      </c>
      <c r="K29" s="35" t="s">
        <v>847</v>
      </c>
      <c r="L29" s="35"/>
      <c r="M29" s="35"/>
    </row>
    <row r="30" spans="1:16" x14ac:dyDescent="0.2">
      <c r="A30" s="35"/>
      <c r="B30" s="35"/>
      <c r="C30" s="35"/>
      <c r="D30" s="35"/>
      <c r="E30" s="35"/>
      <c r="F30" s="35"/>
      <c r="G30" s="35"/>
      <c r="H30" s="2">
        <v>0</v>
      </c>
      <c r="I30" s="2">
        <v>0.2</v>
      </c>
      <c r="J30" s="2">
        <v>0.3</v>
      </c>
      <c r="K30" s="2">
        <v>0.3</v>
      </c>
      <c r="L30" s="2">
        <v>0</v>
      </c>
      <c r="M30" s="2">
        <v>0</v>
      </c>
    </row>
    <row r="31" spans="1:16" x14ac:dyDescent="0.2">
      <c r="A31" s="35" t="s">
        <v>840</v>
      </c>
      <c r="B31" s="35">
        <v>0</v>
      </c>
      <c r="C31" s="35">
        <v>0</v>
      </c>
      <c r="D31" s="35">
        <v>0.35</v>
      </c>
      <c r="E31" s="35">
        <v>0.45</v>
      </c>
      <c r="F31" s="35">
        <v>0.2</v>
      </c>
      <c r="G31" s="35">
        <v>0</v>
      </c>
      <c r="H31" s="2">
        <v>0.2</v>
      </c>
      <c r="I31" s="2">
        <v>0.2</v>
      </c>
      <c r="J31" s="2">
        <v>0</v>
      </c>
      <c r="K31" s="35" t="s">
        <v>847</v>
      </c>
      <c r="L31" s="35"/>
      <c r="M31" s="35"/>
    </row>
    <row r="32" spans="1:16" x14ac:dyDescent="0.2">
      <c r="A32" s="35"/>
      <c r="B32" s="35"/>
      <c r="C32" s="35"/>
      <c r="D32" s="35"/>
      <c r="E32" s="35"/>
      <c r="F32" s="35"/>
      <c r="G32" s="35"/>
      <c r="H32" s="2">
        <v>0</v>
      </c>
      <c r="I32" s="2">
        <v>0.22</v>
      </c>
      <c r="J32" s="2">
        <v>0.31</v>
      </c>
      <c r="K32" s="2">
        <v>0.31</v>
      </c>
      <c r="L32" s="2">
        <v>0</v>
      </c>
      <c r="M32" s="2">
        <v>0</v>
      </c>
    </row>
    <row r="33" spans="1:14" x14ac:dyDescent="0.2">
      <c r="A33" s="35" t="s">
        <v>841</v>
      </c>
      <c r="B33" s="35">
        <v>0</v>
      </c>
      <c r="C33" s="35">
        <v>0</v>
      </c>
      <c r="D33" s="35">
        <v>0.3</v>
      </c>
      <c r="E33" s="35">
        <v>0.45</v>
      </c>
      <c r="F33" s="35">
        <v>0.25</v>
      </c>
      <c r="G33" s="35">
        <v>0</v>
      </c>
      <c r="H33" s="2">
        <v>0.2</v>
      </c>
      <c r="I33" s="2">
        <v>0.2</v>
      </c>
      <c r="J33" s="2">
        <v>0</v>
      </c>
      <c r="K33" s="35" t="s">
        <v>847</v>
      </c>
      <c r="L33" s="35"/>
      <c r="M33" s="35"/>
    </row>
    <row r="34" spans="1:14" x14ac:dyDescent="0.2">
      <c r="A34" s="35"/>
      <c r="B34" s="35"/>
      <c r="C34" s="35"/>
      <c r="D34" s="35"/>
      <c r="E34" s="35"/>
      <c r="F34" s="35"/>
      <c r="G34" s="35"/>
      <c r="H34" s="2">
        <v>0.1</v>
      </c>
      <c r="I34" s="2">
        <v>0.28000000000000003</v>
      </c>
      <c r="J34" s="2">
        <v>0.3</v>
      </c>
      <c r="K34" s="2">
        <v>0.35</v>
      </c>
      <c r="L34" s="2">
        <v>0</v>
      </c>
      <c r="M34" s="2">
        <v>0</v>
      </c>
    </row>
    <row r="35" spans="1:14" x14ac:dyDescent="0.2">
      <c r="A35" s="35" t="s">
        <v>842</v>
      </c>
      <c r="B35" s="35">
        <v>0</v>
      </c>
      <c r="C35" s="35">
        <v>0</v>
      </c>
      <c r="D35" s="35">
        <v>0</v>
      </c>
      <c r="E35" s="35">
        <v>0.3</v>
      </c>
      <c r="F35" s="35">
        <v>0.45</v>
      </c>
      <c r="G35" s="35">
        <v>0.25</v>
      </c>
      <c r="H35" s="2">
        <v>0.2</v>
      </c>
      <c r="I35" s="2">
        <v>0.2</v>
      </c>
      <c r="J35" s="2">
        <v>0</v>
      </c>
      <c r="K35" s="35" t="s">
        <v>847</v>
      </c>
      <c r="L35" s="35"/>
      <c r="M35" s="35"/>
      <c r="N35" t="s">
        <v>860</v>
      </c>
    </row>
    <row r="36" spans="1:14" x14ac:dyDescent="0.2">
      <c r="A36" s="35"/>
      <c r="B36" s="35"/>
      <c r="C36" s="35"/>
      <c r="D36" s="35"/>
      <c r="E36" s="35"/>
      <c r="F36" s="35"/>
      <c r="G36" s="35"/>
      <c r="H36" s="2">
        <v>0.1</v>
      </c>
      <c r="I36" s="2">
        <v>0.22</v>
      </c>
      <c r="J36" s="2">
        <v>0.28000000000000003</v>
      </c>
      <c r="K36" s="2">
        <v>0.35</v>
      </c>
      <c r="L36" s="2">
        <v>0.35</v>
      </c>
      <c r="M36" s="2">
        <v>0</v>
      </c>
    </row>
    <row r="37" spans="1:14" x14ac:dyDescent="0.2">
      <c r="A37" s="35" t="s">
        <v>843</v>
      </c>
      <c r="B37" s="35">
        <v>0</v>
      </c>
      <c r="C37" s="35">
        <v>0</v>
      </c>
      <c r="D37" s="35">
        <v>0</v>
      </c>
      <c r="E37" s="35">
        <v>0</v>
      </c>
      <c r="F37" s="35">
        <v>0.5</v>
      </c>
      <c r="G37" s="35">
        <v>0.5</v>
      </c>
      <c r="H37" s="35" t="s">
        <v>847</v>
      </c>
      <c r="I37" s="35"/>
      <c r="J37" s="35"/>
      <c r="K37" s="35"/>
      <c r="L37" s="35"/>
      <c r="M37" s="35"/>
    </row>
    <row r="38" spans="1:14" x14ac:dyDescent="0.2">
      <c r="A38" s="35"/>
      <c r="B38" s="35"/>
      <c r="C38" s="35"/>
      <c r="D38" s="35"/>
      <c r="E38" s="35"/>
      <c r="F38" s="35"/>
      <c r="G38" s="35"/>
      <c r="H38" s="2">
        <v>0.1</v>
      </c>
      <c r="I38" s="2">
        <v>0.2</v>
      </c>
      <c r="J38" s="2">
        <v>0.25</v>
      </c>
      <c r="K38" s="2">
        <v>0.3</v>
      </c>
      <c r="L38" s="2">
        <v>0.32</v>
      </c>
      <c r="M38" s="2" t="s">
        <v>848</v>
      </c>
      <c r="N38" t="s">
        <v>849</v>
      </c>
    </row>
    <row r="40" spans="1:14" x14ac:dyDescent="0.2">
      <c r="A40" t="s">
        <v>850</v>
      </c>
    </row>
    <row r="41" spans="1:14" x14ac:dyDescent="0.2">
      <c r="A41" t="s">
        <v>851</v>
      </c>
      <c r="H41" t="s">
        <v>861</v>
      </c>
    </row>
    <row r="42" spans="1:14" x14ac:dyDescent="0.2">
      <c r="B42" t="s">
        <v>852</v>
      </c>
    </row>
    <row r="43" spans="1:14" x14ac:dyDescent="0.2">
      <c r="B43" t="s">
        <v>855</v>
      </c>
    </row>
    <row r="44" spans="1:14" x14ac:dyDescent="0.2">
      <c r="C44" t="s">
        <v>853</v>
      </c>
    </row>
    <row r="45" spans="1:14" x14ac:dyDescent="0.2">
      <c r="B45" t="s">
        <v>856</v>
      </c>
    </row>
    <row r="46" spans="1:14" ht="14.25" customHeight="1" x14ac:dyDescent="0.2">
      <c r="C46" t="s">
        <v>854</v>
      </c>
      <c r="F46" s="63" t="s">
        <v>862</v>
      </c>
      <c r="G46" s="63"/>
      <c r="H46" s="63"/>
      <c r="I46" s="63"/>
    </row>
    <row r="47" spans="1:14" x14ac:dyDescent="0.2">
      <c r="B47" t="s">
        <v>857</v>
      </c>
      <c r="F47" s="63"/>
      <c r="G47" s="63"/>
      <c r="H47" s="63"/>
      <c r="I47" s="63"/>
    </row>
    <row r="48" spans="1:14" x14ac:dyDescent="0.2">
      <c r="C48" t="s">
        <v>858</v>
      </c>
      <c r="F48" s="63"/>
      <c r="G48" s="63"/>
      <c r="H48" s="63"/>
      <c r="I48" s="63"/>
    </row>
    <row r="49" spans="1:16" x14ac:dyDescent="0.2">
      <c r="B49" t="s">
        <v>856</v>
      </c>
      <c r="F49" s="63"/>
      <c r="G49" s="63"/>
      <c r="H49" s="63"/>
      <c r="I49" s="63"/>
    </row>
    <row r="50" spans="1:16" x14ac:dyDescent="0.2">
      <c r="C50" t="s">
        <v>859</v>
      </c>
      <c r="F50" s="63"/>
      <c r="G50" s="63"/>
      <c r="H50" s="63"/>
      <c r="I50" s="63"/>
    </row>
    <row r="52" spans="1:16" x14ac:dyDescent="0.2">
      <c r="A52" t="s">
        <v>895</v>
      </c>
      <c r="K52" t="s">
        <v>920</v>
      </c>
    </row>
    <row r="53" spans="1:16" x14ac:dyDescent="0.2">
      <c r="A53" t="s">
        <v>837</v>
      </c>
      <c r="B53" t="s">
        <v>838</v>
      </c>
      <c r="C53" t="s">
        <v>839</v>
      </c>
      <c r="D53" t="s">
        <v>840</v>
      </c>
      <c r="E53" t="s">
        <v>841</v>
      </c>
      <c r="F53" t="s">
        <v>842</v>
      </c>
      <c r="G53" t="s">
        <v>843</v>
      </c>
      <c r="K53" t="s">
        <v>913</v>
      </c>
      <c r="L53" t="s">
        <v>915</v>
      </c>
      <c r="M53" t="s">
        <v>914</v>
      </c>
      <c r="N53" t="s">
        <v>919</v>
      </c>
      <c r="O53" t="s">
        <v>916</v>
      </c>
      <c r="P53" s="32" t="s">
        <v>918</v>
      </c>
    </row>
    <row r="54" spans="1:16" x14ac:dyDescent="0.2">
      <c r="A54">
        <f>0.85*((B25+2 *C25+3*D25)*(1-H25)/8+(4*E25+5*F25+6*G25)*(1-H26)/8)+0.16 * (SUM(B25:D26)*(1-H25) + SUM(E25:G26)*(1-H26))</f>
        <v>0.38940000000000002</v>
      </c>
      <c r="B54">
        <f>0.85*((B27+2 *C27+3*D27)*(1-H27)/8+(4*E27+5*F27+6*G27)*(1-H28)/8)+0.16 * (SUM(B27:D28)*(1-H27) + SUM(E27:G28)*(1-H28))</f>
        <v>0.42947749999999996</v>
      </c>
      <c r="C54">
        <f>0.85*((B29+2 *C29+3*D29)*(1-H29)/8+(4*E29+5*F29+6*G29)*(1-H30)/8)+0.16 * (SUM(B29:D30)*(1-H29) + SUM(E29:G30)*(1-H30))</f>
        <v>0.51865499999999998</v>
      </c>
      <c r="D54">
        <f>0.85*((B31+2 *C31+3*D31)*(1-H31)/8+(4*E31+5*F31+6*G31)*(1-H32)/8)+0.16 * (SUM(B31:D32)*(1-H31) + SUM(E31:G32)*(1-H32))</f>
        <v>0.53554999999999997</v>
      </c>
      <c r="E54">
        <f>0.85*((B33+2 *C33+3*D33)*(1-H33)/8+(4*E33+5*F33+6*G33)*(1-H34)/8)+0.16 * (SUM(B33:D34)*(1-H33) + SUM(E33:G34)*(1-H34))</f>
        <v>0.50735624999999995</v>
      </c>
      <c r="F54">
        <f>0.85*((B35+2 *C35+3*D35)*(1-H35)/8+(4*E35+5*F35+6*G35)*(1-H36)/8)+0.16 * (SUM(B35:D36)*(1-H35) + SUM(E35:G36)*(1-H36))</f>
        <v>0.61734375000000008</v>
      </c>
      <c r="G54">
        <f>(0.85*(4*E37+5*F37+6*G37)/8+0.16)*(1-H38)</f>
        <v>0.66993750000000007</v>
      </c>
      <c r="K54" t="s">
        <v>899</v>
      </c>
      <c r="L54">
        <v>373853225</v>
      </c>
      <c r="M54">
        <v>1046794000</v>
      </c>
      <c r="N54">
        <v>147570231</v>
      </c>
      <c r="O54" t="s">
        <v>917</v>
      </c>
      <c r="P54" s="32"/>
    </row>
    <row r="55" spans="1:16" x14ac:dyDescent="0.2">
      <c r="A55" t="s">
        <v>896</v>
      </c>
      <c r="K55" t="s">
        <v>900</v>
      </c>
      <c r="L55">
        <v>987741884</v>
      </c>
      <c r="M55">
        <v>3012611324</v>
      </c>
      <c r="N55">
        <v>428941443</v>
      </c>
      <c r="O55" t="s">
        <v>917</v>
      </c>
      <c r="P55" s="32"/>
    </row>
    <row r="56" spans="1:16" x14ac:dyDescent="0.2">
      <c r="A56" t="s">
        <v>897</v>
      </c>
      <c r="K56" t="s">
        <v>901</v>
      </c>
      <c r="L56">
        <v>1333960431</v>
      </c>
      <c r="M56">
        <v>4965648975</v>
      </c>
      <c r="N56">
        <v>698501601</v>
      </c>
      <c r="O56" t="s">
        <v>917</v>
      </c>
      <c r="P56" s="32"/>
    </row>
    <row r="57" spans="1:16" x14ac:dyDescent="0.2">
      <c r="A57" t="s">
        <v>810</v>
      </c>
      <c r="B57" t="s">
        <v>821</v>
      </c>
      <c r="C57" t="s">
        <v>822</v>
      </c>
      <c r="D57" t="s">
        <v>823</v>
      </c>
      <c r="K57" t="s">
        <v>902</v>
      </c>
      <c r="L57">
        <v>533593682</v>
      </c>
      <c r="M57">
        <v>2054342820</v>
      </c>
      <c r="N57">
        <v>285765271</v>
      </c>
      <c r="O57" t="s">
        <v>917</v>
      </c>
      <c r="P57" s="32"/>
    </row>
    <row r="58" spans="1:16" x14ac:dyDescent="0.2">
      <c r="A58">
        <f>0.85*((B25+2 *C25+3*D25)/8+(4*E25+5*F25+6*G25)/8)+0.16</f>
        <v>0.45750000000000002</v>
      </c>
      <c r="B58">
        <f>0.85*((B27+2 *C27+3*D27)/8+(4*E27+5*F27+6*G27)/8)+0.16</f>
        <v>0.48406249999999995</v>
      </c>
      <c r="C58">
        <f>0.85*((B29+2 *C29+3*D29)/8+(4*E29+5*F29+6*G29)/8)+0.16</f>
        <v>0.55312499999999998</v>
      </c>
      <c r="D58">
        <f>0.85*((B31+2 *C31+3*D31)/8+(4*E31+5*F31+6*G31)/8)+0.16</f>
        <v>0.56906249999999992</v>
      </c>
      <c r="K58" t="s">
        <v>903</v>
      </c>
      <c r="L58">
        <v>328099292</v>
      </c>
      <c r="M58">
        <v>1296029951</v>
      </c>
      <c r="N58">
        <v>166471477</v>
      </c>
      <c r="O58" t="s">
        <v>917</v>
      </c>
      <c r="P58" s="32"/>
    </row>
    <row r="59" spans="1:16" x14ac:dyDescent="0.2">
      <c r="A59" t="s">
        <v>898</v>
      </c>
      <c r="K59" t="s">
        <v>904</v>
      </c>
      <c r="L59">
        <v>2032331431</v>
      </c>
      <c r="M59">
        <v>10060035330</v>
      </c>
      <c r="N59">
        <v>1254644549</v>
      </c>
      <c r="O59" t="s">
        <v>917</v>
      </c>
      <c r="P59" s="32"/>
    </row>
    <row r="60" spans="1:16" x14ac:dyDescent="0.2">
      <c r="A60" t="s">
        <v>810</v>
      </c>
      <c r="B60" t="s">
        <v>821</v>
      </c>
      <c r="C60" t="s">
        <v>822</v>
      </c>
      <c r="D60" t="s">
        <v>823</v>
      </c>
      <c r="E60" t="s">
        <v>824</v>
      </c>
      <c r="F60" t="s">
        <v>825</v>
      </c>
      <c r="G60" t="s">
        <v>826</v>
      </c>
      <c r="K60" t="s">
        <v>905</v>
      </c>
      <c r="L60">
        <v>205848650</v>
      </c>
      <c r="M60">
        <v>1132148423</v>
      </c>
      <c r="N60">
        <v>137906476</v>
      </c>
      <c r="O60" t="s">
        <v>917</v>
      </c>
      <c r="P60" s="32"/>
    </row>
    <row r="61" spans="1:16" x14ac:dyDescent="0.2">
      <c r="A61">
        <v>0.39472771968196879</v>
      </c>
      <c r="B61">
        <v>0.43426471019224289</v>
      </c>
      <c r="C61">
        <v>0.52362992542167841</v>
      </c>
      <c r="D61">
        <v>0.53554845313929333</v>
      </c>
      <c r="E61">
        <v>0.50738139660478143</v>
      </c>
      <c r="F61">
        <v>0.61734249141768061</v>
      </c>
      <c r="G61">
        <v>0.66994112421917751</v>
      </c>
      <c r="K61" t="s">
        <v>906</v>
      </c>
      <c r="L61">
        <v>142524999</v>
      </c>
      <c r="M61">
        <v>270797507</v>
      </c>
      <c r="N61">
        <v>0</v>
      </c>
      <c r="O61">
        <v>1017120</v>
      </c>
      <c r="P61" s="32"/>
    </row>
    <row r="62" spans="1:16" x14ac:dyDescent="0.2">
      <c r="K62" t="s">
        <v>907</v>
      </c>
      <c r="L62">
        <v>675338</v>
      </c>
      <c r="M62">
        <v>1283484</v>
      </c>
      <c r="N62">
        <v>0</v>
      </c>
      <c r="O62" t="s">
        <v>917</v>
      </c>
      <c r="P62" s="32"/>
    </row>
    <row r="63" spans="1:16" x14ac:dyDescent="0.2">
      <c r="K63" t="s">
        <v>908</v>
      </c>
      <c r="L63">
        <v>554222</v>
      </c>
      <c r="M63">
        <v>1053028</v>
      </c>
      <c r="N63">
        <v>0</v>
      </c>
      <c r="O63" t="s">
        <v>917</v>
      </c>
      <c r="P63" s="32"/>
    </row>
    <row r="64" spans="1:16" x14ac:dyDescent="0.2">
      <c r="K64" t="s">
        <v>909</v>
      </c>
      <c r="L64">
        <v>60816819</v>
      </c>
      <c r="M64">
        <v>115551785</v>
      </c>
      <c r="N64">
        <v>0</v>
      </c>
      <c r="O64" t="s">
        <v>917</v>
      </c>
      <c r="P64" s="32"/>
    </row>
    <row r="65" spans="11:16" x14ac:dyDescent="0.2">
      <c r="K65" t="s">
        <v>910</v>
      </c>
      <c r="L65">
        <v>200000020</v>
      </c>
      <c r="M65">
        <v>259999999</v>
      </c>
      <c r="N65">
        <v>0</v>
      </c>
      <c r="O65" t="s">
        <v>917</v>
      </c>
      <c r="P65" s="32"/>
    </row>
    <row r="66" spans="11:16" x14ac:dyDescent="0.2">
      <c r="K66" t="s">
        <v>911</v>
      </c>
      <c r="L66">
        <v>100000012</v>
      </c>
      <c r="M66">
        <v>100000012</v>
      </c>
      <c r="N66">
        <v>0</v>
      </c>
      <c r="O66" t="s">
        <v>917</v>
      </c>
      <c r="P66" s="32"/>
    </row>
    <row r="67" spans="11:16" x14ac:dyDescent="0.2">
      <c r="K67" t="s">
        <v>912</v>
      </c>
      <c r="L67">
        <v>99999995</v>
      </c>
      <c r="M67">
        <v>99999995</v>
      </c>
      <c r="N67">
        <v>0</v>
      </c>
      <c r="O67" t="s">
        <v>917</v>
      </c>
      <c r="P67" s="32"/>
    </row>
  </sheetData>
  <mergeCells count="66">
    <mergeCell ref="P53:P67"/>
    <mergeCell ref="H37:M37"/>
    <mergeCell ref="F46:I50"/>
    <mergeCell ref="K29:M29"/>
    <mergeCell ref="K31:M31"/>
    <mergeCell ref="K33:M33"/>
    <mergeCell ref="K35:M35"/>
    <mergeCell ref="G37:G38"/>
    <mergeCell ref="F37:F38"/>
    <mergeCell ref="D27:D28"/>
    <mergeCell ref="E27:E28"/>
    <mergeCell ref="F27:F28"/>
    <mergeCell ref="K25:M25"/>
    <mergeCell ref="K27:M27"/>
    <mergeCell ref="C29:C30"/>
    <mergeCell ref="B29:B30"/>
    <mergeCell ref="A29:A30"/>
    <mergeCell ref="A27:A28"/>
    <mergeCell ref="B27:B28"/>
    <mergeCell ref="C27:C28"/>
    <mergeCell ref="E31:E32"/>
    <mergeCell ref="F31:F32"/>
    <mergeCell ref="F29:F30"/>
    <mergeCell ref="E29:E30"/>
    <mergeCell ref="D29:D30"/>
    <mergeCell ref="B33:B34"/>
    <mergeCell ref="A33:A34"/>
    <mergeCell ref="A31:A32"/>
    <mergeCell ref="B31:B32"/>
    <mergeCell ref="C31:C32"/>
    <mergeCell ref="B37:B38"/>
    <mergeCell ref="A37:A38"/>
    <mergeCell ref="A35:A36"/>
    <mergeCell ref="B35:B36"/>
    <mergeCell ref="C35:C36"/>
    <mergeCell ref="E37:E38"/>
    <mergeCell ref="D37:D38"/>
    <mergeCell ref="C37:C38"/>
    <mergeCell ref="G27:G28"/>
    <mergeCell ref="G29:G30"/>
    <mergeCell ref="G31:G32"/>
    <mergeCell ref="G33:G34"/>
    <mergeCell ref="G35:G36"/>
    <mergeCell ref="D35:D36"/>
    <mergeCell ref="E35:E36"/>
    <mergeCell ref="F35:F36"/>
    <mergeCell ref="F33:F34"/>
    <mergeCell ref="E33:E34"/>
    <mergeCell ref="D33:D34"/>
    <mergeCell ref="C33:C34"/>
    <mergeCell ref="D31:D32"/>
    <mergeCell ref="N25:N26"/>
    <mergeCell ref="A25:A26"/>
    <mergeCell ref="B25:B26"/>
    <mergeCell ref="C25:C26"/>
    <mergeCell ref="D25:D26"/>
    <mergeCell ref="E25:E26"/>
    <mergeCell ref="F25:F26"/>
    <mergeCell ref="G25:G26"/>
    <mergeCell ref="A1:P1"/>
    <mergeCell ref="A12:P12"/>
    <mergeCell ref="A3:J3"/>
    <mergeCell ref="A6:B6"/>
    <mergeCell ref="A23:A24"/>
    <mergeCell ref="B23:G23"/>
    <mergeCell ref="H23:M23"/>
  </mergeCells>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E89B4-E4DF-4277-A138-69BDEC5BFCEE}">
  <dimension ref="A1:S4"/>
  <sheetViews>
    <sheetView workbookViewId="0">
      <selection activeCell="R42" sqref="R42"/>
    </sheetView>
  </sheetViews>
  <sheetFormatPr defaultColWidth="11" defaultRowHeight="14.25" x14ac:dyDescent="0.2"/>
  <sheetData>
    <row r="1" spans="1:19" x14ac:dyDescent="0.2">
      <c r="A1" t="s">
        <v>827</v>
      </c>
    </row>
    <row r="2" spans="1:19" x14ac:dyDescent="0.2">
      <c r="B2" s="36" t="s">
        <v>831</v>
      </c>
      <c r="C2" s="36"/>
      <c r="D2" s="36"/>
      <c r="E2" s="36"/>
      <c r="F2" s="36"/>
      <c r="G2" s="36"/>
      <c r="H2" s="36"/>
      <c r="I2" s="36"/>
      <c r="J2" s="36"/>
      <c r="K2" s="36"/>
      <c r="L2" s="36"/>
      <c r="M2" s="36"/>
      <c r="N2" s="36"/>
      <c r="O2" s="36"/>
      <c r="P2" s="36"/>
      <c r="Q2" s="36"/>
      <c r="R2" s="36"/>
      <c r="S2" s="36"/>
    </row>
    <row r="3" spans="1:19" x14ac:dyDescent="0.2">
      <c r="B3" s="36" t="s">
        <v>828</v>
      </c>
      <c r="C3" s="36"/>
      <c r="D3" s="36"/>
      <c r="E3" s="36"/>
      <c r="F3" s="36"/>
      <c r="G3" s="36"/>
      <c r="H3" s="36"/>
      <c r="I3" s="36"/>
      <c r="J3" s="36"/>
      <c r="K3" s="36"/>
      <c r="L3" s="36"/>
      <c r="M3" s="36"/>
      <c r="N3" s="36"/>
      <c r="O3" s="36"/>
      <c r="P3" s="36"/>
      <c r="Q3" s="36"/>
      <c r="R3" s="36"/>
      <c r="S3" s="36"/>
    </row>
    <row r="4" spans="1:19" x14ac:dyDescent="0.2">
      <c r="B4" s="36" t="s">
        <v>832</v>
      </c>
      <c r="C4" s="36"/>
      <c r="D4" s="36"/>
      <c r="E4" s="36"/>
      <c r="F4" s="36"/>
      <c r="G4" s="36"/>
      <c r="H4" s="36"/>
      <c r="I4" s="36"/>
      <c r="J4" s="36"/>
      <c r="K4" s="36"/>
      <c r="L4" s="36"/>
      <c r="M4" s="36"/>
      <c r="N4" s="36"/>
      <c r="O4" s="36"/>
      <c r="P4" s="36"/>
      <c r="Q4" s="36"/>
      <c r="R4" s="36"/>
      <c r="S4" s="36"/>
    </row>
  </sheetData>
  <mergeCells count="3">
    <mergeCell ref="B2:S2"/>
    <mergeCell ref="B3:S3"/>
    <mergeCell ref="B4:S4"/>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8F9B9-FA48-4CCB-9BD7-4DF258BC1709}">
  <dimension ref="A1:D25"/>
  <sheetViews>
    <sheetView tabSelected="1" workbookViewId="0">
      <selection activeCell="N26" sqref="N26"/>
    </sheetView>
  </sheetViews>
  <sheetFormatPr defaultRowHeight="14.25" x14ac:dyDescent="0.2"/>
  <cols>
    <col min="2" max="2" width="17.5" customWidth="1"/>
  </cols>
  <sheetData>
    <row r="1" spans="1:4" x14ac:dyDescent="0.2">
      <c r="A1" t="s">
        <v>863</v>
      </c>
      <c r="B1" t="s">
        <v>273</v>
      </c>
      <c r="C1" t="s">
        <v>870</v>
      </c>
      <c r="D1" t="s">
        <v>871</v>
      </c>
    </row>
    <row r="2" spans="1:4" x14ac:dyDescent="0.2">
      <c r="A2">
        <v>1</v>
      </c>
      <c r="B2" t="s">
        <v>864</v>
      </c>
      <c r="C2">
        <v>0</v>
      </c>
      <c r="D2" t="s">
        <v>872</v>
      </c>
    </row>
    <row r="3" spans="1:4" x14ac:dyDescent="0.2">
      <c r="A3">
        <v>2</v>
      </c>
      <c r="B3" t="s">
        <v>865</v>
      </c>
      <c r="C3">
        <v>2</v>
      </c>
      <c r="D3" t="s">
        <v>873</v>
      </c>
    </row>
    <row r="4" spans="1:4" x14ac:dyDescent="0.2">
      <c r="A4">
        <v>3</v>
      </c>
      <c r="B4" t="s">
        <v>866</v>
      </c>
      <c r="C4">
        <v>1</v>
      </c>
      <c r="D4" t="s">
        <v>873</v>
      </c>
    </row>
    <row r="5" spans="1:4" x14ac:dyDescent="0.2">
      <c r="A5">
        <v>4</v>
      </c>
      <c r="B5" t="s">
        <v>867</v>
      </c>
      <c r="C5">
        <v>-1</v>
      </c>
      <c r="D5" t="s">
        <v>873</v>
      </c>
    </row>
    <row r="6" spans="1:4" x14ac:dyDescent="0.2">
      <c r="A6">
        <v>5</v>
      </c>
      <c r="B6" t="s">
        <v>868</v>
      </c>
      <c r="C6">
        <v>-2</v>
      </c>
      <c r="D6" t="s">
        <v>873</v>
      </c>
    </row>
    <row r="7" spans="1:4" x14ac:dyDescent="0.2">
      <c r="A7">
        <v>6</v>
      </c>
      <c r="B7" t="s">
        <v>869</v>
      </c>
      <c r="C7">
        <v>2</v>
      </c>
      <c r="D7" t="s">
        <v>874</v>
      </c>
    </row>
    <row r="8" spans="1:4" x14ac:dyDescent="0.2">
      <c r="A8">
        <v>7</v>
      </c>
      <c r="B8" t="s">
        <v>875</v>
      </c>
      <c r="C8">
        <v>-1</v>
      </c>
      <c r="D8" t="s">
        <v>874</v>
      </c>
    </row>
    <row r="9" spans="1:4" x14ac:dyDescent="0.2">
      <c r="A9">
        <v>8</v>
      </c>
      <c r="B9" t="s">
        <v>876</v>
      </c>
      <c r="C9">
        <v>0</v>
      </c>
      <c r="D9" t="s">
        <v>872</v>
      </c>
    </row>
    <row r="10" spans="1:4" x14ac:dyDescent="0.2">
      <c r="A10">
        <v>9</v>
      </c>
      <c r="B10" t="s">
        <v>877</v>
      </c>
      <c r="C10">
        <v>5</v>
      </c>
      <c r="D10" t="s">
        <v>878</v>
      </c>
    </row>
    <row r="11" spans="1:4" x14ac:dyDescent="0.2">
      <c r="A11">
        <v>10</v>
      </c>
      <c r="B11" t="s">
        <v>879</v>
      </c>
      <c r="C11">
        <v>-5</v>
      </c>
      <c r="D11" t="s">
        <v>880</v>
      </c>
    </row>
    <row r="12" spans="1:4" x14ac:dyDescent="0.2">
      <c r="A12">
        <v>11</v>
      </c>
      <c r="B12" t="s">
        <v>881</v>
      </c>
      <c r="C12">
        <v>-2</v>
      </c>
      <c r="D12" t="s">
        <v>874</v>
      </c>
    </row>
    <row r="13" spans="1:4" x14ac:dyDescent="0.2">
      <c r="A13">
        <v>12</v>
      </c>
      <c r="B13" t="s">
        <v>894</v>
      </c>
      <c r="C13">
        <v>1</v>
      </c>
      <c r="D13" t="s">
        <v>874</v>
      </c>
    </row>
    <row r="14" spans="1:4" x14ac:dyDescent="0.2">
      <c r="A14">
        <v>13</v>
      </c>
      <c r="B14" t="s">
        <v>882</v>
      </c>
      <c r="C14">
        <v>4</v>
      </c>
      <c r="D14" t="s">
        <v>878</v>
      </c>
    </row>
    <row r="15" spans="1:4" x14ac:dyDescent="0.2">
      <c r="A15">
        <v>14</v>
      </c>
      <c r="B15" t="s">
        <v>883</v>
      </c>
      <c r="C15">
        <v>0</v>
      </c>
      <c r="D15" t="s">
        <v>872</v>
      </c>
    </row>
    <row r="16" spans="1:4" x14ac:dyDescent="0.2">
      <c r="A16">
        <v>15</v>
      </c>
      <c r="B16" t="s">
        <v>884</v>
      </c>
      <c r="C16">
        <v>0</v>
      </c>
      <c r="D16" t="s">
        <v>872</v>
      </c>
    </row>
    <row r="17" spans="1:4" x14ac:dyDescent="0.2">
      <c r="A17">
        <v>16</v>
      </c>
      <c r="B17" t="s">
        <v>885</v>
      </c>
      <c r="C17">
        <v>0</v>
      </c>
      <c r="D17" t="s">
        <v>872</v>
      </c>
    </row>
    <row r="18" spans="1:4" x14ac:dyDescent="0.2">
      <c r="A18">
        <v>17</v>
      </c>
      <c r="B18" t="s">
        <v>886</v>
      </c>
      <c r="C18">
        <v>0</v>
      </c>
      <c r="D18" t="s">
        <v>872</v>
      </c>
    </row>
    <row r="19" spans="1:4" x14ac:dyDescent="0.2">
      <c r="A19">
        <v>18</v>
      </c>
      <c r="B19" t="s">
        <v>887</v>
      </c>
      <c r="C19">
        <v>1</v>
      </c>
      <c r="D19" t="s">
        <v>874</v>
      </c>
    </row>
    <row r="20" spans="1:4" x14ac:dyDescent="0.2">
      <c r="A20">
        <v>19</v>
      </c>
      <c r="B20" t="s">
        <v>888</v>
      </c>
      <c r="C20">
        <v>-2</v>
      </c>
      <c r="D20" t="s">
        <v>874</v>
      </c>
    </row>
    <row r="21" spans="1:4" x14ac:dyDescent="0.2">
      <c r="A21">
        <v>20</v>
      </c>
      <c r="B21" t="s">
        <v>889</v>
      </c>
      <c r="C21">
        <v>1</v>
      </c>
      <c r="D21" t="s">
        <v>873</v>
      </c>
    </row>
    <row r="22" spans="1:4" x14ac:dyDescent="0.2">
      <c r="A22">
        <v>21</v>
      </c>
      <c r="B22" t="s">
        <v>890</v>
      </c>
      <c r="C22">
        <v>0</v>
      </c>
      <c r="D22" t="s">
        <v>872</v>
      </c>
    </row>
    <row r="23" spans="1:4" x14ac:dyDescent="0.2">
      <c r="A23">
        <v>22</v>
      </c>
      <c r="B23" t="s">
        <v>892</v>
      </c>
      <c r="C23">
        <v>0.08</v>
      </c>
      <c r="D23" t="s">
        <v>874</v>
      </c>
    </row>
    <row r="24" spans="1:4" x14ac:dyDescent="0.2">
      <c r="A24">
        <v>23</v>
      </c>
      <c r="B24" t="s">
        <v>891</v>
      </c>
      <c r="C24">
        <v>-4</v>
      </c>
      <c r="D24" t="s">
        <v>880</v>
      </c>
    </row>
    <row r="25" spans="1:4" x14ac:dyDescent="0.2">
      <c r="A25">
        <v>24</v>
      </c>
      <c r="B25" t="s">
        <v>893</v>
      </c>
      <c r="C25">
        <v>0</v>
      </c>
      <c r="D25" t="s">
        <v>872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9"/>
  <sheetViews>
    <sheetView workbookViewId="0">
      <selection sqref="A1:XFD1048576"/>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6"/>
  <sheetViews>
    <sheetView topLeftCell="A4" zoomScale="85" zoomScaleNormal="85" workbookViewId="0">
      <selection activeCell="C39" sqref="C3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658</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461</v>
      </c>
    </row>
    <row r="19" spans="1:11" x14ac:dyDescent="0.2">
      <c r="A19" t="s">
        <v>135</v>
      </c>
      <c r="B19" t="s">
        <v>218</v>
      </c>
      <c r="C19">
        <v>0</v>
      </c>
      <c r="D19" t="s">
        <v>218</v>
      </c>
      <c r="E19" t="s">
        <v>218</v>
      </c>
      <c r="F19">
        <v>0</v>
      </c>
      <c r="G19" t="s">
        <v>462</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34" t="s">
        <v>126</v>
      </c>
      <c r="B26" s="34"/>
      <c r="C26" s="34"/>
      <c r="D26" s="34"/>
      <c r="E26" s="34"/>
      <c r="F26" s="34"/>
    </row>
    <row r="27" spans="1:11" x14ac:dyDescent="0.2">
      <c r="C27" s="35" t="s">
        <v>117</v>
      </c>
      <c r="D27" s="35"/>
      <c r="E27" s="35"/>
      <c r="F27" s="35"/>
      <c r="G27" s="35"/>
    </row>
    <row r="28" spans="1:11" x14ac:dyDescent="0.2">
      <c r="A28" t="s">
        <v>86</v>
      </c>
      <c r="B28" t="s">
        <v>91</v>
      </c>
      <c r="C28" t="s">
        <v>118</v>
      </c>
      <c r="D28" t="s">
        <v>119</v>
      </c>
      <c r="E28" t="s">
        <v>120</v>
      </c>
      <c r="F28" t="s">
        <v>121</v>
      </c>
      <c r="G28" t="s">
        <v>132</v>
      </c>
      <c r="H28" t="s">
        <v>133</v>
      </c>
      <c r="J28" t="s">
        <v>306</v>
      </c>
    </row>
    <row r="29" spans="1:11" ht="19.5" x14ac:dyDescent="0.2">
      <c r="A29" s="33" t="s">
        <v>130</v>
      </c>
      <c r="B29" s="33"/>
      <c r="C29" s="33"/>
      <c r="D29" s="33"/>
      <c r="E29" s="33"/>
      <c r="F29" s="33"/>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307</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307</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307</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307</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307</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307</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307</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307</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307</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307</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307</v>
      </c>
    </row>
    <row r="41" spans="1:11" x14ac:dyDescent="0.2">
      <c r="A41" t="s">
        <v>143</v>
      </c>
      <c r="B41" t="s">
        <v>456</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307</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307</v>
      </c>
    </row>
    <row r="43" spans="1:11" x14ac:dyDescent="0.2">
      <c r="A43" t="s">
        <v>331</v>
      </c>
      <c r="B43" t="s">
        <v>215</v>
      </c>
      <c r="C43" t="s">
        <v>258</v>
      </c>
      <c r="D43" t="s">
        <v>217</v>
      </c>
      <c r="E43">
        <f>(T6+B9*H3+H2*B16)/H2</f>
        <v>8.7508119251977234</v>
      </c>
      <c r="F43">
        <f>MIN(C43:E43)</f>
        <v>8.7508119251977234</v>
      </c>
      <c r="G43">
        <f>F43</f>
        <v>8.7508119251977234</v>
      </c>
      <c r="H43" t="str">
        <f t="shared" si="9"/>
        <v>加速</v>
      </c>
      <c r="I43" t="s">
        <v>331</v>
      </c>
      <c r="J43">
        <f t="shared" si="6"/>
        <v>2182494.6260136277</v>
      </c>
      <c r="K43" t="s">
        <v>307</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307</v>
      </c>
    </row>
    <row r="45" spans="1:11" x14ac:dyDescent="0.2">
      <c r="A45" t="s">
        <v>458</v>
      </c>
      <c r="B45" t="s">
        <v>189</v>
      </c>
      <c r="C45">
        <f>((0.1*G80)+60*S6)/12</f>
        <v>276.21350368888892</v>
      </c>
      <c r="D45" t="s">
        <v>217</v>
      </c>
      <c r="E45">
        <f>((0.1*G80)+60*S6+0.1*B16)/24</f>
        <v>138.10675184444446</v>
      </c>
      <c r="F45">
        <f>MIN(C45:E45)</f>
        <v>138.10675184444446</v>
      </c>
      <c r="G45">
        <f>F45</f>
        <v>138.10675184444446</v>
      </c>
      <c r="H45" t="str">
        <f t="shared" si="9"/>
        <v>加速</v>
      </c>
      <c r="I45" t="s">
        <v>459</v>
      </c>
      <c r="J45">
        <f t="shared" si="6"/>
        <v>138288.67701929281</v>
      </c>
      <c r="K45" t="s">
        <v>307</v>
      </c>
    </row>
    <row r="49" spans="1:11" ht="19.5" x14ac:dyDescent="0.2">
      <c r="A49" s="33" t="s">
        <v>221</v>
      </c>
      <c r="B49" s="33"/>
      <c r="C49" s="33"/>
      <c r="D49" s="33"/>
      <c r="E49" s="33"/>
      <c r="F49" s="33"/>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307</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307</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307</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307</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307</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307</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307</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307</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307</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307</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307</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307</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307</v>
      </c>
    </row>
    <row r="63" spans="1:11" x14ac:dyDescent="0.2">
      <c r="A63" t="s">
        <v>173</v>
      </c>
      <c r="B63" t="s">
        <v>457</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307</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307</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307</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307</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307</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307</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307</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307</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307</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307</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307</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307</v>
      </c>
    </row>
    <row r="75" spans="1:11" x14ac:dyDescent="0.2">
      <c r="A75" t="s">
        <v>463</v>
      </c>
      <c r="B75" t="s">
        <v>464</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463</v>
      </c>
      <c r="J75">
        <f t="shared" si="6"/>
        <v>750607.93344033777</v>
      </c>
      <c r="K75" t="s">
        <v>307</v>
      </c>
    </row>
    <row r="78" spans="1:11" ht="19.5" x14ac:dyDescent="0.2">
      <c r="A78" s="33" t="s">
        <v>222</v>
      </c>
      <c r="B78" s="33"/>
      <c r="C78" s="33"/>
      <c r="D78" s="33"/>
      <c r="E78" s="33"/>
      <c r="F78" s="33"/>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307</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307</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307</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307</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307</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307</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307</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307</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307</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307</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307</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307</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307</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307</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307</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307</v>
      </c>
    </row>
    <row r="100" spans="1:11" ht="19.5" x14ac:dyDescent="0.2">
      <c r="A100" s="33" t="s">
        <v>22</v>
      </c>
      <c r="B100" s="33"/>
      <c r="C100" s="33"/>
      <c r="D100" s="33"/>
      <c r="E100" s="33"/>
      <c r="F100" s="33"/>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307</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307</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307</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307</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307</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307</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5"/>
  <sheetViews>
    <sheetView workbookViewId="0">
      <selection sqref="A1:XFD1048576"/>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337</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338</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471</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488</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658</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345</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36" t="s">
        <v>557</v>
      </c>
      <c r="B25" s="36"/>
      <c r="C25" s="36"/>
      <c r="D25" s="36"/>
    </row>
    <row r="26" spans="1:21" x14ac:dyDescent="0.2">
      <c r="B26" t="s">
        <v>558</v>
      </c>
      <c r="C26" t="s">
        <v>547</v>
      </c>
      <c r="D26" t="s">
        <v>559</v>
      </c>
      <c r="I26" s="35" t="s">
        <v>550</v>
      </c>
      <c r="J26" s="35"/>
      <c r="K26" s="35"/>
    </row>
    <row r="27" spans="1:21" x14ac:dyDescent="0.2">
      <c r="A27" t="s">
        <v>541</v>
      </c>
      <c r="B27">
        <v>0.64200000000000002</v>
      </c>
      <c r="C27">
        <v>172800</v>
      </c>
      <c r="D27">
        <f>1000*B27/C27</f>
        <v>3.7152777777777778E-3</v>
      </c>
      <c r="F27">
        <f>C27*8</f>
        <v>1382400</v>
      </c>
      <c r="I27" t="s">
        <v>549</v>
      </c>
      <c r="J27">
        <f>D27</f>
        <v>3.7152777777777778E-3</v>
      </c>
      <c r="K27" t="s">
        <v>548</v>
      </c>
    </row>
    <row r="28" spans="1:21" x14ac:dyDescent="0.2">
      <c r="A28" t="s">
        <v>542</v>
      </c>
      <c r="B28">
        <v>0</v>
      </c>
      <c r="C28">
        <v>0</v>
      </c>
      <c r="D28" t="e">
        <f>1000*B28/C28</f>
        <v>#DIV/0!</v>
      </c>
      <c r="F28">
        <f>C28*8</f>
        <v>0</v>
      </c>
      <c r="I28" t="s">
        <v>543</v>
      </c>
      <c r="J28">
        <f>D29</f>
        <v>2.5339673913043478E-2</v>
      </c>
      <c r="K28" t="s">
        <v>556</v>
      </c>
    </row>
    <row r="29" spans="1:21" x14ac:dyDescent="0.2">
      <c r="A29" t="s">
        <v>543</v>
      </c>
      <c r="B29">
        <v>2.984</v>
      </c>
      <c r="C29">
        <v>117760</v>
      </c>
      <c r="D29">
        <f>1000*B29/C29</f>
        <v>2.5339673913043478E-2</v>
      </c>
      <c r="F29">
        <f>C29*8</f>
        <v>942080</v>
      </c>
      <c r="I29" t="s">
        <v>551</v>
      </c>
      <c r="J29">
        <v>2.8362771739130436E-2</v>
      </c>
      <c r="K29" t="s">
        <v>555</v>
      </c>
    </row>
    <row r="30" spans="1:21" x14ac:dyDescent="0.2">
      <c r="A30" t="s">
        <v>544</v>
      </c>
      <c r="B30">
        <v>1.5740000000000001</v>
      </c>
      <c r="C30">
        <v>176640</v>
      </c>
      <c r="D30">
        <f>1000*B30/C30</f>
        <v>8.9107789855072464E-3</v>
      </c>
      <c r="F30">
        <f>C30*8</f>
        <v>1413120</v>
      </c>
      <c r="I30" t="s">
        <v>552</v>
      </c>
      <c r="J30">
        <v>8.9107789855072464E-3</v>
      </c>
      <c r="K30" t="s">
        <v>555</v>
      </c>
    </row>
    <row r="31" spans="1:21" x14ac:dyDescent="0.2">
      <c r="A31" t="s">
        <v>545</v>
      </c>
      <c r="B31">
        <v>1.67</v>
      </c>
      <c r="C31">
        <v>58880</v>
      </c>
      <c r="D31">
        <f>1000*B31/C31</f>
        <v>2.8362771739130436E-2</v>
      </c>
      <c r="F31">
        <f>C31*8</f>
        <v>471040</v>
      </c>
      <c r="I31" t="s">
        <v>553</v>
      </c>
      <c r="J31">
        <v>8.8212250712250709E-2</v>
      </c>
      <c r="K31" t="s">
        <v>554</v>
      </c>
    </row>
    <row r="32" spans="1:21" x14ac:dyDescent="0.2">
      <c r="A32" t="s">
        <v>546</v>
      </c>
      <c r="B32">
        <v>0.33600000000000002</v>
      </c>
    </row>
    <row r="40" spans="9:11" x14ac:dyDescent="0.2">
      <c r="I40" s="35" t="s">
        <v>470</v>
      </c>
      <c r="J40" s="35"/>
      <c r="K40" s="35"/>
    </row>
    <row r="41" spans="9:11" x14ac:dyDescent="0.2">
      <c r="I41" t="s">
        <v>339</v>
      </c>
      <c r="J41">
        <v>8</v>
      </c>
      <c r="K41" t="s">
        <v>340</v>
      </c>
    </row>
    <row r="42" spans="9:11" x14ac:dyDescent="0.2">
      <c r="I42" t="s">
        <v>341</v>
      </c>
      <c r="J42">
        <v>12</v>
      </c>
      <c r="K42" t="s">
        <v>342</v>
      </c>
    </row>
    <row r="43" spans="9:11" x14ac:dyDescent="0.2">
      <c r="I43" t="s">
        <v>343</v>
      </c>
      <c r="J43">
        <v>5</v>
      </c>
      <c r="K43" t="s">
        <v>342</v>
      </c>
    </row>
    <row r="44" spans="9:11" x14ac:dyDescent="0.2">
      <c r="I44" t="s">
        <v>344</v>
      </c>
      <c r="J44">
        <v>20</v>
      </c>
      <c r="K44" t="s">
        <v>342</v>
      </c>
    </row>
    <row r="49" spans="1:15" x14ac:dyDescent="0.2">
      <c r="A49" s="8"/>
      <c r="B49" s="8"/>
      <c r="C49" s="8">
        <v>1</v>
      </c>
      <c r="D49" s="8">
        <v>2</v>
      </c>
      <c r="E49" s="8">
        <v>4</v>
      </c>
      <c r="F49" s="8">
        <v>8</v>
      </c>
      <c r="G49" s="8">
        <v>16</v>
      </c>
      <c r="H49" s="8"/>
      <c r="I49" s="8" t="s">
        <v>472</v>
      </c>
      <c r="J49" s="8"/>
      <c r="K49" s="8" t="s">
        <v>473</v>
      </c>
      <c r="L49" s="8" t="s">
        <v>474</v>
      </c>
      <c r="M49" s="8"/>
      <c r="N49" s="8" t="s">
        <v>475</v>
      </c>
      <c r="O49" s="8" t="s">
        <v>476</v>
      </c>
    </row>
    <row r="50" spans="1:15" x14ac:dyDescent="0.2">
      <c r="A50" s="14" t="s">
        <v>477</v>
      </c>
      <c r="B50" s="8" t="s">
        <v>478</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35" t="s">
        <v>479</v>
      </c>
      <c r="B51" t="s">
        <v>480</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35"/>
      <c r="B52" t="s">
        <v>481</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35"/>
      <c r="B53" t="s">
        <v>482</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35"/>
      <c r="B54" t="s">
        <v>483</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484</v>
      </c>
      <c r="B55" t="s">
        <v>485</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486</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7"/>
  <sheetViews>
    <sheetView workbookViewId="0">
      <selection sqref="A1:XFD1048576"/>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37" t="s">
        <v>234</v>
      </c>
      <c r="B1" s="37"/>
      <c r="C1" s="37"/>
      <c r="D1" s="37"/>
      <c r="E1" s="37"/>
      <c r="F1" s="37"/>
      <c r="G1" s="37"/>
      <c r="H1" s="37"/>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35" t="s">
        <v>246</v>
      </c>
      <c r="L13" s="35"/>
      <c r="M13" s="35"/>
      <c r="N13" s="35"/>
      <c r="O13" s="35"/>
      <c r="P13" s="35"/>
      <c r="Q13" s="35"/>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35" t="s">
        <v>212</v>
      </c>
      <c r="M14" s="35"/>
      <c r="N14" s="35"/>
      <c r="O14" s="35"/>
      <c r="P14" s="35"/>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35" t="s">
        <v>238</v>
      </c>
      <c r="L19" s="35"/>
      <c r="M19">
        <f>2.5*(G8/27.78-0.36)</f>
        <v>9.3733638531317514</v>
      </c>
      <c r="N19" t="s">
        <v>288</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35"/>
      <c r="L20" s="35"/>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286</v>
      </c>
      <c r="E30" t="s">
        <v>207</v>
      </c>
      <c r="F30" t="s">
        <v>205</v>
      </c>
      <c r="G30" t="s">
        <v>213</v>
      </c>
      <c r="H30" t="s">
        <v>214</v>
      </c>
      <c r="I30" t="s">
        <v>287</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37" t="s">
        <v>304</v>
      </c>
      <c r="B42" s="37"/>
      <c r="C42" s="37"/>
      <c r="D42" s="37"/>
      <c r="E42" s="37"/>
      <c r="F42" s="37"/>
      <c r="G42" s="37"/>
      <c r="H42" s="37"/>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35" t="s">
        <v>246</v>
      </c>
      <c r="L54" s="35"/>
      <c r="M54" s="35"/>
      <c r="N54" s="35"/>
      <c r="O54" s="35"/>
      <c r="P54" s="35"/>
      <c r="Q54" s="35"/>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35" t="s">
        <v>212</v>
      </c>
      <c r="M55" s="35"/>
      <c r="N55" s="35"/>
      <c r="O55" s="35"/>
      <c r="P55" s="35"/>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35" t="s">
        <v>238</v>
      </c>
      <c r="L60" s="35"/>
      <c r="M60">
        <f>2.5*(G49/27.78-0.36)</f>
        <v>9.632730489380851</v>
      </c>
      <c r="N60" t="s">
        <v>288</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35"/>
      <c r="L61" s="35"/>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286</v>
      </c>
      <c r="E86" t="s">
        <v>207</v>
      </c>
      <c r="F86" t="s">
        <v>205</v>
      </c>
      <c r="G86" t="s">
        <v>213</v>
      </c>
      <c r="H86" t="s">
        <v>214</v>
      </c>
      <c r="I86" t="s">
        <v>287</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xmlns:xlrd2="http://schemas.microsoft.com/office/spreadsheetml/2017/richdata2" ref="A45:H83">
    <sortCondition ref="A44:A83"/>
  </sortState>
  <mergeCells count="10">
    <mergeCell ref="L14:P14"/>
    <mergeCell ref="A1:H1"/>
    <mergeCell ref="K19:L19"/>
    <mergeCell ref="K20:L20"/>
    <mergeCell ref="K13:Q13"/>
    <mergeCell ref="A42:H42"/>
    <mergeCell ref="K54:Q54"/>
    <mergeCell ref="L55:P55"/>
    <mergeCell ref="K60:L60"/>
    <mergeCell ref="K61:L61"/>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
  <sheetViews>
    <sheetView workbookViewId="0">
      <selection activeCell="E27" sqref="E27"/>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265</v>
      </c>
    </row>
    <row r="2" spans="1:10" x14ac:dyDescent="0.2">
      <c r="A2" t="s">
        <v>266</v>
      </c>
    </row>
    <row r="3" spans="1:10" x14ac:dyDescent="0.2">
      <c r="B3" t="s">
        <v>267</v>
      </c>
    </row>
    <row r="4" spans="1:10" x14ac:dyDescent="0.2">
      <c r="B4" t="s">
        <v>268</v>
      </c>
    </row>
    <row r="5" spans="1:10" x14ac:dyDescent="0.2">
      <c r="B5" t="s">
        <v>269</v>
      </c>
    </row>
    <row r="6" spans="1:10" x14ac:dyDescent="0.2">
      <c r="A6" t="s">
        <v>687</v>
      </c>
    </row>
    <row r="7" spans="1:10" x14ac:dyDescent="0.2">
      <c r="A7" s="36" t="s">
        <v>503</v>
      </c>
      <c r="B7" s="36"/>
      <c r="C7" s="36"/>
      <c r="D7" s="36"/>
      <c r="E7" s="36"/>
      <c r="F7" s="36"/>
    </row>
    <row r="8" spans="1:10" x14ac:dyDescent="0.2">
      <c r="A8" s="36" t="s">
        <v>504</v>
      </c>
      <c r="B8" s="36"/>
      <c r="C8" s="36"/>
      <c r="D8" s="36"/>
      <c r="E8" s="36"/>
    </row>
    <row r="9" spans="1:10" x14ac:dyDescent="0.2">
      <c r="A9" t="s">
        <v>270</v>
      </c>
    </row>
    <row r="10" spans="1:10" x14ac:dyDescent="0.2">
      <c r="A10" t="s">
        <v>271</v>
      </c>
    </row>
    <row r="11" spans="1:10" x14ac:dyDescent="0.2">
      <c r="A11" t="s">
        <v>466</v>
      </c>
    </row>
    <row r="15" spans="1:10" x14ac:dyDescent="0.2">
      <c r="H15" s="35" t="s">
        <v>467</v>
      </c>
      <c r="I15" s="35"/>
      <c r="J15" s="35"/>
    </row>
    <row r="16" spans="1:10" x14ac:dyDescent="0.2">
      <c r="A16" t="s">
        <v>259</v>
      </c>
      <c r="B16" t="s">
        <v>260</v>
      </c>
      <c r="C16" t="s">
        <v>263</v>
      </c>
      <c r="D16" t="s">
        <v>264</v>
      </c>
      <c r="E16" t="s">
        <v>740</v>
      </c>
      <c r="F16" t="s">
        <v>273</v>
      </c>
      <c r="G16" t="s">
        <v>272</v>
      </c>
      <c r="H16" t="s">
        <v>468</v>
      </c>
      <c r="I16" t="s">
        <v>273</v>
      </c>
      <c r="J16" t="s">
        <v>469</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742</v>
      </c>
      <c r="B19">
        <v>55</v>
      </c>
      <c r="C19">
        <f>SQRT(400*B19*0.6+B19*0.6*B19*0.6)/(200+B19*0.6)</f>
        <v>0.51303264065318743</v>
      </c>
      <c r="D19">
        <f>C19-1</f>
        <v>-0.48696735934681257</v>
      </c>
      <c r="E19">
        <f>(0.5/6-D19)/0.8</f>
        <v>0.71287586585018237</v>
      </c>
      <c r="F19" t="s">
        <v>744</v>
      </c>
      <c r="G19">
        <f>(0.25/6-D19)/0.8</f>
        <v>0.660792532516849</v>
      </c>
      <c r="H19">
        <f>1/E19</f>
        <v>1.4027687678939598</v>
      </c>
      <c r="I19" t="s">
        <v>744</v>
      </c>
      <c r="J19">
        <f>1/G19</f>
        <v>1.5133342929756881</v>
      </c>
    </row>
    <row r="20" spans="1:10" x14ac:dyDescent="0.2">
      <c r="A20" t="s">
        <v>274</v>
      </c>
      <c r="B20">
        <v>60</v>
      </c>
      <c r="C20">
        <f>SQRT(400*B20*0.6+B20*0.6*B20*0.6)/(200+B20*0.6)</f>
        <v>0.5308630428259602</v>
      </c>
      <c r="D20">
        <f>C20-1</f>
        <v>-0.4691369571740398</v>
      </c>
      <c r="E20">
        <f>(0.5/6-D20)/0.8</f>
        <v>0.69058786313421638</v>
      </c>
      <c r="F20" t="s">
        <v>274</v>
      </c>
      <c r="G20">
        <f>(0.25/6-D20)/0.8</f>
        <v>0.63850452980088301</v>
      </c>
      <c r="H20">
        <f>1/E20</f>
        <v>1.4480416662139473</v>
      </c>
      <c r="I20" t="s">
        <v>274</v>
      </c>
      <c r="J20">
        <f>1/G20</f>
        <v>1.5661596015800374</v>
      </c>
    </row>
    <row r="21" spans="1:10" x14ac:dyDescent="0.2">
      <c r="A21" t="s">
        <v>741</v>
      </c>
      <c r="B21">
        <v>70</v>
      </c>
      <c r="C21">
        <f>SQRT(400*B21*0.6+B21*0.6*B21*0.6)/(200+B21*0.6)</f>
        <v>0.56301558116532557</v>
      </c>
      <c r="D21">
        <f>C21-1</f>
        <v>-0.43698441883467443</v>
      </c>
      <c r="E21">
        <f>(0.5/6-D21)/0.8</f>
        <v>0.65039719021000975</v>
      </c>
      <c r="F21" t="s">
        <v>743</v>
      </c>
      <c r="G21">
        <f>(0.25/6-D21)/0.8</f>
        <v>0.59831385687667638</v>
      </c>
      <c r="H21">
        <f>1/E21</f>
        <v>1.5375220173954094</v>
      </c>
      <c r="I21" t="s">
        <v>745</v>
      </c>
      <c r="J21">
        <f>1/G21</f>
        <v>1.6713635970595924</v>
      </c>
    </row>
    <row r="25" spans="1:10" x14ac:dyDescent="0.2">
      <c r="A25" t="s">
        <v>275</v>
      </c>
      <c r="B25" t="s">
        <v>276</v>
      </c>
    </row>
    <row r="26" spans="1:10" x14ac:dyDescent="0.2">
      <c r="A26">
        <v>74400</v>
      </c>
      <c r="B26">
        <v>2.6930000000000001</v>
      </c>
    </row>
    <row r="28" spans="1:10" x14ac:dyDescent="0.2">
      <c r="A28" s="35" t="s">
        <v>277</v>
      </c>
      <c r="B28" s="35"/>
      <c r="C28" s="35"/>
      <c r="D28" s="35"/>
      <c r="E28" s="35"/>
    </row>
    <row r="29" spans="1:10" x14ac:dyDescent="0.2">
      <c r="A29" t="s">
        <v>259</v>
      </c>
      <c r="B29" t="s">
        <v>279</v>
      </c>
      <c r="C29" t="s">
        <v>278</v>
      </c>
      <c r="D29" t="s">
        <v>280</v>
      </c>
    </row>
    <row r="30" spans="1:10" x14ac:dyDescent="0.2">
      <c r="A30" t="s">
        <v>261</v>
      </c>
      <c r="B30" s="2" t="str">
        <f>IF(0.5/6-C17-A26/(B26*50000)&gt;-1,180*ASIN(0.5/6-C17-A26/(B26*50000))/PI(),"")&amp;IF(0.5/6-C17-A26/(B26*50000)&lt;=-1,-90,"")</f>
        <v>-27.9830474933358</v>
      </c>
      <c r="C30" s="2" t="str">
        <f>IF(0.25/6-C17-A26/(B26*50000)&gt;-1,180*ASIN(0.25/6-C17-A26/(B26*50000))/PI(),"")&amp;IF(0.25/6-C17-A26/(B26*50000)&lt;=-1,-90,"")</f>
        <v>-30.7222616090446</v>
      </c>
      <c r="D30" t="s">
        <v>281</v>
      </c>
    </row>
    <row r="31" spans="1:10" x14ac:dyDescent="0.2">
      <c r="A31" t="s">
        <v>262</v>
      </c>
      <c r="B31" s="2" t="str">
        <f>IF(0.5/6-C18-A26/(B26*50000)&gt;-1,180*ASIN(0.5/6-C18-A26/(B26*50000))/PI(),"")&amp;IF(0.5/6-C18-A26/(B26*50000)&lt;=-1,-90,"")</f>
        <v>-74.3714433138447</v>
      </c>
      <c r="C31" s="2" t="str">
        <f>IF(0.25/6-C18-A26/(B26*50000)&gt;-1,180*ASIN(0.25/6-C18-A26/(B26*50000))/PI(),"")&amp;IF(0.25/6-C18-A26/(B26*50000)&lt;=-1,-90,"")</f>
        <v>-90</v>
      </c>
      <c r="D31" t="s">
        <v>282</v>
      </c>
    </row>
    <row r="32" spans="1:10" x14ac:dyDescent="0.2">
      <c r="A32" t="s">
        <v>742</v>
      </c>
      <c r="B32" s="2" t="str">
        <f>IF(0.5/6-C19-A26/(B26*50000)&gt;-1,180*ASIN(0.5/6-C19-A26/(B26*50000))/PI(),"")&amp;IF(0.5/6-C19-A26/(B26*50000)&lt;=-1,-90,"")</f>
        <v>-79.1864591313634</v>
      </c>
      <c r="C32" s="2" t="str">
        <f>IF(0.25/6-C19-A26/(B26*50000)&gt;-1,180*ASIN(0.25/6-C19-A26/(B26*50000))/PI(),"")&amp;IF(0.25/6-C19-A26/(B26*50000)&lt;=-1,-90,"")</f>
        <v>-90</v>
      </c>
      <c r="D32" t="s">
        <v>283</v>
      </c>
    </row>
    <row r="33" spans="1:3" x14ac:dyDescent="0.2">
      <c r="A33" t="s">
        <v>741</v>
      </c>
      <c r="B33" s="2" t="str">
        <f>IF(0.5/6-C21-A26/(B26*50000)&gt;-1,180*ASIN(0.5/6-C21-A26/(B26*50000))/PI(),"")&amp;IF(0.5/6-C21-A26/(B26*50000)&lt;=-1,-90,"")</f>
        <v>-90</v>
      </c>
      <c r="C33" s="2" t="str">
        <f>IF(0.25/6-C21-A26/(B26*50000)&gt;-1,180*ASIN(0.25/6-C21-A26/(B26*50000))/PI(),"")&amp;IF(0.25/6-C21-A26/(B26*50000)&lt;=-1,-90,"")</f>
        <v>-90</v>
      </c>
    </row>
    <row r="34" spans="1:3" x14ac:dyDescent="0.2">
      <c r="A34" t="s">
        <v>274</v>
      </c>
      <c r="B34" s="2" t="str">
        <f>IF(0.5/6-C20-A26/(B26*50000)&gt;-1,180*ASIN(0.5/6-C20-A26/(B26*50000))/PI(),"")&amp;IF(0.5/6-C20-A26/(B26*50000)&lt;=-1,-90,"")</f>
        <v>-90</v>
      </c>
      <c r="C34" s="2" t="str">
        <f>IF(0.25/6-C20-A26/(B26*50000)&gt;-1,180*ASIN(0.25/6-C20-A26/(B26*50000))/PI(),"")&amp;IF(0.25/6-C20-A26/(B26*50000)&lt;=-1,-90,"")</f>
        <v>-90</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16"/>
  <sheetViews>
    <sheetView zoomScale="85" zoomScaleNormal="85" workbookViewId="0">
      <selection activeCell="S6" sqref="S6:T6"/>
    </sheetView>
  </sheetViews>
  <sheetFormatPr defaultRowHeight="14.25" x14ac:dyDescent="0.2"/>
  <cols>
    <col min="13" max="13" width="16.5" customWidth="1"/>
    <col min="15" max="15" width="9.375" customWidth="1"/>
    <col min="16" max="16" width="14.375" customWidth="1"/>
    <col min="17" max="18" width="11.625" customWidth="1"/>
  </cols>
  <sheetData>
    <row r="1" spans="1:20" x14ac:dyDescent="0.2">
      <c r="A1" s="43" t="s">
        <v>289</v>
      </c>
      <c r="B1" s="43"/>
      <c r="C1" s="43"/>
      <c r="D1" s="43"/>
      <c r="E1" s="43"/>
      <c r="F1" s="43"/>
      <c r="G1" s="43"/>
    </row>
    <row r="2" spans="1:20" x14ac:dyDescent="0.2">
      <c r="A2" s="36" t="s">
        <v>291</v>
      </c>
      <c r="B2" s="36"/>
      <c r="C2" s="36"/>
      <c r="D2" s="36"/>
      <c r="E2" s="36"/>
      <c r="F2" s="36"/>
      <c r="G2" s="36"/>
      <c r="H2" s="36"/>
    </row>
    <row r="3" spans="1:20" ht="29.25" customHeight="1" x14ac:dyDescent="0.2">
      <c r="A3" s="35"/>
      <c r="B3" s="35"/>
      <c r="C3" s="35"/>
      <c r="D3" s="35"/>
      <c r="E3" s="35"/>
      <c r="F3" s="35"/>
      <c r="G3" s="35"/>
      <c r="H3" s="35"/>
      <c r="P3" s="45" t="s">
        <v>747</v>
      </c>
      <c r="Q3" s="45"/>
      <c r="R3" s="45"/>
      <c r="S3" s="45"/>
      <c r="T3" s="45"/>
    </row>
    <row r="4" spans="1:20" ht="14.25" customHeight="1" x14ac:dyDescent="0.2">
      <c r="B4" s="44" t="s">
        <v>290</v>
      </c>
      <c r="C4" s="44"/>
      <c r="D4" s="44"/>
      <c r="E4" s="44"/>
      <c r="F4" s="44"/>
      <c r="G4" s="44"/>
      <c r="O4" s="42" t="s">
        <v>755</v>
      </c>
      <c r="P4" s="38" t="s">
        <v>756</v>
      </c>
      <c r="Q4" s="38"/>
      <c r="R4" s="36" t="s">
        <v>757</v>
      </c>
      <c r="S4" s="36"/>
      <c r="T4" s="36"/>
    </row>
    <row r="5" spans="1:20" x14ac:dyDescent="0.2">
      <c r="A5" s="10" t="s">
        <v>292</v>
      </c>
      <c r="B5" s="10"/>
      <c r="C5" s="10"/>
      <c r="D5" s="10"/>
      <c r="E5" s="10"/>
      <c r="F5" s="10"/>
      <c r="O5" s="35"/>
      <c r="P5" s="19" t="s">
        <v>759</v>
      </c>
      <c r="Q5" s="19" t="s">
        <v>758</v>
      </c>
      <c r="R5" s="14" t="s">
        <v>748</v>
      </c>
      <c r="S5" s="35" t="s">
        <v>750</v>
      </c>
      <c r="T5" s="35"/>
    </row>
    <row r="6" spans="1:20" x14ac:dyDescent="0.2">
      <c r="A6" s="9"/>
      <c r="O6" s="14" t="s">
        <v>751</v>
      </c>
      <c r="P6" s="14" t="s">
        <v>753</v>
      </c>
      <c r="Q6" s="14">
        <v>80</v>
      </c>
      <c r="R6" s="14">
        <f xml:space="preserve"> IF(Q6*IF(EXACT(P6,"AU"),1,60)&gt;7.25/3,
(606+72*Q6/IF(EXACT(P6,"AU"),60,1)),
(26+14472*Q6/IF(EXACT(P6,"AU"),60,1))
)
+IF(EXACT(O6,"是"),100,0)</f>
        <v>6466</v>
      </c>
      <c r="S6" s="35">
        <f>120000/(IF(R6&lt;600,R6,"600")/300+12000*LN(12000/(12600-IF(R6&lt;600,600,R6)))/300)</f>
        <v>4160.54382490648</v>
      </c>
      <c r="T6" s="35"/>
    </row>
    <row r="7" spans="1:20" x14ac:dyDescent="0.2">
      <c r="O7" s="14" t="s">
        <v>751</v>
      </c>
      <c r="P7" s="14" t="s">
        <v>754</v>
      </c>
      <c r="Q7" s="14">
        <v>2.4169999999999998</v>
      </c>
      <c r="R7" s="14">
        <f t="shared" ref="R7:R8" si="0" xml:space="preserve"> IF(Q7*IF(EXACT(P7,"AU"),1,60)&gt;7.25/3,
(606+72*Q7/IF(EXACT(P7,"AU"),60,1)),
(26+14472*Q7/IF(EXACT(P7,"AU"),60,1))
)
+IF(EXACT(O7,"是"),100,0)</f>
        <v>708.90039999999999</v>
      </c>
      <c r="S7" s="35">
        <f t="shared" ref="S7:S8" si="1">120000/(IF(R7&lt;600,R7,"600")/300+12000*LN(12000/(12600-IF(R7&lt;600,600,R7)))/300)</f>
        <v>50747.285680641806</v>
      </c>
      <c r="T7" s="35"/>
    </row>
    <row r="8" spans="1:20" x14ac:dyDescent="0.2">
      <c r="O8" s="14" t="s">
        <v>752</v>
      </c>
      <c r="P8" s="14" t="s">
        <v>754</v>
      </c>
      <c r="Q8" s="14">
        <v>2.4159999999999999</v>
      </c>
      <c r="R8" s="14">
        <f t="shared" si="0"/>
        <v>608.73919999999998</v>
      </c>
      <c r="S8" s="35">
        <f t="shared" si="1"/>
        <v>59138.316895998396</v>
      </c>
      <c r="T8" s="35"/>
    </row>
    <row r="10" spans="1:20" x14ac:dyDescent="0.2">
      <c r="A10" s="36" t="s">
        <v>293</v>
      </c>
      <c r="B10" s="36"/>
      <c r="C10" s="11"/>
      <c r="D10" s="11"/>
      <c r="E10" s="11"/>
      <c r="F10" s="11"/>
      <c r="G10" s="11"/>
      <c r="H10" s="11"/>
      <c r="I10" s="11"/>
      <c r="J10" s="11"/>
      <c r="K10" s="11"/>
    </row>
    <row r="11" spans="1:20" x14ac:dyDescent="0.2">
      <c r="A11" s="11"/>
      <c r="B11" s="36" t="s">
        <v>294</v>
      </c>
      <c r="C11" s="36"/>
      <c r="D11" s="36"/>
      <c r="E11" s="36"/>
      <c r="F11" s="36"/>
      <c r="G11" s="36"/>
      <c r="H11" s="36"/>
      <c r="I11" s="11"/>
      <c r="J11" s="11"/>
      <c r="K11" s="11"/>
    </row>
    <row r="12" spans="1:20" x14ac:dyDescent="0.2">
      <c r="A12" s="11"/>
      <c r="B12" s="36" t="s">
        <v>295</v>
      </c>
      <c r="C12" s="36"/>
      <c r="D12" s="36"/>
      <c r="E12" s="36"/>
      <c r="F12" s="11"/>
      <c r="G12" s="11"/>
      <c r="H12" s="11"/>
      <c r="I12" s="11"/>
      <c r="J12" s="11"/>
      <c r="K12" s="11"/>
    </row>
    <row r="13" spans="1:20" x14ac:dyDescent="0.2">
      <c r="A13" s="11"/>
      <c r="B13" s="11"/>
      <c r="C13" s="36" t="s">
        <v>296</v>
      </c>
      <c r="D13" s="36"/>
      <c r="E13" s="36"/>
      <c r="F13" s="36"/>
      <c r="G13" s="11"/>
      <c r="H13" s="11"/>
      <c r="I13" s="11"/>
      <c r="J13" s="11"/>
      <c r="K13" s="11"/>
    </row>
    <row r="14" spans="1:20" x14ac:dyDescent="0.2">
      <c r="A14" s="11"/>
      <c r="B14" s="36" t="s">
        <v>297</v>
      </c>
      <c r="C14" s="36"/>
      <c r="D14" s="11"/>
      <c r="E14" s="11"/>
      <c r="F14" s="11"/>
      <c r="G14" s="11"/>
      <c r="H14" s="11"/>
      <c r="I14" s="11"/>
      <c r="J14" s="11"/>
      <c r="K14" s="11"/>
    </row>
    <row r="15" spans="1:20" x14ac:dyDescent="0.2">
      <c r="A15" s="11"/>
      <c r="B15" s="11"/>
      <c r="C15" s="36" t="s">
        <v>298</v>
      </c>
      <c r="D15" s="36"/>
      <c r="E15" s="11"/>
      <c r="F15" s="11"/>
      <c r="G15" s="11"/>
      <c r="H15" s="11"/>
      <c r="I15" s="11"/>
      <c r="J15" s="11"/>
      <c r="K15" s="11"/>
    </row>
    <row r="16" spans="1:20" x14ac:dyDescent="0.2">
      <c r="A16" s="11"/>
      <c r="B16" s="36" t="s">
        <v>299</v>
      </c>
      <c r="C16" s="36"/>
      <c r="D16" s="36"/>
      <c r="E16" s="36"/>
      <c r="F16" s="36"/>
      <c r="G16" s="36"/>
      <c r="H16" s="11"/>
      <c r="I16" s="11"/>
      <c r="J16" s="11"/>
      <c r="K16" s="11"/>
    </row>
    <row r="17" spans="1:23" x14ac:dyDescent="0.2">
      <c r="A17" s="11"/>
      <c r="B17" s="36" t="s">
        <v>301</v>
      </c>
      <c r="C17" s="36"/>
      <c r="D17" s="36"/>
      <c r="E17" s="36"/>
      <c r="F17" s="36"/>
      <c r="G17" s="36"/>
      <c r="H17" s="36"/>
      <c r="I17" s="36"/>
      <c r="J17" s="36"/>
      <c r="K17" s="36"/>
      <c r="P17" s="36" t="s">
        <v>749</v>
      </c>
      <c r="Q17" s="36"/>
      <c r="R17" s="36"/>
      <c r="S17" s="36"/>
      <c r="T17" s="36"/>
      <c r="U17" s="36"/>
      <c r="V17" s="36"/>
      <c r="W17" s="36"/>
    </row>
    <row r="18" spans="1:23" x14ac:dyDescent="0.2">
      <c r="A18" s="11"/>
      <c r="B18" s="11"/>
      <c r="C18" s="36" t="s">
        <v>300</v>
      </c>
      <c r="D18" s="36"/>
      <c r="E18" s="36"/>
      <c r="F18" s="36"/>
      <c r="G18" s="36"/>
      <c r="H18" s="36"/>
      <c r="I18" s="36"/>
      <c r="J18" s="36"/>
      <c r="K18" s="36"/>
      <c r="P18" t="s">
        <v>532</v>
      </c>
      <c r="Q18" s="45" t="s">
        <v>533</v>
      </c>
      <c r="R18" s="45"/>
      <c r="S18" s="45"/>
      <c r="T18" s="45"/>
      <c r="U18" s="45"/>
      <c r="V18" s="45"/>
    </row>
    <row r="19" spans="1:23" x14ac:dyDescent="0.2">
      <c r="A19" s="11"/>
      <c r="B19" s="36" t="s">
        <v>302</v>
      </c>
      <c r="C19" s="36"/>
      <c r="D19" s="36"/>
      <c r="E19" s="36"/>
      <c r="F19" s="11"/>
      <c r="G19" s="11"/>
      <c r="H19" s="11"/>
      <c r="I19" s="11"/>
      <c r="J19" s="11"/>
      <c r="K19" s="11"/>
      <c r="Q19" s="45"/>
      <c r="R19" s="45"/>
      <c r="S19" s="45"/>
      <c r="T19" s="45"/>
      <c r="U19" s="45"/>
      <c r="V19" s="45"/>
    </row>
    <row r="20" spans="1:23" x14ac:dyDescent="0.2">
      <c r="A20" s="36" t="s">
        <v>303</v>
      </c>
      <c r="B20" s="36"/>
      <c r="C20" s="36"/>
      <c r="D20" s="36"/>
      <c r="E20" s="36"/>
      <c r="F20" s="36"/>
      <c r="G20" s="11"/>
      <c r="H20" s="11"/>
      <c r="I20" s="11"/>
      <c r="J20" s="11"/>
      <c r="K20" s="11"/>
      <c r="P20" t="s">
        <v>565</v>
      </c>
      <c r="Q20" s="35" t="s">
        <v>535</v>
      </c>
      <c r="R20" s="35"/>
      <c r="S20" s="35" t="s">
        <v>534</v>
      </c>
      <c r="T20" s="35"/>
      <c r="U20" s="35" t="s">
        <v>536</v>
      </c>
      <c r="V20" s="35"/>
    </row>
    <row r="21" spans="1:23" x14ac:dyDescent="0.2">
      <c r="P21" t="s">
        <v>537</v>
      </c>
      <c r="Q21" s="35">
        <v>718</v>
      </c>
      <c r="R21" s="35"/>
      <c r="S21" s="35">
        <v>300</v>
      </c>
      <c r="T21" s="35"/>
      <c r="U21" s="35">
        <f>120000/(IF(Q21&lt;600,Q21,"600")/S21+12000*LN(12000/(12600-IF(Q21&lt;600,600,Q21)))/S21)</f>
        <v>50098.52722507275</v>
      </c>
      <c r="V21" s="35"/>
    </row>
    <row r="22" spans="1:23" x14ac:dyDescent="0.2">
      <c r="A22" s="36" t="s">
        <v>332</v>
      </c>
      <c r="B22" s="36"/>
      <c r="C22" s="36"/>
      <c r="D22" s="36"/>
      <c r="E22" s="36"/>
      <c r="F22" s="36"/>
      <c r="G22" s="36"/>
      <c r="H22" s="36"/>
      <c r="I22" s="36"/>
      <c r="J22" s="36"/>
      <c r="P22" t="s">
        <v>566</v>
      </c>
      <c r="Q22" s="35">
        <v>2146</v>
      </c>
      <c r="R22" s="35"/>
      <c r="S22" s="35">
        <v>300</v>
      </c>
      <c r="T22" s="35"/>
      <c r="U22" s="35">
        <f t="shared" ref="U22:U35" si="2">120000/(IF(Q22&lt;600,Q22,"600")/S22+12000*LN(12000/(12600-IF(Q22&lt;600,600,Q22)))/S22)</f>
        <v>15964.072790560967</v>
      </c>
      <c r="V22" s="35"/>
    </row>
    <row r="23" spans="1:23" x14ac:dyDescent="0.2">
      <c r="B23" s="36" t="s">
        <v>333</v>
      </c>
      <c r="C23" s="36"/>
      <c r="D23" s="36"/>
      <c r="E23" s="36"/>
      <c r="F23" s="36"/>
      <c r="Q23" s="35">
        <v>2146</v>
      </c>
      <c r="R23" s="35"/>
      <c r="S23" s="35">
        <v>300</v>
      </c>
      <c r="T23" s="35"/>
      <c r="U23" s="35">
        <f t="shared" si="2"/>
        <v>15964.072790560967</v>
      </c>
      <c r="V23" s="35"/>
    </row>
    <row r="24" spans="1:23" x14ac:dyDescent="0.2">
      <c r="C24" s="36" t="s">
        <v>336</v>
      </c>
      <c r="D24" s="36"/>
      <c r="E24" s="36"/>
      <c r="F24" s="36"/>
      <c r="G24" s="36"/>
      <c r="H24" s="36"/>
      <c r="I24" s="36"/>
      <c r="J24" s="36"/>
      <c r="Q24" s="35">
        <v>2146</v>
      </c>
      <c r="R24" s="35"/>
      <c r="S24" s="35">
        <v>300</v>
      </c>
      <c r="T24" s="35"/>
      <c r="U24" s="35">
        <f t="shared" si="2"/>
        <v>15964.072790560967</v>
      </c>
      <c r="V24" s="35"/>
    </row>
    <row r="25" spans="1:23" x14ac:dyDescent="0.2">
      <c r="D25" s="36" t="s">
        <v>334</v>
      </c>
      <c r="E25" s="36"/>
      <c r="F25" s="36"/>
      <c r="Q25" s="35">
        <v>2146</v>
      </c>
      <c r="R25" s="35"/>
      <c r="S25" s="35">
        <v>300</v>
      </c>
      <c r="T25" s="35"/>
      <c r="U25" s="35">
        <f t="shared" si="2"/>
        <v>15964.072790560967</v>
      </c>
      <c r="V25" s="35"/>
    </row>
    <row r="26" spans="1:23" x14ac:dyDescent="0.2">
      <c r="B26" s="11" t="s">
        <v>335</v>
      </c>
      <c r="C26" s="11"/>
      <c r="D26" s="11"/>
      <c r="E26" s="11"/>
      <c r="F26" s="11"/>
      <c r="G26" s="11"/>
      <c r="H26" s="11"/>
      <c r="I26" s="11"/>
      <c r="J26" s="11"/>
      <c r="K26" s="11"/>
      <c r="L26" s="11"/>
      <c r="Q26" s="35">
        <v>2146</v>
      </c>
      <c r="R26" s="35"/>
      <c r="S26" s="35">
        <v>300</v>
      </c>
      <c r="T26" s="35"/>
      <c r="U26" s="35">
        <f t="shared" si="2"/>
        <v>15964.072790560967</v>
      </c>
      <c r="V26" s="35"/>
    </row>
    <row r="27" spans="1:23" x14ac:dyDescent="0.2">
      <c r="B27" t="s">
        <v>616</v>
      </c>
      <c r="Q27" s="35">
        <v>2146</v>
      </c>
      <c r="R27" s="35"/>
      <c r="S27" s="35">
        <v>300</v>
      </c>
      <c r="T27" s="35"/>
      <c r="U27" s="35">
        <f t="shared" si="2"/>
        <v>15964.072790560967</v>
      </c>
      <c r="V27" s="35"/>
    </row>
    <row r="28" spans="1:23" x14ac:dyDescent="0.2">
      <c r="B28" s="39" t="s">
        <v>613</v>
      </c>
      <c r="C28" s="40"/>
      <c r="Q28" s="35">
        <v>2146</v>
      </c>
      <c r="R28" s="35"/>
      <c r="S28" s="35">
        <v>300</v>
      </c>
      <c r="T28" s="35"/>
      <c r="U28" s="35">
        <f t="shared" si="2"/>
        <v>15964.072790560967</v>
      </c>
      <c r="V28" s="35"/>
    </row>
    <row r="29" spans="1:23" x14ac:dyDescent="0.2">
      <c r="B29" t="s">
        <v>614</v>
      </c>
      <c r="C29" t="s">
        <v>615</v>
      </c>
      <c r="Q29" s="35">
        <v>2146</v>
      </c>
      <c r="R29" s="35"/>
      <c r="S29" s="35">
        <v>300</v>
      </c>
      <c r="T29" s="35"/>
      <c r="U29" s="35">
        <f t="shared" si="2"/>
        <v>15964.072790560967</v>
      </c>
      <c r="V29" s="35"/>
    </row>
    <row r="30" spans="1:23" x14ac:dyDescent="0.2">
      <c r="B30">
        <f>180</f>
        <v>180</v>
      </c>
      <c r="C30">
        <f>B30/180*PI()*9+0.8</f>
        <v>29.074333882308139</v>
      </c>
      <c r="Q30" s="35">
        <v>2146</v>
      </c>
      <c r="R30" s="35"/>
      <c r="S30" s="35">
        <v>300</v>
      </c>
      <c r="T30" s="35"/>
      <c r="U30" s="35">
        <f t="shared" si="2"/>
        <v>15964.072790560967</v>
      </c>
      <c r="V30" s="35"/>
    </row>
    <row r="31" spans="1:23" x14ac:dyDescent="0.2">
      <c r="Q31" s="35">
        <v>2146</v>
      </c>
      <c r="R31" s="35"/>
      <c r="S31" s="35">
        <v>300</v>
      </c>
      <c r="T31" s="35"/>
      <c r="U31" s="35">
        <f t="shared" si="2"/>
        <v>15964.072790560967</v>
      </c>
      <c r="V31" s="35"/>
    </row>
    <row r="32" spans="1:23" x14ac:dyDescent="0.2">
      <c r="Q32" s="35">
        <v>2146</v>
      </c>
      <c r="R32" s="35"/>
      <c r="S32" s="35">
        <v>300</v>
      </c>
      <c r="T32" s="35"/>
      <c r="U32" s="35">
        <f t="shared" si="2"/>
        <v>15964.072790560967</v>
      </c>
      <c r="V32" s="35"/>
    </row>
    <row r="33" spans="1:22" x14ac:dyDescent="0.2">
      <c r="Q33" s="35">
        <v>2146</v>
      </c>
      <c r="R33" s="35"/>
      <c r="S33" s="35">
        <v>300</v>
      </c>
      <c r="T33" s="35"/>
      <c r="U33" s="35">
        <f t="shared" si="2"/>
        <v>15964.072790560967</v>
      </c>
      <c r="V33" s="35"/>
    </row>
    <row r="34" spans="1:22" ht="14.25" customHeight="1" x14ac:dyDescent="0.2">
      <c r="A34" s="41" t="s">
        <v>538</v>
      </c>
      <c r="B34" s="41"/>
      <c r="C34" s="41"/>
      <c r="D34" s="41"/>
      <c r="E34" s="41"/>
      <c r="F34" s="41"/>
      <c r="G34" s="41"/>
      <c r="Q34" s="35">
        <v>2146</v>
      </c>
      <c r="R34" s="35"/>
      <c r="S34" s="35">
        <v>300</v>
      </c>
      <c r="T34" s="35"/>
      <c r="U34" s="35">
        <f t="shared" si="2"/>
        <v>15964.072790560967</v>
      </c>
      <c r="V34" s="35"/>
    </row>
    <row r="35" spans="1:22" ht="14.25" customHeight="1" x14ac:dyDescent="0.2">
      <c r="A35" s="41"/>
      <c r="B35" s="41"/>
      <c r="C35" s="41"/>
      <c r="D35" s="41"/>
      <c r="E35" s="41"/>
      <c r="F35" s="41"/>
      <c r="G35" s="41"/>
      <c r="Q35" s="35">
        <v>2146</v>
      </c>
      <c r="R35" s="35"/>
      <c r="S35" s="35">
        <v>300</v>
      </c>
      <c r="T35" s="35"/>
      <c r="U35" s="35">
        <f t="shared" si="2"/>
        <v>15964.072790560967</v>
      </c>
      <c r="V35" s="35"/>
    </row>
    <row r="36" spans="1:22" x14ac:dyDescent="0.2">
      <c r="A36" t="s">
        <v>539</v>
      </c>
      <c r="B36" t="s">
        <v>540</v>
      </c>
      <c r="C36" s="35" t="s">
        <v>534</v>
      </c>
      <c r="D36" s="35"/>
      <c r="E36" s="35" t="s">
        <v>536</v>
      </c>
      <c r="F36" s="35"/>
      <c r="G36" t="s">
        <v>612</v>
      </c>
    </row>
    <row r="37" spans="1:22" x14ac:dyDescent="0.2">
      <c r="A37">
        <v>1</v>
      </c>
      <c r="B37">
        <f>706+72*A37</f>
        <v>778</v>
      </c>
      <c r="C37" s="35">
        <v>300</v>
      </c>
      <c r="D37" s="35"/>
      <c r="E37" s="35">
        <f>120000/(IF(R6&lt;600,R6,"600")/300+12000*LN(12000/(12600-IF(B37&lt;600,600,B37)))/300)</f>
        <v>46193.325538326266</v>
      </c>
      <c r="F37" s="35"/>
      <c r="G37">
        <f t="shared" ref="G37:G45" si="3">E37/2000*B37/60</f>
        <v>299.48672724014864</v>
      </c>
    </row>
    <row r="38" spans="1:22" x14ac:dyDescent="0.2">
      <c r="A38">
        <v>2</v>
      </c>
      <c r="B38">
        <f t="shared" ref="B38:B101" si="4">706+72*A38</f>
        <v>850</v>
      </c>
      <c r="C38" s="35">
        <v>300</v>
      </c>
      <c r="D38" s="35"/>
      <c r="E38" s="35">
        <f t="shared" ref="E38:E101" si="5">120000/(IF(B38&lt;600,B38,"600")/C38+12000*LN(12000/(12600-IF(B38&lt;600,600,B38)))/C38)</f>
        <v>42221.760136057281</v>
      </c>
      <c r="F38" s="35"/>
      <c r="G38">
        <f t="shared" si="3"/>
        <v>299.07080096373909</v>
      </c>
    </row>
    <row r="39" spans="1:22" x14ac:dyDescent="0.2">
      <c r="A39">
        <v>3</v>
      </c>
      <c r="B39">
        <f t="shared" si="4"/>
        <v>922</v>
      </c>
      <c r="C39" s="35">
        <v>300</v>
      </c>
      <c r="D39" s="35"/>
      <c r="E39" s="35">
        <f t="shared" si="5"/>
        <v>38860.143933442108</v>
      </c>
      <c r="F39" s="35"/>
      <c r="G39">
        <f t="shared" si="3"/>
        <v>298.57543922194691</v>
      </c>
    </row>
    <row r="40" spans="1:22" x14ac:dyDescent="0.2">
      <c r="A40">
        <v>4</v>
      </c>
      <c r="B40">
        <f t="shared" si="4"/>
        <v>994</v>
      </c>
      <c r="C40" s="35">
        <v>300</v>
      </c>
      <c r="D40" s="35"/>
      <c r="E40" s="35">
        <f t="shared" si="5"/>
        <v>35977.933717413958</v>
      </c>
      <c r="F40" s="35"/>
      <c r="G40">
        <f t="shared" si="3"/>
        <v>298.01721762591228</v>
      </c>
    </row>
    <row r="41" spans="1:22" x14ac:dyDescent="0.2">
      <c r="A41">
        <v>5</v>
      </c>
      <c r="B41">
        <f t="shared" si="4"/>
        <v>1066</v>
      </c>
      <c r="C41" s="35">
        <v>300</v>
      </c>
      <c r="D41" s="35"/>
      <c r="E41" s="35">
        <f t="shared" si="5"/>
        <v>33479.357421394525</v>
      </c>
      <c r="F41" s="35"/>
      <c r="G41">
        <f t="shared" si="3"/>
        <v>297.40829176005468</v>
      </c>
    </row>
    <row r="42" spans="1:22" x14ac:dyDescent="0.2">
      <c r="A42">
        <v>6</v>
      </c>
      <c r="B42">
        <f t="shared" si="4"/>
        <v>1138</v>
      </c>
      <c r="C42" s="35">
        <v>300</v>
      </c>
      <c r="D42" s="35"/>
      <c r="E42" s="35">
        <f t="shared" si="5"/>
        <v>31292.559948646718</v>
      </c>
      <c r="F42" s="35"/>
      <c r="G42">
        <f t="shared" si="3"/>
        <v>296.75777684633306</v>
      </c>
    </row>
    <row r="43" spans="1:22" x14ac:dyDescent="0.2">
      <c r="A43">
        <v>7</v>
      </c>
      <c r="B43">
        <f t="shared" si="4"/>
        <v>1210</v>
      </c>
      <c r="C43" s="35">
        <v>300</v>
      </c>
      <c r="D43" s="35"/>
      <c r="E43" s="35">
        <f>120000/(IF(B43&lt;600,B43,"600")/C43+12000*LN(12000/(12600-IF(B43&lt;600,600,B43)))/C43)</f>
        <v>29362.575963356467</v>
      </c>
      <c r="F43" s="35"/>
      <c r="G43">
        <f t="shared" si="3"/>
        <v>296.07264096384438</v>
      </c>
    </row>
    <row r="44" spans="1:22" x14ac:dyDescent="0.2">
      <c r="A44">
        <v>8</v>
      </c>
      <c r="B44">
        <f t="shared" si="4"/>
        <v>1282</v>
      </c>
      <c r="C44" s="35">
        <v>300</v>
      </c>
      <c r="D44" s="35"/>
      <c r="E44" s="35">
        <f t="shared" si="5"/>
        <v>27646.642821890655</v>
      </c>
      <c r="F44" s="35"/>
      <c r="G44">
        <f t="shared" si="3"/>
        <v>295.35830081386513</v>
      </c>
    </row>
    <row r="45" spans="1:22" x14ac:dyDescent="0.2">
      <c r="A45">
        <v>9</v>
      </c>
      <c r="B45">
        <f t="shared" si="4"/>
        <v>1354</v>
      </c>
      <c r="C45" s="35">
        <v>300</v>
      </c>
      <c r="D45" s="35"/>
      <c r="E45" s="35">
        <f t="shared" si="5"/>
        <v>26110.992276380268</v>
      </c>
      <c r="F45" s="35"/>
      <c r="G45">
        <f t="shared" si="3"/>
        <v>294.61902951849072</v>
      </c>
    </row>
    <row r="46" spans="1:22" x14ac:dyDescent="0.2">
      <c r="A46">
        <v>10</v>
      </c>
      <c r="B46">
        <f t="shared" si="4"/>
        <v>1426</v>
      </c>
      <c r="C46" s="35">
        <v>300</v>
      </c>
      <c r="D46" s="35"/>
      <c r="E46" s="35">
        <f t="shared" si="5"/>
        <v>24728.603830336691</v>
      </c>
      <c r="F46" s="35"/>
      <c r="G46">
        <f>E46/2000*B46/60</f>
        <v>293.85824218383436</v>
      </c>
      <c r="M46" s="36" t="s">
        <v>709</v>
      </c>
      <c r="N46" s="36"/>
      <c r="O46" t="s">
        <v>708</v>
      </c>
      <c r="P46" t="s">
        <v>711</v>
      </c>
    </row>
    <row r="47" spans="1:22" x14ac:dyDescent="0.2">
      <c r="A47">
        <v>11</v>
      </c>
      <c r="B47">
        <f t="shared" si="4"/>
        <v>1498</v>
      </c>
      <c r="C47" s="35">
        <v>300</v>
      </c>
      <c r="D47" s="35"/>
      <c r="E47" s="35">
        <f t="shared" si="5"/>
        <v>23477.5994610774</v>
      </c>
      <c r="F47" s="35"/>
      <c r="G47">
        <f t="shared" ref="G47:G110" si="6">E47/2000*B47/60</f>
        <v>293.07869993911623</v>
      </c>
      <c r="M47" t="s">
        <v>688</v>
      </c>
      <c r="N47">
        <v>167731.20000000001</v>
      </c>
      <c r="O47">
        <v>10</v>
      </c>
      <c r="P47">
        <f>N47*(706+72*O47)/120000000</f>
        <v>1.9932057600000002</v>
      </c>
    </row>
    <row r="48" spans="1:22" x14ac:dyDescent="0.2">
      <c r="A48">
        <v>12</v>
      </c>
      <c r="B48">
        <f t="shared" si="4"/>
        <v>1570</v>
      </c>
      <c r="C48" s="35">
        <v>300</v>
      </c>
      <c r="D48" s="35"/>
      <c r="E48" s="35">
        <f t="shared" si="5"/>
        <v>22340.075799023467</v>
      </c>
      <c r="F48" s="35"/>
      <c r="G48">
        <f t="shared" si="6"/>
        <v>292.28265837055704</v>
      </c>
      <c r="M48" s="11" t="s">
        <v>689</v>
      </c>
      <c r="N48">
        <v>214732.79999999999</v>
      </c>
      <c r="O48">
        <v>10</v>
      </c>
      <c r="P48">
        <f t="shared" ref="P48:P66" si="7">N48*(706+72*O48)/120000000</f>
        <v>2.5517414400000002</v>
      </c>
    </row>
    <row r="49" spans="1:16" x14ac:dyDescent="0.2">
      <c r="A49">
        <v>13</v>
      </c>
      <c r="B49">
        <f t="shared" si="4"/>
        <v>1642</v>
      </c>
      <c r="C49" s="35">
        <v>300</v>
      </c>
      <c r="D49" s="35"/>
      <c r="E49" s="35">
        <f t="shared" si="5"/>
        <v>21301.240725495354</v>
      </c>
      <c r="F49" s="35"/>
      <c r="G49">
        <f t="shared" si="6"/>
        <v>291.47197726052815</v>
      </c>
      <c r="M49" t="s">
        <v>690</v>
      </c>
      <c r="N49">
        <v>412876.79999999999</v>
      </c>
      <c r="O49">
        <v>10</v>
      </c>
      <c r="P49">
        <f t="shared" si="7"/>
        <v>4.9063526399999997</v>
      </c>
    </row>
    <row r="50" spans="1:16" x14ac:dyDescent="0.2">
      <c r="A50">
        <v>14</v>
      </c>
      <c r="B50">
        <f t="shared" si="4"/>
        <v>1714</v>
      </c>
      <c r="C50" s="35">
        <v>300</v>
      </c>
      <c r="D50" s="35"/>
      <c r="E50" s="35">
        <f t="shared" si="5"/>
        <v>20348.765664620769</v>
      </c>
      <c r="F50" s="35"/>
      <c r="G50">
        <f t="shared" si="6"/>
        <v>290.64820290966662</v>
      </c>
      <c r="M50" t="s">
        <v>691</v>
      </c>
      <c r="N50">
        <v>211968</v>
      </c>
      <c r="O50">
        <v>10</v>
      </c>
      <c r="P50">
        <f t="shared" si="7"/>
        <v>2.5188864</v>
      </c>
    </row>
    <row r="51" spans="1:16" x14ac:dyDescent="0.2">
      <c r="A51">
        <v>15</v>
      </c>
      <c r="B51">
        <f t="shared" si="4"/>
        <v>1786</v>
      </c>
      <c r="C51" s="35">
        <v>300</v>
      </c>
      <c r="D51" s="35"/>
      <c r="E51" s="35">
        <f t="shared" si="5"/>
        <v>19472.293217020662</v>
      </c>
      <c r="F51" s="35"/>
      <c r="G51">
        <f t="shared" si="6"/>
        <v>289.81263071332421</v>
      </c>
      <c r="M51" t="s">
        <v>692</v>
      </c>
      <c r="N51">
        <v>152064</v>
      </c>
      <c r="O51">
        <v>10</v>
      </c>
      <c r="P51">
        <f t="shared" si="7"/>
        <v>1.8070272000000001</v>
      </c>
    </row>
    <row r="52" spans="1:16" x14ac:dyDescent="0.2">
      <c r="A52">
        <v>16</v>
      </c>
      <c r="B52">
        <f t="shared" si="4"/>
        <v>1858</v>
      </c>
      <c r="C52" s="35">
        <v>300</v>
      </c>
      <c r="D52" s="35"/>
      <c r="E52" s="35">
        <f t="shared" si="5"/>
        <v>18663.058340463896</v>
      </c>
      <c r="F52" s="35"/>
      <c r="G52">
        <f t="shared" si="6"/>
        <v>288.96635330484935</v>
      </c>
      <c r="M52" t="s">
        <v>693</v>
      </c>
      <c r="N52">
        <v>36864</v>
      </c>
      <c r="O52">
        <v>10</v>
      </c>
      <c r="P52">
        <f t="shared" si="7"/>
        <v>0.43806719999999999</v>
      </c>
    </row>
    <row r="53" spans="1:16" x14ac:dyDescent="0.2">
      <c r="A53">
        <v>17</v>
      </c>
      <c r="B53">
        <f t="shared" si="4"/>
        <v>1930</v>
      </c>
      <c r="C53" s="35">
        <v>300</v>
      </c>
      <c r="D53" s="35"/>
      <c r="E53" s="35">
        <f t="shared" si="5"/>
        <v>17913.593658351932</v>
      </c>
      <c r="F53" s="35"/>
      <c r="G53">
        <f t="shared" si="6"/>
        <v>288.11029800516025</v>
      </c>
      <c r="M53" t="s">
        <v>694</v>
      </c>
      <c r="N53">
        <v>36864</v>
      </c>
      <c r="O53">
        <v>10</v>
      </c>
      <c r="P53">
        <f t="shared" si="7"/>
        <v>0.43806719999999999</v>
      </c>
    </row>
    <row r="54" spans="1:16" x14ac:dyDescent="0.2">
      <c r="A54">
        <v>18</v>
      </c>
      <c r="B54">
        <f t="shared" si="4"/>
        <v>2002</v>
      </c>
      <c r="C54" s="35">
        <v>300</v>
      </c>
      <c r="D54" s="35"/>
      <c r="E54" s="35">
        <f t="shared" si="5"/>
        <v>17217.497877140762</v>
      </c>
      <c r="F54" s="35"/>
      <c r="G54">
        <f t="shared" si="6"/>
        <v>287.24525625029838</v>
      </c>
      <c r="M54" t="s">
        <v>695</v>
      </c>
      <c r="N54">
        <v>28800</v>
      </c>
      <c r="O54">
        <v>10</v>
      </c>
      <c r="P54">
        <f t="shared" si="7"/>
        <v>0.34223999999999999</v>
      </c>
    </row>
    <row r="55" spans="1:16" x14ac:dyDescent="0.2">
      <c r="A55">
        <v>19</v>
      </c>
      <c r="B55">
        <f t="shared" si="4"/>
        <v>2074</v>
      </c>
      <c r="C55" s="35">
        <v>300</v>
      </c>
      <c r="D55" s="35"/>
      <c r="E55" s="35">
        <f t="shared" si="5"/>
        <v>16569.252088644687</v>
      </c>
      <c r="F55" s="35"/>
      <c r="G55">
        <f t="shared" si="6"/>
        <v>286.37190693207572</v>
      </c>
      <c r="M55" t="s">
        <v>696</v>
      </c>
      <c r="N55">
        <v>147456</v>
      </c>
      <c r="O55">
        <v>10</v>
      </c>
      <c r="P55">
        <f t="shared" si="7"/>
        <v>1.7522688</v>
      </c>
    </row>
    <row r="56" spans="1:16" x14ac:dyDescent="0.2">
      <c r="A56">
        <v>20</v>
      </c>
      <c r="B56">
        <f t="shared" si="4"/>
        <v>2146</v>
      </c>
      <c r="C56" s="35">
        <v>300</v>
      </c>
      <c r="D56" s="35"/>
      <c r="E56" s="35">
        <f t="shared" si="5"/>
        <v>15964.072790560967</v>
      </c>
      <c r="F56" s="35"/>
      <c r="G56">
        <f t="shared" si="6"/>
        <v>285.4908350711986</v>
      </c>
      <c r="M56" t="s">
        <v>697</v>
      </c>
      <c r="N56">
        <v>184320</v>
      </c>
      <c r="O56">
        <v>10</v>
      </c>
      <c r="P56">
        <f t="shared" si="7"/>
        <v>2.1903359999999998</v>
      </c>
    </row>
    <row r="57" spans="1:16" x14ac:dyDescent="0.2">
      <c r="A57">
        <v>21</v>
      </c>
      <c r="B57">
        <f t="shared" si="4"/>
        <v>2218</v>
      </c>
      <c r="C57" s="35">
        <v>300</v>
      </c>
      <c r="D57" s="35"/>
      <c r="E57" s="35">
        <f t="shared" si="5"/>
        <v>15397.793338655973</v>
      </c>
      <c r="F57" s="35"/>
      <c r="G57">
        <f t="shared" si="6"/>
        <v>284.60254687615793</v>
      </c>
      <c r="M57" t="s">
        <v>698</v>
      </c>
      <c r="N57">
        <v>213120</v>
      </c>
      <c r="O57">
        <v>10</v>
      </c>
      <c r="P57">
        <f t="shared" si="7"/>
        <v>2.5325760000000002</v>
      </c>
    </row>
    <row r="58" spans="1:16" x14ac:dyDescent="0.2">
      <c r="A58">
        <v>22</v>
      </c>
      <c r="B58">
        <f t="shared" si="4"/>
        <v>2290</v>
      </c>
      <c r="C58" s="35">
        <v>300</v>
      </c>
      <c r="D58" s="35"/>
      <c r="E58" s="35">
        <f t="shared" si="5"/>
        <v>14866.767614567138</v>
      </c>
      <c r="F58" s="35"/>
      <c r="G58">
        <f t="shared" si="6"/>
        <v>283.70748197798952</v>
      </c>
      <c r="M58" t="s">
        <v>699</v>
      </c>
      <c r="N58">
        <v>92160</v>
      </c>
      <c r="O58">
        <v>10</v>
      </c>
      <c r="P58">
        <f t="shared" si="7"/>
        <v>1.0951679999999999</v>
      </c>
    </row>
    <row r="59" spans="1:16" x14ac:dyDescent="0.2">
      <c r="A59">
        <v>23</v>
      </c>
      <c r="B59">
        <f t="shared" si="4"/>
        <v>2362</v>
      </c>
      <c r="C59" s="35">
        <v>300</v>
      </c>
      <c r="D59" s="35"/>
      <c r="E59" s="35">
        <f t="shared" si="5"/>
        <v>14367.791199301013</v>
      </c>
      <c r="F59" s="35"/>
      <c r="G59">
        <f t="shared" si="6"/>
        <v>282.80602343957497</v>
      </c>
      <c r="M59" t="s">
        <v>700</v>
      </c>
      <c r="N59">
        <v>29952</v>
      </c>
      <c r="O59">
        <v>10</v>
      </c>
      <c r="P59">
        <f t="shared" si="7"/>
        <v>0.35592960000000001</v>
      </c>
    </row>
    <row r="60" spans="1:16" x14ac:dyDescent="0.2">
      <c r="A60">
        <v>24</v>
      </c>
      <c r="B60">
        <f t="shared" si="4"/>
        <v>2434</v>
      </c>
      <c r="C60" s="35">
        <v>300</v>
      </c>
      <c r="D60" s="35"/>
      <c r="E60" s="35">
        <f t="shared" si="5"/>
        <v>13898.036450156917</v>
      </c>
      <c r="F60" s="35"/>
      <c r="G60">
        <f t="shared" si="6"/>
        <v>281.89850599734945</v>
      </c>
      <c r="M60" t="s">
        <v>701</v>
      </c>
      <c r="N60">
        <v>23040</v>
      </c>
      <c r="O60">
        <v>10</v>
      </c>
      <c r="P60">
        <f t="shared" si="7"/>
        <v>0.27379199999999998</v>
      </c>
    </row>
    <row r="61" spans="1:16" x14ac:dyDescent="0.2">
      <c r="A61">
        <v>25</v>
      </c>
      <c r="B61">
        <f t="shared" si="4"/>
        <v>2506</v>
      </c>
      <c r="C61" s="35">
        <v>300</v>
      </c>
      <c r="D61" s="35"/>
      <c r="E61" s="35">
        <f t="shared" si="5"/>
        <v>13454.998701772458</v>
      </c>
      <c r="F61" s="35"/>
      <c r="G61">
        <f t="shared" si="6"/>
        <v>280.98522288868151</v>
      </c>
      <c r="M61" t="s">
        <v>702</v>
      </c>
      <c r="N61">
        <v>110592</v>
      </c>
      <c r="O61">
        <v>10</v>
      </c>
      <c r="P61">
        <f t="shared" si="7"/>
        <v>1.3142016000000001</v>
      </c>
    </row>
    <row r="62" spans="1:16" x14ac:dyDescent="0.2">
      <c r="A62">
        <v>26</v>
      </c>
      <c r="B62">
        <f t="shared" si="4"/>
        <v>2578</v>
      </c>
      <c r="C62" s="35">
        <v>300</v>
      </c>
      <c r="D62" s="35"/>
      <c r="E62" s="35">
        <f t="shared" si="5"/>
        <v>13036.451429311945</v>
      </c>
      <c r="F62" s="35"/>
      <c r="G62">
        <f t="shared" si="6"/>
        <v>280.06643153971822</v>
      </c>
      <c r="M62" t="s">
        <v>703</v>
      </c>
      <c r="N62">
        <v>18432</v>
      </c>
      <c r="O62">
        <v>10</v>
      </c>
      <c r="P62">
        <f t="shared" si="7"/>
        <v>0.21903359999999999</v>
      </c>
    </row>
    <row r="63" spans="1:16" x14ac:dyDescent="0.2">
      <c r="A63">
        <v>27</v>
      </c>
      <c r="B63">
        <f t="shared" si="4"/>
        <v>2650</v>
      </c>
      <c r="C63" s="35">
        <v>300</v>
      </c>
      <c r="D63" s="35"/>
      <c r="E63" s="35">
        <f t="shared" si="5"/>
        <v>12640.40867905362</v>
      </c>
      <c r="F63" s="35"/>
      <c r="G63">
        <f t="shared" si="6"/>
        <v>279.14235832910077</v>
      </c>
      <c r="M63" t="s">
        <v>704</v>
      </c>
      <c r="N63">
        <v>73728</v>
      </c>
      <c r="O63">
        <v>10</v>
      </c>
      <c r="P63">
        <f t="shared" si="7"/>
        <v>0.87613439999999998</v>
      </c>
    </row>
    <row r="64" spans="1:16" x14ac:dyDescent="0.2">
      <c r="A64">
        <v>28</v>
      </c>
      <c r="B64">
        <f t="shared" si="4"/>
        <v>2722</v>
      </c>
      <c r="C64" s="35">
        <v>300</v>
      </c>
      <c r="D64" s="35"/>
      <c r="E64" s="35">
        <f t="shared" si="5"/>
        <v>12265.093428256609</v>
      </c>
      <c r="F64" s="35"/>
      <c r="G64">
        <f t="shared" si="6"/>
        <v>278.21320259762075</v>
      </c>
      <c r="M64" t="s">
        <v>705</v>
      </c>
      <c r="N64">
        <v>36864</v>
      </c>
      <c r="O64">
        <v>10</v>
      </c>
      <c r="P64">
        <f t="shared" si="7"/>
        <v>0.43806719999999999</v>
      </c>
    </row>
    <row r="65" spans="1:16" x14ac:dyDescent="0.2">
      <c r="A65">
        <v>29</v>
      </c>
      <c r="B65">
        <f t="shared" si="4"/>
        <v>2794</v>
      </c>
      <c r="C65" s="35">
        <v>300</v>
      </c>
      <c r="D65" s="35"/>
      <c r="E65" s="35">
        <f t="shared" si="5"/>
        <v>11908.910810552026</v>
      </c>
      <c r="F65" s="35"/>
      <c r="G65">
        <f t="shared" si="6"/>
        <v>277.27914003901969</v>
      </c>
      <c r="M65" t="s">
        <v>706</v>
      </c>
      <c r="N65">
        <v>53393.65</v>
      </c>
      <c r="O65">
        <v>10</v>
      </c>
      <c r="P65">
        <f t="shared" si="7"/>
        <v>0.63449454083333334</v>
      </c>
    </row>
    <row r="66" spans="1:16" x14ac:dyDescent="0.2">
      <c r="A66">
        <v>30</v>
      </c>
      <c r="B66">
        <f t="shared" si="4"/>
        <v>2866</v>
      </c>
      <c r="C66" s="35">
        <v>300</v>
      </c>
      <c r="D66" s="35"/>
      <c r="E66" s="35">
        <f t="shared" si="5"/>
        <v>11570.42535576101</v>
      </c>
      <c r="F66" s="35"/>
      <c r="G66">
        <f t="shared" si="6"/>
        <v>276.34032558009216</v>
      </c>
      <c r="M66" t="s">
        <v>710</v>
      </c>
      <c r="N66">
        <v>3300</v>
      </c>
      <c r="O66">
        <v>10</v>
      </c>
      <c r="P66">
        <f t="shared" si="7"/>
        <v>3.9215E-2</v>
      </c>
    </row>
    <row r="67" spans="1:16" x14ac:dyDescent="0.2">
      <c r="A67">
        <v>31</v>
      </c>
      <c r="B67">
        <f t="shared" si="4"/>
        <v>2938</v>
      </c>
      <c r="C67" s="35">
        <v>300</v>
      </c>
      <c r="D67" s="35"/>
      <c r="E67" s="35">
        <f t="shared" si="5"/>
        <v>11248.341559039951</v>
      </c>
      <c r="F67" s="35"/>
      <c r="G67">
        <f t="shared" si="6"/>
        <v>275.39689583716148</v>
      </c>
      <c r="M67" t="s">
        <v>707</v>
      </c>
      <c r="N67">
        <f>SUM(N47:N66)</f>
        <v>2248258.4499999997</v>
      </c>
      <c r="P67">
        <f t="shared" ref="P67" si="8">SUM(P47:P66)</f>
        <v>26.716804580833333</v>
      </c>
    </row>
    <row r="68" spans="1:16" x14ac:dyDescent="0.2">
      <c r="A68">
        <v>32</v>
      </c>
      <c r="B68">
        <f t="shared" si="4"/>
        <v>3010</v>
      </c>
      <c r="C68" s="35">
        <v>300</v>
      </c>
      <c r="D68" s="35"/>
      <c r="E68" s="35">
        <f t="shared" si="5"/>
        <v>10941.487224694103</v>
      </c>
      <c r="F68" s="35"/>
      <c r="G68">
        <f t="shared" si="6"/>
        <v>274.44897121941045</v>
      </c>
    </row>
    <row r="69" spans="1:16" x14ac:dyDescent="0.2">
      <c r="A69">
        <v>33</v>
      </c>
      <c r="B69">
        <f t="shared" si="4"/>
        <v>3082</v>
      </c>
      <c r="C69" s="35">
        <v>300</v>
      </c>
      <c r="D69" s="35"/>
      <c r="E69" s="35">
        <f t="shared" si="5"/>
        <v>10648.799133151502</v>
      </c>
      <c r="F69" s="35"/>
      <c r="G69">
        <f t="shared" si="6"/>
        <v>273.49665773644108</v>
      </c>
    </row>
    <row r="70" spans="1:16" x14ac:dyDescent="0.2">
      <c r="A70">
        <v>34</v>
      </c>
      <c r="B70">
        <f t="shared" si="4"/>
        <v>3154</v>
      </c>
      <c r="C70" s="35">
        <v>300</v>
      </c>
      <c r="D70" s="35"/>
      <c r="E70" s="35">
        <f t="shared" si="5"/>
        <v>10369.310661648704</v>
      </c>
      <c r="F70" s="35"/>
      <c r="G70">
        <f t="shared" si="6"/>
        <v>272.54004855700009</v>
      </c>
    </row>
    <row r="71" spans="1:16" x14ac:dyDescent="0.2">
      <c r="A71">
        <v>35</v>
      </c>
      <c r="B71">
        <f t="shared" si="4"/>
        <v>3226</v>
      </c>
      <c r="C71" s="35">
        <v>300</v>
      </c>
      <c r="D71" s="35"/>
      <c r="E71" s="35">
        <f t="shared" si="5"/>
        <v>10102.14105483451</v>
      </c>
      <c r="F71" s="35"/>
      <c r="G71">
        <f t="shared" si="6"/>
        <v>271.57922535746775</v>
      </c>
    </row>
    <row r="72" spans="1:16" x14ac:dyDescent="0.2">
      <c r="A72">
        <v>36</v>
      </c>
      <c r="B72">
        <f t="shared" si="4"/>
        <v>3298</v>
      </c>
      <c r="C72" s="35">
        <v>300</v>
      </c>
      <c r="D72" s="35"/>
      <c r="E72" s="35">
        <f t="shared" si="5"/>
        <v>9846.4860943112235</v>
      </c>
      <c r="F72" s="35"/>
      <c r="G72">
        <f t="shared" si="6"/>
        <v>270.61425949198679</v>
      </c>
    </row>
    <row r="73" spans="1:16" x14ac:dyDescent="0.2">
      <c r="A73">
        <v>37</v>
      </c>
      <c r="B73">
        <f t="shared" si="4"/>
        <v>3370</v>
      </c>
      <c r="C73" s="35">
        <v>300</v>
      </c>
      <c r="D73" s="35"/>
      <c r="E73" s="35">
        <f t="shared" si="5"/>
        <v>9601.6099588374182</v>
      </c>
      <c r="F73" s="35"/>
      <c r="G73">
        <f t="shared" si="6"/>
        <v>269.64521301068419</v>
      </c>
    </row>
    <row r="74" spans="1:16" x14ac:dyDescent="0.2">
      <c r="A74">
        <v>38</v>
      </c>
      <c r="B74">
        <f t="shared" si="4"/>
        <v>3442</v>
      </c>
      <c r="C74" s="35">
        <v>300</v>
      </c>
      <c r="D74" s="35"/>
      <c r="E74" s="35">
        <f t="shared" si="5"/>
        <v>9366.8381016161547</v>
      </c>
      <c r="F74" s="35"/>
      <c r="G74">
        <f t="shared" si="6"/>
        <v>268.67213954802338</v>
      </c>
    </row>
    <row r="75" spans="1:16" x14ac:dyDescent="0.2">
      <c r="A75">
        <v>39</v>
      </c>
      <c r="B75">
        <f t="shared" si="4"/>
        <v>3514</v>
      </c>
      <c r="C75" s="35">
        <v>300</v>
      </c>
      <c r="D75" s="35"/>
      <c r="E75" s="35">
        <f t="shared" si="5"/>
        <v>9141.5509994213699</v>
      </c>
      <c r="F75" s="35"/>
      <c r="G75">
        <f t="shared" si="6"/>
        <v>267.69508509972246</v>
      </c>
    </row>
    <row r="76" spans="1:16" x14ac:dyDescent="0.2">
      <c r="A76">
        <v>40</v>
      </c>
      <c r="B76">
        <f t="shared" si="4"/>
        <v>3586</v>
      </c>
      <c r="C76" s="35">
        <v>300</v>
      </c>
      <c r="D76" s="35"/>
      <c r="E76" s="35">
        <f t="shared" si="5"/>
        <v>8925.1786515467538</v>
      </c>
      <c r="F76" s="35"/>
      <c r="G76">
        <f t="shared" si="6"/>
        <v>266.71408870372215</v>
      </c>
    </row>
    <row r="77" spans="1:16" x14ac:dyDescent="0.2">
      <c r="A77">
        <v>41</v>
      </c>
      <c r="B77">
        <f t="shared" si="4"/>
        <v>3658</v>
      </c>
      <c r="C77" s="35">
        <v>300</v>
      </c>
      <c r="D77" s="35"/>
      <c r="E77" s="35">
        <f t="shared" si="5"/>
        <v>8717.1957256944243</v>
      </c>
      <c r="F77" s="35"/>
      <c r="G77">
        <f t="shared" si="6"/>
        <v>265.72918303825168</v>
      </c>
    </row>
    <row r="78" spans="1:16" x14ac:dyDescent="0.2">
      <c r="A78">
        <v>42</v>
      </c>
      <c r="B78">
        <f t="shared" si="4"/>
        <v>3730</v>
      </c>
      <c r="C78" s="35">
        <v>300</v>
      </c>
      <c r="D78" s="35"/>
      <c r="E78" s="35">
        <f t="shared" si="5"/>
        <v>8517.1172637434956</v>
      </c>
      <c r="F78" s="35"/>
      <c r="G78">
        <f t="shared" si="6"/>
        <v>264.74039494802696</v>
      </c>
    </row>
    <row r="79" spans="1:16" x14ac:dyDescent="0.2">
      <c r="A79">
        <v>43</v>
      </c>
      <c r="B79">
        <f t="shared" si="4"/>
        <v>3802</v>
      </c>
      <c r="C79" s="35">
        <v>300</v>
      </c>
      <c r="D79" s="35"/>
      <c r="E79" s="35">
        <f t="shared" si="5"/>
        <v>8324.4948734754707</v>
      </c>
      <c r="F79" s="35"/>
      <c r="G79">
        <f t="shared" si="6"/>
        <v>263.74774590794783</v>
      </c>
    </row>
    <row r="80" spans="1:16" x14ac:dyDescent="0.2">
      <c r="A80">
        <v>44</v>
      </c>
      <c r="B80">
        <f t="shared" si="4"/>
        <v>3874</v>
      </c>
      <c r="C80" s="35">
        <v>300</v>
      </c>
      <c r="D80" s="35"/>
      <c r="E80" s="35">
        <f t="shared" si="5"/>
        <v>8138.9133432812914</v>
      </c>
      <c r="F80" s="35"/>
      <c r="G80">
        <f t="shared" si="6"/>
        <v>262.75125243226438</v>
      </c>
    </row>
    <row r="81" spans="1:7" x14ac:dyDescent="0.2">
      <c r="A81">
        <v>45</v>
      </c>
      <c r="B81">
        <f t="shared" si="4"/>
        <v>3946</v>
      </c>
      <c r="C81" s="35">
        <v>300</v>
      </c>
      <c r="D81" s="35"/>
      <c r="E81" s="35">
        <f t="shared" si="5"/>
        <v>7959.9876260319561</v>
      </c>
      <c r="F81" s="35"/>
      <c r="G81">
        <f t="shared" si="6"/>
        <v>261.75092643601749</v>
      </c>
    </row>
    <row r="82" spans="1:7" x14ac:dyDescent="0.2">
      <c r="A82">
        <v>46</v>
      </c>
      <c r="B82">
        <f t="shared" si="4"/>
        <v>4018</v>
      </c>
      <c r="C82" s="35">
        <v>300</v>
      </c>
      <c r="D82" s="35"/>
      <c r="E82" s="35">
        <f t="shared" si="5"/>
        <v>7787.3601459804995</v>
      </c>
      <c r="F82" s="35"/>
      <c r="G82">
        <f t="shared" si="6"/>
        <v>260.74677555458038</v>
      </c>
    </row>
    <row r="83" spans="1:7" x14ac:dyDescent="0.2">
      <c r="A83">
        <v>47</v>
      </c>
      <c r="B83">
        <f t="shared" si="4"/>
        <v>4090</v>
      </c>
      <c r="C83" s="35">
        <v>300</v>
      </c>
      <c r="D83" s="35"/>
      <c r="E83" s="35">
        <f t="shared" si="5"/>
        <v>7620.6983890358024</v>
      </c>
      <c r="F83" s="35"/>
      <c r="G83">
        <f t="shared" si="6"/>
        <v>259.7388034263036</v>
      </c>
    </row>
    <row r="84" spans="1:7" x14ac:dyDescent="0.2">
      <c r="A84">
        <v>48</v>
      </c>
      <c r="B84">
        <f t="shared" si="4"/>
        <v>4162</v>
      </c>
      <c r="C84" s="35">
        <v>300</v>
      </c>
      <c r="D84" s="35"/>
      <c r="E84" s="35">
        <f t="shared" si="5"/>
        <v>7459.6927422171675</v>
      </c>
      <c r="F84" s="35"/>
      <c r="G84">
        <f t="shared" si="6"/>
        <v>258.72700994256542</v>
      </c>
    </row>
    <row r="85" spans="1:7" x14ac:dyDescent="0.2">
      <c r="A85">
        <v>49</v>
      </c>
      <c r="B85">
        <f t="shared" si="4"/>
        <v>4234</v>
      </c>
      <c r="C85" s="35">
        <v>300</v>
      </c>
      <c r="D85" s="35"/>
      <c r="E85" s="35">
        <f t="shared" si="5"/>
        <v>7304.0545527334252</v>
      </c>
      <c r="F85" s="35"/>
      <c r="G85">
        <f t="shared" si="6"/>
        <v>257.71139146894433</v>
      </c>
    </row>
    <row r="86" spans="1:7" x14ac:dyDescent="0.2">
      <c r="A86">
        <v>50</v>
      </c>
      <c r="B86">
        <f t="shared" si="4"/>
        <v>4306</v>
      </c>
      <c r="C86" s="35">
        <v>300</v>
      </c>
      <c r="D86" s="35"/>
      <c r="E86" s="35">
        <f t="shared" si="5"/>
        <v>7153.5143810697318</v>
      </c>
      <c r="F86" s="35"/>
      <c r="G86">
        <f t="shared" si="6"/>
        <v>256.69194104071886</v>
      </c>
    </row>
    <row r="87" spans="1:7" x14ac:dyDescent="0.2">
      <c r="A87">
        <v>51</v>
      </c>
      <c r="B87">
        <f t="shared" si="4"/>
        <v>4378</v>
      </c>
      <c r="C87" s="35">
        <v>300</v>
      </c>
      <c r="D87" s="35"/>
      <c r="E87" s="35">
        <f t="shared" si="5"/>
        <v>7007.8204258240003</v>
      </c>
      <c r="F87" s="35"/>
      <c r="G87">
        <f t="shared" si="6"/>
        <v>255.66864853547895</v>
      </c>
    </row>
    <row r="88" spans="1:7" x14ac:dyDescent="0.2">
      <c r="A88">
        <v>52</v>
      </c>
      <c r="B88">
        <f t="shared" si="4"/>
        <v>4450</v>
      </c>
      <c r="C88" s="35">
        <v>300</v>
      </c>
      <c r="D88" s="35"/>
      <c r="E88" s="35">
        <f t="shared" si="5"/>
        <v>6866.7371009058088</v>
      </c>
      <c r="F88" s="35"/>
      <c r="G88">
        <f t="shared" si="6"/>
        <v>254.64150082525708</v>
      </c>
    </row>
    <row r="89" spans="1:7" x14ac:dyDescent="0.2">
      <c r="A89">
        <v>53</v>
      </c>
      <c r="B89">
        <f t="shared" si="4"/>
        <v>4522</v>
      </c>
      <c r="C89" s="35">
        <v>300</v>
      </c>
      <c r="D89" s="35"/>
      <c r="E89" s="35">
        <f t="shared" si="5"/>
        <v>6730.0437481719464</v>
      </c>
      <c r="F89" s="35"/>
      <c r="G89">
        <f t="shared" si="6"/>
        <v>253.61048191027947</v>
      </c>
    </row>
    <row r="90" spans="1:7" x14ac:dyDescent="0.2">
      <c r="A90">
        <v>54</v>
      </c>
      <c r="B90">
        <f t="shared" si="4"/>
        <v>4594</v>
      </c>
      <c r="C90" s="35">
        <v>300</v>
      </c>
      <c r="D90" s="35"/>
      <c r="E90" s="35">
        <f t="shared" si="5"/>
        <v>6597.533470687652</v>
      </c>
      <c r="F90" s="35"/>
      <c r="G90">
        <f t="shared" si="6"/>
        <v>252.57557303615894</v>
      </c>
    </row>
    <row r="91" spans="1:7" x14ac:dyDescent="0.2">
      <c r="A91">
        <v>55</v>
      </c>
      <c r="B91">
        <f t="shared" si="4"/>
        <v>4666</v>
      </c>
      <c r="C91" s="35">
        <v>300</v>
      </c>
      <c r="D91" s="35"/>
      <c r="E91" s="35">
        <f t="shared" si="5"/>
        <v>6469.0120736249846</v>
      </c>
      <c r="F91" s="35"/>
      <c r="G91">
        <f t="shared" si="6"/>
        <v>251.53675279611815</v>
      </c>
    </row>
    <row r="92" spans="1:7" x14ac:dyDescent="0.2">
      <c r="A92">
        <v>56</v>
      </c>
      <c r="B92">
        <f t="shared" si="4"/>
        <v>4738</v>
      </c>
      <c r="C92" s="35">
        <v>300</v>
      </c>
      <c r="D92" s="35"/>
      <c r="E92" s="35">
        <f t="shared" si="5"/>
        <v>6344.2971013836777</v>
      </c>
      <c r="F92" s="35"/>
      <c r="G92">
        <f t="shared" si="6"/>
        <v>250.49399721963221</v>
      </c>
    </row>
    <row r="93" spans="1:7" x14ac:dyDescent="0.2">
      <c r="A93">
        <v>57</v>
      </c>
      <c r="B93">
        <f t="shared" si="4"/>
        <v>4810</v>
      </c>
      <c r="C93" s="35">
        <v>300</v>
      </c>
      <c r="D93" s="35"/>
      <c r="E93" s="35">
        <f t="shared" si="5"/>
        <v>6223.2169608821823</v>
      </c>
      <c r="F93" s="35"/>
      <c r="G93">
        <f t="shared" si="6"/>
        <v>249.44727984869414</v>
      </c>
    </row>
    <row r="94" spans="1:7" x14ac:dyDescent="0.2">
      <c r="A94">
        <v>58</v>
      </c>
      <c r="B94">
        <f t="shared" si="4"/>
        <v>4882</v>
      </c>
      <c r="C94" s="35">
        <v>300</v>
      </c>
      <c r="D94" s="35"/>
      <c r="E94" s="35">
        <f t="shared" si="5"/>
        <v>6105.6101221489771</v>
      </c>
      <c r="F94" s="35"/>
      <c r="G94">
        <f t="shared" si="6"/>
        <v>248.39657180276086</v>
      </c>
    </row>
    <row r="95" spans="1:7" x14ac:dyDescent="0.2">
      <c r="A95">
        <v>59</v>
      </c>
      <c r="B95">
        <f t="shared" si="4"/>
        <v>4954</v>
      </c>
      <c r="C95" s="35">
        <v>300</v>
      </c>
      <c r="D95" s="35"/>
      <c r="E95" s="35">
        <f t="shared" si="5"/>
        <v>5991.3243883721179</v>
      </c>
      <c r="F95" s="35"/>
      <c r="G95">
        <f t="shared" si="6"/>
        <v>247.34184183329563</v>
      </c>
    </row>
    <row r="96" spans="1:7" x14ac:dyDescent="0.2">
      <c r="A96">
        <v>60</v>
      </c>
      <c r="B96">
        <f t="shared" si="4"/>
        <v>5026</v>
      </c>
      <c r="C96" s="35">
        <v>300</v>
      </c>
      <c r="D96" s="35"/>
      <c r="E96" s="35">
        <f t="shared" si="5"/>
        <v>5880.2162284609803</v>
      </c>
      <c r="F96" s="35"/>
      <c r="G96">
        <f t="shared" si="6"/>
        <v>246.28305636870741</v>
      </c>
    </row>
    <row r="97" spans="1:7" x14ac:dyDescent="0.2">
      <c r="A97">
        <v>61</v>
      </c>
      <c r="B97">
        <f t="shared" si="4"/>
        <v>5098</v>
      </c>
      <c r="C97" s="35">
        <v>300</v>
      </c>
      <c r="D97" s="35"/>
      <c r="E97" s="35">
        <f t="shared" si="5"/>
        <v>5772.1501659564465</v>
      </c>
      <c r="F97" s="35"/>
      <c r="G97">
        <f t="shared" si="6"/>
        <v>245.22017955038302</v>
      </c>
    </row>
    <row r="98" spans="1:7" x14ac:dyDescent="0.2">
      <c r="A98">
        <v>62</v>
      </c>
      <c r="B98">
        <f t="shared" si="4"/>
        <v>5170</v>
      </c>
      <c r="C98" s="35">
        <v>300</v>
      </c>
      <c r="D98" s="35"/>
      <c r="E98" s="35">
        <f t="shared" si="5"/>
        <v>5666.9982188103804</v>
      </c>
      <c r="F98" s="35"/>
      <c r="G98">
        <f t="shared" si="6"/>
        <v>244.15317326041387</v>
      </c>
    </row>
    <row r="99" spans="1:7" x14ac:dyDescent="0.2">
      <c r="A99">
        <v>63</v>
      </c>
      <c r="B99">
        <f t="shared" si="4"/>
        <v>5242</v>
      </c>
      <c r="C99" s="35">
        <v>300</v>
      </c>
      <c r="D99" s="35"/>
      <c r="E99" s="35">
        <f t="shared" si="5"/>
        <v>5564.6393851553312</v>
      </c>
      <c r="F99" s="35"/>
      <c r="G99">
        <f t="shared" si="6"/>
        <v>243.0819971415354</v>
      </c>
    </row>
    <row r="100" spans="1:7" x14ac:dyDescent="0.2">
      <c r="A100">
        <v>64</v>
      </c>
      <c r="B100">
        <f t="shared" si="4"/>
        <v>5314</v>
      </c>
      <c r="C100" s="35">
        <v>300</v>
      </c>
      <c r="D100" s="35"/>
      <c r="E100" s="35">
        <f t="shared" si="5"/>
        <v>5464.9591707127565</v>
      </c>
      <c r="F100" s="35"/>
      <c r="G100">
        <f t="shared" si="6"/>
        <v>242.00660860972988</v>
      </c>
    </row>
    <row r="101" spans="1:7" x14ac:dyDescent="0.2">
      <c r="A101">
        <v>65</v>
      </c>
      <c r="B101">
        <f t="shared" si="4"/>
        <v>5386</v>
      </c>
      <c r="C101" s="35">
        <v>300</v>
      </c>
      <c r="D101" s="35"/>
      <c r="E101" s="35">
        <f t="shared" si="5"/>
        <v>5367.8491539517918</v>
      </c>
      <c r="F101" s="35"/>
      <c r="G101">
        <f t="shared" si="6"/>
        <v>240.92696285986958</v>
      </c>
    </row>
    <row r="102" spans="1:7" x14ac:dyDescent="0.2">
      <c r="A102">
        <v>66</v>
      </c>
      <c r="B102">
        <f t="shared" ref="B102:B116" si="9">706+72*A102</f>
        <v>5458</v>
      </c>
      <c r="C102" s="35">
        <v>300</v>
      </c>
      <c r="D102" s="35"/>
      <c r="E102" s="35">
        <f t="shared" ref="E102:E116" si="10">120000/(IF(B102&lt;600,B102,"600")/C102+12000*LN(12000/(12600-IF(B102&lt;600,600,B102)))/C102)</f>
        <v>5273.2065855197343</v>
      </c>
      <c r="F102" s="35"/>
      <c r="G102">
        <f t="shared" si="6"/>
        <v>239.84301286472257</v>
      </c>
    </row>
    <row r="103" spans="1:7" x14ac:dyDescent="0.2">
      <c r="A103">
        <v>67</v>
      </c>
      <c r="B103">
        <f t="shared" si="9"/>
        <v>5530</v>
      </c>
      <c r="C103" s="35">
        <v>300</v>
      </c>
      <c r="D103" s="35"/>
      <c r="E103" s="35">
        <f t="shared" si="10"/>
        <v>5180.9340188265205</v>
      </c>
      <c r="F103" s="35"/>
      <c r="G103">
        <f t="shared" si="6"/>
        <v>238.75470936758882</v>
      </c>
    </row>
    <row r="104" spans="1:7" x14ac:dyDescent="0.2">
      <c r="A104">
        <v>68</v>
      </c>
      <c r="B104">
        <f t="shared" si="9"/>
        <v>5602</v>
      </c>
      <c r="C104" s="35">
        <v>300</v>
      </c>
      <c r="D104" s="35"/>
      <c r="E104" s="35">
        <f t="shared" si="10"/>
        <v>5090.9389689850141</v>
      </c>
      <c r="F104" s="35"/>
      <c r="G104">
        <f t="shared" si="6"/>
        <v>237.66200086878376</v>
      </c>
    </row>
    <row r="105" spans="1:7" x14ac:dyDescent="0.2">
      <c r="A105">
        <v>69</v>
      </c>
      <c r="B105">
        <f t="shared" si="9"/>
        <v>5674</v>
      </c>
      <c r="C105" s="35">
        <v>300</v>
      </c>
      <c r="D105" s="35"/>
      <c r="E105" s="35">
        <f t="shared" si="10"/>
        <v>5003.1335975919883</v>
      </c>
      <c r="F105" s="35"/>
      <c r="G105">
        <f t="shared" si="6"/>
        <v>236.56483360614118</v>
      </c>
    </row>
    <row r="106" spans="1:7" x14ac:dyDescent="0.2">
      <c r="A106">
        <v>70</v>
      </c>
      <c r="B106">
        <f t="shared" si="9"/>
        <v>5746</v>
      </c>
      <c r="C106" s="35">
        <v>300</v>
      </c>
      <c r="D106" s="35"/>
      <c r="E106" s="35">
        <f t="shared" si="10"/>
        <v>4917.4344210859881</v>
      </c>
      <c r="F106" s="35"/>
      <c r="G106">
        <f t="shared" si="6"/>
        <v>235.46315152966741</v>
      </c>
    </row>
    <row r="107" spans="1:7" x14ac:dyDescent="0.2">
      <c r="A107">
        <v>71</v>
      </c>
      <c r="B107">
        <f t="shared" si="9"/>
        <v>5818</v>
      </c>
      <c r="C107" s="35">
        <v>300</v>
      </c>
      <c r="D107" s="35"/>
      <c r="E107" s="35">
        <f t="shared" si="10"/>
        <v>4833.7620406414935</v>
      </c>
      <c r="F107" s="35"/>
      <c r="G107">
        <f t="shared" si="6"/>
        <v>234.3568962704351</v>
      </c>
    </row>
    <row r="108" spans="1:7" x14ac:dyDescent="0.2">
      <c r="A108">
        <v>72</v>
      </c>
      <c r="B108">
        <f t="shared" si="9"/>
        <v>5890</v>
      </c>
      <c r="C108" s="35">
        <v>300</v>
      </c>
      <c r="D108" s="35"/>
      <c r="E108" s="35">
        <f t="shared" si="10"/>
        <v>4752.0408917576842</v>
      </c>
      <c r="F108" s="35"/>
      <c r="G108">
        <f t="shared" si="6"/>
        <v>233.24600710377302</v>
      </c>
    </row>
    <row r="109" spans="1:7" x14ac:dyDescent="0.2">
      <c r="A109">
        <v>73</v>
      </c>
      <c r="B109">
        <f t="shared" si="9"/>
        <v>5962</v>
      </c>
      <c r="C109" s="35">
        <v>300</v>
      </c>
      <c r="D109" s="35"/>
      <c r="E109" s="35">
        <f t="shared" si="10"/>
        <v>4672.1990118772637</v>
      </c>
      <c r="F109" s="35"/>
      <c r="G109">
        <f t="shared" si="6"/>
        <v>232.13042090676873</v>
      </c>
    </row>
    <row r="110" spans="1:7" x14ac:dyDescent="0.2">
      <c r="A110">
        <v>74</v>
      </c>
      <c r="B110">
        <f t="shared" si="9"/>
        <v>6034</v>
      </c>
      <c r="C110" s="35">
        <v>300</v>
      </c>
      <c r="D110" s="35"/>
      <c r="E110" s="35">
        <f t="shared" si="10"/>
        <v>4594.1678245290295</v>
      </c>
      <c r="F110" s="35"/>
      <c r="G110">
        <f t="shared" si="6"/>
        <v>231.01007211006802</v>
      </c>
    </row>
    <row r="111" spans="1:7" x14ac:dyDescent="0.2">
      <c r="A111">
        <v>75</v>
      </c>
      <c r="B111">
        <f t="shared" si="9"/>
        <v>6106</v>
      </c>
      <c r="C111" s="35">
        <v>300</v>
      </c>
      <c r="D111" s="35"/>
      <c r="E111" s="35">
        <f t="shared" si="10"/>
        <v>4517.8819386293799</v>
      </c>
      <c r="F111" s="35"/>
      <c r="G111">
        <f t="shared" ref="G111:G116" si="11">E111/2000*B111/60</f>
        <v>229.88489264392493</v>
      </c>
    </row>
    <row r="112" spans="1:7" x14ac:dyDescent="0.2">
      <c r="A112">
        <v>76</v>
      </c>
      <c r="B112">
        <f t="shared" si="9"/>
        <v>6178</v>
      </c>
      <c r="C112" s="35">
        <v>300</v>
      </c>
      <c r="D112" s="35"/>
      <c r="E112" s="35">
        <f t="shared" si="10"/>
        <v>4443.2789617044564</v>
      </c>
      <c r="F112" s="35"/>
      <c r="G112">
        <f t="shared" si="11"/>
        <v>228.7548118784178</v>
      </c>
    </row>
    <row r="113" spans="1:7" x14ac:dyDescent="0.2">
      <c r="A113">
        <v>77</v>
      </c>
      <c r="B113">
        <f t="shared" si="9"/>
        <v>6250</v>
      </c>
      <c r="C113" s="35">
        <v>300</v>
      </c>
      <c r="D113" s="35"/>
      <c r="E113" s="35">
        <f t="shared" si="10"/>
        <v>4370.2993259082459</v>
      </c>
      <c r="F113" s="35"/>
      <c r="G113">
        <f t="shared" si="11"/>
        <v>227.61975655772116</v>
      </c>
    </row>
    <row r="114" spans="1:7" x14ac:dyDescent="0.2">
      <c r="A114">
        <v>78</v>
      </c>
      <c r="B114">
        <f t="shared" si="9"/>
        <v>6322</v>
      </c>
      <c r="C114" s="35">
        <v>300</v>
      </c>
      <c r="D114" s="35"/>
      <c r="E114" s="35">
        <f t="shared" si="10"/>
        <v>4298.8861258137222</v>
      </c>
      <c r="F114" s="35"/>
      <c r="G114">
        <f t="shared" si="11"/>
        <v>226.47965072828629</v>
      </c>
    </row>
    <row r="115" spans="1:7" x14ac:dyDescent="0.2">
      <c r="A115">
        <v>79</v>
      </c>
      <c r="B115">
        <f t="shared" si="9"/>
        <v>6394</v>
      </c>
      <c r="C115" s="35">
        <v>300</v>
      </c>
      <c r="D115" s="35"/>
      <c r="E115" s="35">
        <f t="shared" si="10"/>
        <v>4228.9849670457106</v>
      </c>
      <c r="F115" s="35"/>
      <c r="G115">
        <f t="shared" si="11"/>
        <v>225.33441566075228</v>
      </c>
    </row>
    <row r="116" spans="1:7" x14ac:dyDescent="0.2">
      <c r="A116">
        <v>80</v>
      </c>
      <c r="B116">
        <f t="shared" si="9"/>
        <v>6466</v>
      </c>
      <c r="C116" s="35">
        <v>300</v>
      </c>
      <c r="D116" s="35"/>
      <c r="E116" s="35">
        <f t="shared" si="10"/>
        <v>4160.54382490648</v>
      </c>
      <c r="F116" s="35"/>
      <c r="G116">
        <f t="shared" si="11"/>
        <v>224.1839697653775</v>
      </c>
    </row>
  </sheetData>
  <mergeCells count="242">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S5:T5"/>
    <mergeCell ref="P3:T3"/>
    <mergeCell ref="Q28:R28"/>
    <mergeCell ref="S28:T28"/>
    <mergeCell ref="U28:V28"/>
    <mergeCell ref="Q29:R29"/>
    <mergeCell ref="S29:T29"/>
    <mergeCell ref="U29:V29"/>
    <mergeCell ref="Q26:R26"/>
    <mergeCell ref="S26:T26"/>
    <mergeCell ref="U26:V26"/>
    <mergeCell ref="Q27:R27"/>
    <mergeCell ref="S27:T27"/>
    <mergeCell ref="U27:V27"/>
    <mergeCell ref="Q32:R32"/>
    <mergeCell ref="S32:T32"/>
    <mergeCell ref="U32:V32"/>
    <mergeCell ref="Q33:R33"/>
    <mergeCell ref="S33:T33"/>
    <mergeCell ref="U33:V33"/>
    <mergeCell ref="Q30:R30"/>
    <mergeCell ref="S30:T30"/>
    <mergeCell ref="U30:V30"/>
    <mergeCell ref="Q31:R31"/>
    <mergeCell ref="S31:T31"/>
    <mergeCell ref="U31:V31"/>
    <mergeCell ref="C49:D49"/>
    <mergeCell ref="C50:D50"/>
    <mergeCell ref="C51:D51"/>
    <mergeCell ref="C52:D52"/>
    <mergeCell ref="C53:D53"/>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C59:D59"/>
    <mergeCell ref="C60:D60"/>
    <mergeCell ref="C61:D61"/>
    <mergeCell ref="C62:D62"/>
    <mergeCell ref="C63:D63"/>
    <mergeCell ref="C54:D54"/>
    <mergeCell ref="C55:D55"/>
    <mergeCell ref="C56:D56"/>
    <mergeCell ref="C57:D57"/>
    <mergeCell ref="C58:D58"/>
    <mergeCell ref="C69:D69"/>
    <mergeCell ref="C70:D70"/>
    <mergeCell ref="C71:D71"/>
    <mergeCell ref="C72:D72"/>
    <mergeCell ref="C73:D73"/>
    <mergeCell ref="C64:D64"/>
    <mergeCell ref="C65:D65"/>
    <mergeCell ref="C66:D66"/>
    <mergeCell ref="C67:D67"/>
    <mergeCell ref="C68:D68"/>
    <mergeCell ref="C79:D79"/>
    <mergeCell ref="C80:D80"/>
    <mergeCell ref="C81:D81"/>
    <mergeCell ref="C82:D82"/>
    <mergeCell ref="C83:D83"/>
    <mergeCell ref="C74:D74"/>
    <mergeCell ref="C75:D75"/>
    <mergeCell ref="C76:D76"/>
    <mergeCell ref="C77:D77"/>
    <mergeCell ref="C78:D78"/>
    <mergeCell ref="C89:D89"/>
    <mergeCell ref="C90:D90"/>
    <mergeCell ref="C91:D91"/>
    <mergeCell ref="C92:D92"/>
    <mergeCell ref="C93:D93"/>
    <mergeCell ref="C84:D84"/>
    <mergeCell ref="C85:D85"/>
    <mergeCell ref="C86:D86"/>
    <mergeCell ref="C87:D87"/>
    <mergeCell ref="C88:D88"/>
    <mergeCell ref="C107:D107"/>
    <mergeCell ref="C108:D108"/>
    <mergeCell ref="C99:D99"/>
    <mergeCell ref="C100:D100"/>
    <mergeCell ref="C101:D101"/>
    <mergeCell ref="C102:D102"/>
    <mergeCell ref="C103:D103"/>
    <mergeCell ref="C94:D94"/>
    <mergeCell ref="C95:D95"/>
    <mergeCell ref="C96:D96"/>
    <mergeCell ref="C97:D97"/>
    <mergeCell ref="C98:D98"/>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C112:D112"/>
    <mergeCell ref="C113:D113"/>
    <mergeCell ref="C104:D104"/>
    <mergeCell ref="C105:D105"/>
    <mergeCell ref="C106:D106"/>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116:F116"/>
    <mergeCell ref="E110:F110"/>
    <mergeCell ref="E111:F111"/>
    <mergeCell ref="E112:F112"/>
    <mergeCell ref="E113:F113"/>
    <mergeCell ref="E114:F114"/>
    <mergeCell ref="E105:F105"/>
    <mergeCell ref="E106:F106"/>
    <mergeCell ref="E107:F107"/>
    <mergeCell ref="E108:F108"/>
    <mergeCell ref="E109:F109"/>
    <mergeCell ref="P4:Q4"/>
    <mergeCell ref="R4:T4"/>
    <mergeCell ref="S6:T6"/>
    <mergeCell ref="S7:T7"/>
    <mergeCell ref="S8:T8"/>
    <mergeCell ref="B28:C28"/>
    <mergeCell ref="A34:G35"/>
    <mergeCell ref="E115:F115"/>
    <mergeCell ref="E100:F100"/>
    <mergeCell ref="E101:F101"/>
    <mergeCell ref="E102:F102"/>
    <mergeCell ref="E103:F103"/>
    <mergeCell ref="E104:F104"/>
    <mergeCell ref="O4:O5"/>
    <mergeCell ref="E95:F95"/>
    <mergeCell ref="E96:F96"/>
    <mergeCell ref="E97:F97"/>
    <mergeCell ref="E98:F98"/>
    <mergeCell ref="E99:F99"/>
    <mergeCell ref="E90:F90"/>
    <mergeCell ref="E91:F91"/>
    <mergeCell ref="E92:F92"/>
    <mergeCell ref="E93:F93"/>
    <mergeCell ref="E94:F94"/>
  </mergeCells>
  <phoneticPr fontId="1" type="noConversion"/>
  <dataValidations count="2">
    <dataValidation type="list" allowBlank="1" showInputMessage="1" sqref="O6:O8" xr:uid="{00000000-0002-0000-0700-000000000000}">
      <formula1>"是, 否"</formula1>
    </dataValidation>
    <dataValidation type="list" allowBlank="1" showInputMessage="1" sqref="P6:P8" xr:uid="{00000000-0002-0000-0700-000001000000}">
      <formula1>"LY, AU"</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24"/>
  <sheetViews>
    <sheetView workbookViewId="0">
      <selection sqref="A1:XFD1048576"/>
    </sheetView>
  </sheetViews>
  <sheetFormatPr defaultRowHeight="14.25" x14ac:dyDescent="0.2"/>
  <cols>
    <col min="3" max="3" width="22.25" customWidth="1"/>
    <col min="5" max="5" width="10.125" customWidth="1"/>
  </cols>
  <sheetData>
    <row r="1" spans="1:36" x14ac:dyDescent="0.2">
      <c r="A1" s="36" t="s">
        <v>309</v>
      </c>
      <c r="B1" s="36"/>
      <c r="C1" s="36"/>
      <c r="D1" s="36"/>
      <c r="E1" s="36"/>
    </row>
    <row r="2" spans="1:36" x14ac:dyDescent="0.2">
      <c r="B2" s="36" t="s">
        <v>310</v>
      </c>
      <c r="C2" s="36"/>
      <c r="D2" s="36"/>
      <c r="E2" s="36"/>
      <c r="F2" s="36"/>
      <c r="G2" s="36"/>
      <c r="H2" s="36"/>
      <c r="I2" s="36"/>
      <c r="J2" s="36"/>
    </row>
    <row r="3" spans="1:36" x14ac:dyDescent="0.2">
      <c r="A3" s="36" t="s">
        <v>308</v>
      </c>
      <c r="B3" s="36"/>
      <c r="C3" s="36"/>
      <c r="D3" s="36"/>
    </row>
    <row r="4" spans="1:36" x14ac:dyDescent="0.2">
      <c r="B4" s="36" t="s">
        <v>311</v>
      </c>
      <c r="C4" s="36"/>
      <c r="D4" s="36"/>
      <c r="E4" s="36"/>
      <c r="F4" s="36"/>
      <c r="G4" s="36"/>
      <c r="H4" s="36"/>
      <c r="I4" s="36"/>
      <c r="J4" s="36"/>
      <c r="K4" s="36"/>
      <c r="L4" s="36"/>
      <c r="M4" s="36"/>
      <c r="N4" s="36"/>
    </row>
    <row r="5" spans="1:36" x14ac:dyDescent="0.2">
      <c r="B5" s="36" t="s">
        <v>312</v>
      </c>
      <c r="C5" s="36"/>
      <c r="D5" s="36"/>
      <c r="E5" s="36"/>
      <c r="F5" s="36"/>
      <c r="G5" s="36"/>
    </row>
    <row r="6" spans="1:36" x14ac:dyDescent="0.2">
      <c r="B6" s="36" t="s">
        <v>313</v>
      </c>
      <c r="C6" s="36"/>
      <c r="D6" s="36"/>
      <c r="E6" s="36"/>
      <c r="F6" s="36"/>
      <c r="G6" s="36"/>
      <c r="H6" s="36"/>
      <c r="I6" s="36"/>
      <c r="J6" s="36"/>
      <c r="K6" s="36"/>
    </row>
    <row r="7" spans="1:36" x14ac:dyDescent="0.2">
      <c r="B7" s="36" t="s">
        <v>314</v>
      </c>
      <c r="C7" s="36"/>
      <c r="D7" s="36"/>
      <c r="E7" s="36"/>
      <c r="F7" s="36"/>
      <c r="G7" s="36"/>
      <c r="H7" s="36"/>
      <c r="I7" s="36"/>
      <c r="J7" s="36"/>
      <c r="K7" s="36"/>
      <c r="L7" s="36"/>
      <c r="M7" s="36"/>
      <c r="N7" s="36"/>
    </row>
    <row r="8" spans="1:36" x14ac:dyDescent="0.2">
      <c r="B8" s="36" t="s">
        <v>374</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row>
    <row r="9" spans="1:36" x14ac:dyDescent="0.2">
      <c r="B9" t="s">
        <v>315</v>
      </c>
    </row>
    <row r="10" spans="1:36" x14ac:dyDescent="0.2">
      <c r="D10" t="s">
        <v>320</v>
      </c>
      <c r="E10" t="s">
        <v>321</v>
      </c>
    </row>
    <row r="11" spans="1:36" x14ac:dyDescent="0.2">
      <c r="C11" t="s">
        <v>316</v>
      </c>
      <c r="D11" t="s">
        <v>322</v>
      </c>
      <c r="E11" t="s">
        <v>322</v>
      </c>
    </row>
    <row r="12" spans="1:36" x14ac:dyDescent="0.2">
      <c r="C12" t="s">
        <v>317</v>
      </c>
      <c r="D12" t="s">
        <v>323</v>
      </c>
      <c r="E12" t="s">
        <v>322</v>
      </c>
    </row>
    <row r="13" spans="1:36" x14ac:dyDescent="0.2">
      <c r="C13" t="s">
        <v>318</v>
      </c>
      <c r="D13" t="s">
        <v>322</v>
      </c>
      <c r="E13" t="s">
        <v>324</v>
      </c>
    </row>
    <row r="14" spans="1:36" x14ac:dyDescent="0.2">
      <c r="C14" t="s">
        <v>319</v>
      </c>
      <c r="D14" t="s">
        <v>323</v>
      </c>
      <c r="E14" t="s">
        <v>324</v>
      </c>
    </row>
    <row r="15" spans="1:36" x14ac:dyDescent="0.2">
      <c r="C15" t="s">
        <v>325</v>
      </c>
    </row>
    <row r="17" spans="2:73" x14ac:dyDescent="0.2">
      <c r="B17" s="36" t="s">
        <v>327</v>
      </c>
      <c r="C17" s="36"/>
    </row>
    <row r="18" spans="2:73" x14ac:dyDescent="0.2">
      <c r="C18" s="35" t="s">
        <v>326</v>
      </c>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row>
    <row r="22" spans="2:73" x14ac:dyDescent="0.2">
      <c r="B22" t="s">
        <v>328</v>
      </c>
    </row>
    <row r="23" spans="2:73" x14ac:dyDescent="0.2">
      <c r="C23" t="s">
        <v>329</v>
      </c>
    </row>
    <row r="24" spans="2:73" x14ac:dyDescent="0.2">
      <c r="C24" t="s">
        <v>330</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lpstr>恒星光度-戴森球半径关系</vt:lpstr>
      <vt:lpstr>行星数量、轨道半径等生成概率分布</vt:lpstr>
      <vt:lpstr>气巨冰巨多卫星等</vt:lpstr>
      <vt:lpstr>星球类型温度需求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653524123@qq.com</cp:lastModifiedBy>
  <dcterms:created xsi:type="dcterms:W3CDTF">2022-03-04T05:20:55Z</dcterms:created>
  <dcterms:modified xsi:type="dcterms:W3CDTF">2024-10-19T10:42:42Z</dcterms:modified>
</cp:coreProperties>
</file>