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
    </mc:Choice>
  </mc:AlternateContent>
  <bookViews>
    <workbookView xWindow="-120" yWindow="-120" windowWidth="29040" windowHeight="15840" tabRatio="902" firstSheet="7" activeTab="7"/>
  </bookViews>
  <sheets>
    <sheet name="星球建造规格统计" sheetId="1" r:id="rId1"/>
    <sheet name="建筑尺寸统计" sheetId="2" r:id="rId2"/>
    <sheet name="建筑偏移" sheetId="3" r:id="rId3"/>
    <sheet name="增产计算器" sheetId="4" r:id="rId4"/>
    <sheet name="产线占地参考" sheetId="6" r:id="rId5"/>
    <sheet name="分馏计算" sheetId="7" r:id="rId6"/>
    <sheet name="接收站" sheetId="8" r:id="rId7"/>
    <sheet name="飞船耗电与电力瓶颈下运力计算" sheetId="9" r:id="rId8"/>
    <sheet name="电磁弹射器" sheetId="10" r:id="rId9"/>
    <sheet name="轨道采集器最终产量" sheetId="11" r:id="rId10"/>
    <sheet name="分馏对撞卡顿比较" sheetId="12" r:id="rId11"/>
    <sheet name="通关科技需求" sheetId="13" r:id="rId12"/>
    <sheet name="Vertex半径" sheetId="14" r:id="rId13"/>
    <sheet name="矿机耗电、效率" sheetId="15" r:id="rId14"/>
    <sheet name="太阳能" sheetId="16" r:id="rId15"/>
    <sheet name="集装机可堆叠间隔" sheetId="17" r:id="rId16"/>
    <sheet name="飞船运输耗时估计" sheetId="18" r:id="rId17"/>
    <sheet name="最密节点、风电等问题" sheetId="19" r:id="rId18"/>
    <sheet name="buffer长度" sheetId="20" r:id="rId19"/>
    <sheet name="科技蓝爪运力" sheetId="21" r:id="rId20"/>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U21" i="9" l="1"/>
  <c r="S8" i="9"/>
  <c r="S6" i="9"/>
  <c r="R6" i="9"/>
  <c r="R7" i="9"/>
  <c r="S7" i="9"/>
  <c r="U6" i="9"/>
  <c r="V6" i="9" s="1"/>
  <c r="V8" i="9"/>
  <c r="V7" i="9"/>
  <c r="U7" i="9"/>
  <c r="X7" i="9" s="1"/>
  <c r="U8" i="9"/>
  <c r="X8" i="9" s="1"/>
  <c r="X6" i="9" l="1"/>
  <c r="W7" i="9"/>
  <c r="W8" i="9"/>
  <c r="R8" i="9" s="1"/>
  <c r="W6" i="9"/>
  <c r="B10" i="16"/>
  <c r="D73" i="16"/>
  <c r="E73" i="16" s="1"/>
  <c r="F73" i="16" s="1"/>
  <c r="G73" i="16" s="1"/>
  <c r="H73" i="16" s="1"/>
  <c r="I73" i="16" s="1"/>
  <c r="J73" i="16" s="1"/>
  <c r="K73" i="16" s="1"/>
  <c r="L73" i="16" s="1"/>
  <c r="M73" i="16" s="1"/>
  <c r="N73" i="16" s="1"/>
  <c r="O73" i="16" s="1"/>
  <c r="P73" i="16" s="1"/>
  <c r="Q73" i="16" s="1"/>
  <c r="R73" i="16" s="1"/>
  <c r="S73" i="16" s="1"/>
  <c r="T73" i="16" s="1"/>
  <c r="C73" i="16"/>
  <c r="B106" i="16"/>
  <c r="C106" i="16" s="1"/>
  <c r="D106" i="16" s="1"/>
  <c r="E106" i="16" s="1"/>
  <c r="F106" i="16" s="1"/>
  <c r="G106" i="16" s="1"/>
  <c r="H106" i="16" s="1"/>
  <c r="I106" i="16" s="1"/>
  <c r="J106" i="16" s="1"/>
  <c r="K106" i="16" s="1"/>
  <c r="L106" i="16" s="1"/>
  <c r="M106" i="16" s="1"/>
  <c r="N106" i="16" s="1"/>
  <c r="O106" i="16" s="1"/>
  <c r="P106" i="16" s="1"/>
  <c r="Q106" i="16" s="1"/>
  <c r="R106" i="16" s="1"/>
  <c r="S106" i="16" s="1"/>
  <c r="T106" i="16" s="1"/>
  <c r="B107" i="16"/>
  <c r="C107" i="16" s="1"/>
  <c r="D107" i="16" s="1"/>
  <c r="E107" i="16" s="1"/>
  <c r="F107" i="16" s="1"/>
  <c r="G107" i="16" s="1"/>
  <c r="H107" i="16" s="1"/>
  <c r="I107" i="16" s="1"/>
  <c r="J107" i="16" s="1"/>
  <c r="K107" i="16" s="1"/>
  <c r="L107" i="16" s="1"/>
  <c r="M107" i="16" s="1"/>
  <c r="N107" i="16" s="1"/>
  <c r="O107" i="16" s="1"/>
  <c r="P107" i="16" s="1"/>
  <c r="Q107" i="16" s="1"/>
  <c r="R107" i="16" s="1"/>
  <c r="S107" i="16" s="1"/>
  <c r="T107" i="16" s="1"/>
  <c r="B108" i="16"/>
  <c r="C108" i="16" s="1"/>
  <c r="D108" i="16" s="1"/>
  <c r="E108" i="16" s="1"/>
  <c r="F108" i="16" s="1"/>
  <c r="G108" i="16" s="1"/>
  <c r="H108" i="16" s="1"/>
  <c r="I108" i="16" s="1"/>
  <c r="J108" i="16" s="1"/>
  <c r="K108" i="16" s="1"/>
  <c r="L108" i="16" s="1"/>
  <c r="M108" i="16" s="1"/>
  <c r="N108" i="16" s="1"/>
  <c r="O108" i="16" s="1"/>
  <c r="P108" i="16" s="1"/>
  <c r="Q108" i="16" s="1"/>
  <c r="R108" i="16" s="1"/>
  <c r="S108" i="16" s="1"/>
  <c r="T108" i="16" s="1"/>
  <c r="B109" i="16"/>
  <c r="C109" i="16" s="1"/>
  <c r="D109" i="16" s="1"/>
  <c r="E109" i="16" s="1"/>
  <c r="F109" i="16" s="1"/>
  <c r="G109" i="16" s="1"/>
  <c r="H109" i="16" s="1"/>
  <c r="I109" i="16" s="1"/>
  <c r="J109" i="16" s="1"/>
  <c r="K109" i="16" s="1"/>
  <c r="L109" i="16" s="1"/>
  <c r="M109" i="16" s="1"/>
  <c r="N109" i="16" s="1"/>
  <c r="O109" i="16" s="1"/>
  <c r="P109" i="16" s="1"/>
  <c r="Q109" i="16" s="1"/>
  <c r="R109" i="16" s="1"/>
  <c r="S109" i="16" s="1"/>
  <c r="T109" i="16" s="1"/>
  <c r="B110" i="16"/>
  <c r="C110" i="16"/>
  <c r="D110" i="16" s="1"/>
  <c r="E110" i="16" s="1"/>
  <c r="F110" i="16" s="1"/>
  <c r="G110" i="16" s="1"/>
  <c r="H110" i="16" s="1"/>
  <c r="I110" i="16" s="1"/>
  <c r="J110" i="16" s="1"/>
  <c r="K110" i="16" s="1"/>
  <c r="L110" i="16" s="1"/>
  <c r="M110" i="16" s="1"/>
  <c r="N110" i="16" s="1"/>
  <c r="O110" i="16" s="1"/>
  <c r="P110" i="16" s="1"/>
  <c r="Q110" i="16" s="1"/>
  <c r="R110" i="16" s="1"/>
  <c r="S110" i="16" s="1"/>
  <c r="T110" i="16" s="1"/>
  <c r="B111" i="16"/>
  <c r="C111" i="16"/>
  <c r="D111" i="16" s="1"/>
  <c r="E111" i="16" s="1"/>
  <c r="F111" i="16" s="1"/>
  <c r="G111" i="16" s="1"/>
  <c r="H111" i="16" s="1"/>
  <c r="I111" i="16" s="1"/>
  <c r="J111" i="16" s="1"/>
  <c r="K111" i="16" s="1"/>
  <c r="L111" i="16" s="1"/>
  <c r="M111" i="16" s="1"/>
  <c r="N111" i="16" s="1"/>
  <c r="O111" i="16" s="1"/>
  <c r="P111" i="16" s="1"/>
  <c r="Q111" i="16" s="1"/>
  <c r="R111" i="16" s="1"/>
  <c r="S111" i="16" s="1"/>
  <c r="T111" i="16" s="1"/>
  <c r="B112" i="16"/>
  <c r="C112" i="16" s="1"/>
  <c r="D112" i="16" s="1"/>
  <c r="E112" i="16" s="1"/>
  <c r="F112" i="16" s="1"/>
  <c r="G112" i="16" s="1"/>
  <c r="H112" i="16" s="1"/>
  <c r="I112" i="16" s="1"/>
  <c r="J112" i="16" s="1"/>
  <c r="K112" i="16" s="1"/>
  <c r="L112" i="16" s="1"/>
  <c r="M112" i="16" s="1"/>
  <c r="N112" i="16" s="1"/>
  <c r="O112" i="16" s="1"/>
  <c r="P112" i="16" s="1"/>
  <c r="Q112" i="16" s="1"/>
  <c r="R112" i="16" s="1"/>
  <c r="S112" i="16" s="1"/>
  <c r="T112" i="16" s="1"/>
  <c r="B113" i="16"/>
  <c r="C113" i="16"/>
  <c r="D113" i="16" s="1"/>
  <c r="E113" i="16" s="1"/>
  <c r="F113" i="16" s="1"/>
  <c r="G113" i="16" s="1"/>
  <c r="H113" i="16" s="1"/>
  <c r="I113" i="16" s="1"/>
  <c r="J113" i="16" s="1"/>
  <c r="K113" i="16" s="1"/>
  <c r="L113" i="16" s="1"/>
  <c r="M113" i="16" s="1"/>
  <c r="N113" i="16" s="1"/>
  <c r="O113" i="16" s="1"/>
  <c r="P113" i="16" s="1"/>
  <c r="Q113" i="16" s="1"/>
  <c r="R113" i="16" s="1"/>
  <c r="S113" i="16" s="1"/>
  <c r="T113" i="16" s="1"/>
  <c r="B114" i="16"/>
  <c r="C114" i="16"/>
  <c r="D114" i="16" s="1"/>
  <c r="E114" i="16" s="1"/>
  <c r="F114" i="16" s="1"/>
  <c r="G114" i="16" s="1"/>
  <c r="H114" i="16" s="1"/>
  <c r="I114" i="16" s="1"/>
  <c r="J114" i="16" s="1"/>
  <c r="K114" i="16" s="1"/>
  <c r="L114" i="16" s="1"/>
  <c r="M114" i="16" s="1"/>
  <c r="N114" i="16" s="1"/>
  <c r="O114" i="16" s="1"/>
  <c r="P114" i="16" s="1"/>
  <c r="Q114" i="16" s="1"/>
  <c r="R114" i="16" s="1"/>
  <c r="S114" i="16" s="1"/>
  <c r="T114" i="16" s="1"/>
  <c r="B115" i="16"/>
  <c r="C115" i="16" s="1"/>
  <c r="D115" i="16" s="1"/>
  <c r="E115" i="16" s="1"/>
  <c r="F115" i="16" s="1"/>
  <c r="G115" i="16" s="1"/>
  <c r="H115" i="16" s="1"/>
  <c r="I115" i="16" s="1"/>
  <c r="J115" i="16" s="1"/>
  <c r="K115" i="16" s="1"/>
  <c r="L115" i="16" s="1"/>
  <c r="M115" i="16" s="1"/>
  <c r="N115" i="16" s="1"/>
  <c r="O115" i="16" s="1"/>
  <c r="P115" i="16" s="1"/>
  <c r="Q115" i="16" s="1"/>
  <c r="R115" i="16" s="1"/>
  <c r="S115" i="16" s="1"/>
  <c r="T115" i="16" s="1"/>
  <c r="B116" i="16"/>
  <c r="C116" i="16"/>
  <c r="D116" i="16"/>
  <c r="E116" i="16" s="1"/>
  <c r="F116" i="16" s="1"/>
  <c r="G116" i="16" s="1"/>
  <c r="H116" i="16" s="1"/>
  <c r="I116" i="16" s="1"/>
  <c r="J116" i="16" s="1"/>
  <c r="K116" i="16" s="1"/>
  <c r="L116" i="16" s="1"/>
  <c r="M116" i="16" s="1"/>
  <c r="N116" i="16" s="1"/>
  <c r="O116" i="16" s="1"/>
  <c r="P116" i="16" s="1"/>
  <c r="Q116" i="16" s="1"/>
  <c r="R116" i="16" s="1"/>
  <c r="S116" i="16" s="1"/>
  <c r="T116" i="16" s="1"/>
  <c r="B117" i="16"/>
  <c r="C117" i="16" s="1"/>
  <c r="D117" i="16" s="1"/>
  <c r="E117" i="16" s="1"/>
  <c r="F117" i="16" s="1"/>
  <c r="G117" i="16" s="1"/>
  <c r="H117" i="16" s="1"/>
  <c r="I117" i="16" s="1"/>
  <c r="J117" i="16" s="1"/>
  <c r="K117" i="16" s="1"/>
  <c r="L117" i="16" s="1"/>
  <c r="M117" i="16" s="1"/>
  <c r="N117" i="16" s="1"/>
  <c r="O117" i="16" s="1"/>
  <c r="P117" i="16" s="1"/>
  <c r="Q117" i="16" s="1"/>
  <c r="R117" i="16" s="1"/>
  <c r="S117" i="16" s="1"/>
  <c r="T117" i="16" s="1"/>
  <c r="B118" i="16"/>
  <c r="C118" i="16" s="1"/>
  <c r="D118" i="16" s="1"/>
  <c r="E118" i="16" s="1"/>
  <c r="F118" i="16" s="1"/>
  <c r="G118" i="16" s="1"/>
  <c r="H118" i="16" s="1"/>
  <c r="I118" i="16" s="1"/>
  <c r="J118" i="16" s="1"/>
  <c r="K118" i="16" s="1"/>
  <c r="L118" i="16" s="1"/>
  <c r="M118" i="16" s="1"/>
  <c r="N118" i="16" s="1"/>
  <c r="O118" i="16" s="1"/>
  <c r="P118" i="16" s="1"/>
  <c r="Q118" i="16" s="1"/>
  <c r="R118" i="16" s="1"/>
  <c r="S118" i="16" s="1"/>
  <c r="T118" i="16" s="1"/>
  <c r="B119" i="16"/>
  <c r="C119" i="16" s="1"/>
  <c r="D119" i="16" s="1"/>
  <c r="E119" i="16" s="1"/>
  <c r="F119" i="16" s="1"/>
  <c r="G119" i="16" s="1"/>
  <c r="H119" i="16" s="1"/>
  <c r="I119" i="16" s="1"/>
  <c r="J119" i="16" s="1"/>
  <c r="K119" i="16" s="1"/>
  <c r="L119" i="16" s="1"/>
  <c r="M119" i="16" s="1"/>
  <c r="N119" i="16" s="1"/>
  <c r="O119" i="16" s="1"/>
  <c r="P119" i="16" s="1"/>
  <c r="Q119" i="16" s="1"/>
  <c r="R119" i="16" s="1"/>
  <c r="S119" i="16" s="1"/>
  <c r="T119" i="16" s="1"/>
  <c r="B120" i="16"/>
  <c r="C120" i="16" s="1"/>
  <c r="D120" i="16" s="1"/>
  <c r="E120" i="16" s="1"/>
  <c r="F120" i="16" s="1"/>
  <c r="G120" i="16" s="1"/>
  <c r="H120" i="16" s="1"/>
  <c r="I120" i="16" s="1"/>
  <c r="J120" i="16" s="1"/>
  <c r="K120" i="16" s="1"/>
  <c r="L120" i="16" s="1"/>
  <c r="M120" i="16" s="1"/>
  <c r="N120" i="16" s="1"/>
  <c r="O120" i="16" s="1"/>
  <c r="P120" i="16" s="1"/>
  <c r="Q120" i="16" s="1"/>
  <c r="R120" i="16" s="1"/>
  <c r="S120" i="16" s="1"/>
  <c r="T120" i="16" s="1"/>
  <c r="B121" i="16"/>
  <c r="C121" i="16" s="1"/>
  <c r="D121" i="16" s="1"/>
  <c r="E121" i="16" s="1"/>
  <c r="F121" i="16" s="1"/>
  <c r="G121" i="16" s="1"/>
  <c r="H121" i="16" s="1"/>
  <c r="I121" i="16" s="1"/>
  <c r="J121" i="16" s="1"/>
  <c r="K121" i="16" s="1"/>
  <c r="L121" i="16" s="1"/>
  <c r="M121" i="16" s="1"/>
  <c r="N121" i="16" s="1"/>
  <c r="O121" i="16" s="1"/>
  <c r="P121" i="16" s="1"/>
  <c r="Q121" i="16" s="1"/>
  <c r="R121" i="16" s="1"/>
  <c r="S121" i="16" s="1"/>
  <c r="T121" i="16" s="1"/>
  <c r="B122" i="16"/>
  <c r="C122" i="16"/>
  <c r="D122" i="16" s="1"/>
  <c r="E122" i="16" s="1"/>
  <c r="F122" i="16" s="1"/>
  <c r="G122" i="16" s="1"/>
  <c r="H122" i="16" s="1"/>
  <c r="I122" i="16" s="1"/>
  <c r="J122" i="16" s="1"/>
  <c r="K122" i="16" s="1"/>
  <c r="L122" i="16" s="1"/>
  <c r="M122" i="16" s="1"/>
  <c r="N122" i="16" s="1"/>
  <c r="O122" i="16" s="1"/>
  <c r="P122" i="16" s="1"/>
  <c r="Q122" i="16" s="1"/>
  <c r="R122" i="16" s="1"/>
  <c r="S122" i="16" s="1"/>
  <c r="T122" i="16" s="1"/>
  <c r="B123" i="16"/>
  <c r="C123" i="16"/>
  <c r="D123" i="16" s="1"/>
  <c r="E123" i="16" s="1"/>
  <c r="F123" i="16" s="1"/>
  <c r="G123" i="16" s="1"/>
  <c r="H123" i="16" s="1"/>
  <c r="I123" i="16" s="1"/>
  <c r="J123" i="16" s="1"/>
  <c r="K123" i="16" s="1"/>
  <c r="L123" i="16" s="1"/>
  <c r="M123" i="16" s="1"/>
  <c r="N123" i="16" s="1"/>
  <c r="O123" i="16" s="1"/>
  <c r="P123" i="16" s="1"/>
  <c r="Q123" i="16" s="1"/>
  <c r="R123" i="16" s="1"/>
  <c r="S123" i="16" s="1"/>
  <c r="T123" i="16" s="1"/>
  <c r="D105" i="16"/>
  <c r="E105" i="16"/>
  <c r="F105" i="16" s="1"/>
  <c r="G105" i="16" s="1"/>
  <c r="H105" i="16" s="1"/>
  <c r="I105" i="16" s="1"/>
  <c r="J105" i="16" s="1"/>
  <c r="K105" i="16" s="1"/>
  <c r="L105" i="16" s="1"/>
  <c r="M105" i="16" s="1"/>
  <c r="N105" i="16" s="1"/>
  <c r="O105" i="16" s="1"/>
  <c r="P105" i="16" s="1"/>
  <c r="Q105" i="16" s="1"/>
  <c r="R105" i="16" s="1"/>
  <c r="S105" i="16" s="1"/>
  <c r="T105" i="16" s="1"/>
  <c r="C105" i="16"/>
  <c r="B105" i="16"/>
  <c r="B81" i="16"/>
  <c r="C81" i="16" s="1"/>
  <c r="D81" i="16" s="1"/>
  <c r="E81" i="16" s="1"/>
  <c r="F81" i="16" s="1"/>
  <c r="G81" i="16" s="1"/>
  <c r="H81" i="16" s="1"/>
  <c r="I81" i="16" s="1"/>
  <c r="J81" i="16" s="1"/>
  <c r="K81" i="16" s="1"/>
  <c r="L81" i="16" s="1"/>
  <c r="M81" i="16" s="1"/>
  <c r="N81" i="16" s="1"/>
  <c r="O81" i="16" s="1"/>
  <c r="P81" i="16" s="1"/>
  <c r="Q81" i="16" s="1"/>
  <c r="R81" i="16" s="1"/>
  <c r="S81" i="16" s="1"/>
  <c r="T81" i="16" s="1"/>
  <c r="B82" i="16"/>
  <c r="C82" i="16"/>
  <c r="D82" i="16" s="1"/>
  <c r="E82" i="16" s="1"/>
  <c r="F82" i="16" s="1"/>
  <c r="G82" i="16" s="1"/>
  <c r="H82" i="16" s="1"/>
  <c r="I82" i="16" s="1"/>
  <c r="J82" i="16" s="1"/>
  <c r="K82" i="16" s="1"/>
  <c r="L82" i="16" s="1"/>
  <c r="M82" i="16" s="1"/>
  <c r="N82" i="16" s="1"/>
  <c r="O82" i="16" s="1"/>
  <c r="P82" i="16" s="1"/>
  <c r="Q82" i="16" s="1"/>
  <c r="R82" i="16" s="1"/>
  <c r="S82" i="16" s="1"/>
  <c r="T82" i="16" s="1"/>
  <c r="B83" i="16"/>
  <c r="C83" i="16" s="1"/>
  <c r="D83" i="16" s="1"/>
  <c r="E83" i="16" s="1"/>
  <c r="F83" i="16" s="1"/>
  <c r="G83" i="16" s="1"/>
  <c r="H83" i="16" s="1"/>
  <c r="I83" i="16" s="1"/>
  <c r="J83" i="16" s="1"/>
  <c r="K83" i="16" s="1"/>
  <c r="L83" i="16" s="1"/>
  <c r="M83" i="16" s="1"/>
  <c r="N83" i="16" s="1"/>
  <c r="O83" i="16" s="1"/>
  <c r="P83" i="16" s="1"/>
  <c r="Q83" i="16" s="1"/>
  <c r="R83" i="16" s="1"/>
  <c r="S83" i="16" s="1"/>
  <c r="T83" i="16" s="1"/>
  <c r="B84" i="16"/>
  <c r="C84" i="16"/>
  <c r="D84" i="16"/>
  <c r="E84" i="16" s="1"/>
  <c r="F84" i="16" s="1"/>
  <c r="G84" i="16" s="1"/>
  <c r="H84" i="16" s="1"/>
  <c r="I84" i="16" s="1"/>
  <c r="J84" i="16" s="1"/>
  <c r="K84" i="16" s="1"/>
  <c r="L84" i="16" s="1"/>
  <c r="M84" i="16" s="1"/>
  <c r="N84" i="16" s="1"/>
  <c r="O84" i="16" s="1"/>
  <c r="P84" i="16" s="1"/>
  <c r="Q84" i="16" s="1"/>
  <c r="R84" i="16" s="1"/>
  <c r="S84" i="16" s="1"/>
  <c r="T84" i="16" s="1"/>
  <c r="B85" i="16"/>
  <c r="C85" i="16" s="1"/>
  <c r="D85" i="16" s="1"/>
  <c r="E85" i="16" s="1"/>
  <c r="F85" i="16" s="1"/>
  <c r="G85" i="16" s="1"/>
  <c r="H85" i="16" s="1"/>
  <c r="I85" i="16" s="1"/>
  <c r="J85" i="16" s="1"/>
  <c r="K85" i="16" s="1"/>
  <c r="L85" i="16" s="1"/>
  <c r="M85" i="16" s="1"/>
  <c r="N85" i="16" s="1"/>
  <c r="O85" i="16" s="1"/>
  <c r="P85" i="16" s="1"/>
  <c r="Q85" i="16" s="1"/>
  <c r="R85" i="16" s="1"/>
  <c r="S85" i="16" s="1"/>
  <c r="T85" i="16" s="1"/>
  <c r="B86" i="16"/>
  <c r="C86" i="16" s="1"/>
  <c r="D86" i="16" s="1"/>
  <c r="E86" i="16" s="1"/>
  <c r="F86" i="16" s="1"/>
  <c r="G86" i="16" s="1"/>
  <c r="H86" i="16" s="1"/>
  <c r="I86" i="16" s="1"/>
  <c r="J86" i="16" s="1"/>
  <c r="K86" i="16" s="1"/>
  <c r="L86" i="16" s="1"/>
  <c r="M86" i="16" s="1"/>
  <c r="N86" i="16" s="1"/>
  <c r="O86" i="16" s="1"/>
  <c r="P86" i="16" s="1"/>
  <c r="Q86" i="16" s="1"/>
  <c r="R86" i="16" s="1"/>
  <c r="S86" i="16" s="1"/>
  <c r="T86" i="16" s="1"/>
  <c r="B87" i="16"/>
  <c r="C87" i="16" s="1"/>
  <c r="D87" i="16" s="1"/>
  <c r="E87" i="16" s="1"/>
  <c r="F87" i="16" s="1"/>
  <c r="G87" i="16" s="1"/>
  <c r="H87" i="16" s="1"/>
  <c r="I87" i="16" s="1"/>
  <c r="J87" i="16" s="1"/>
  <c r="K87" i="16" s="1"/>
  <c r="L87" i="16" s="1"/>
  <c r="M87" i="16" s="1"/>
  <c r="N87" i="16" s="1"/>
  <c r="O87" i="16" s="1"/>
  <c r="P87" i="16" s="1"/>
  <c r="Q87" i="16" s="1"/>
  <c r="R87" i="16" s="1"/>
  <c r="S87" i="16" s="1"/>
  <c r="T87" i="16" s="1"/>
  <c r="B88" i="16"/>
  <c r="C88" i="16" s="1"/>
  <c r="D88" i="16" s="1"/>
  <c r="E88" i="16" s="1"/>
  <c r="F88" i="16" s="1"/>
  <c r="G88" i="16" s="1"/>
  <c r="H88" i="16" s="1"/>
  <c r="I88" i="16" s="1"/>
  <c r="J88" i="16" s="1"/>
  <c r="K88" i="16" s="1"/>
  <c r="L88" i="16" s="1"/>
  <c r="M88" i="16" s="1"/>
  <c r="N88" i="16" s="1"/>
  <c r="O88" i="16" s="1"/>
  <c r="P88" i="16" s="1"/>
  <c r="Q88" i="16" s="1"/>
  <c r="R88" i="16" s="1"/>
  <c r="S88" i="16" s="1"/>
  <c r="T88" i="16" s="1"/>
  <c r="B89" i="16"/>
  <c r="C89" i="16" s="1"/>
  <c r="D89" i="16" s="1"/>
  <c r="E89" i="16" s="1"/>
  <c r="F89" i="16" s="1"/>
  <c r="G89" i="16" s="1"/>
  <c r="H89" i="16" s="1"/>
  <c r="I89" i="16" s="1"/>
  <c r="J89" i="16" s="1"/>
  <c r="K89" i="16" s="1"/>
  <c r="L89" i="16" s="1"/>
  <c r="M89" i="16" s="1"/>
  <c r="N89" i="16" s="1"/>
  <c r="O89" i="16" s="1"/>
  <c r="P89" i="16" s="1"/>
  <c r="Q89" i="16" s="1"/>
  <c r="R89" i="16" s="1"/>
  <c r="S89" i="16" s="1"/>
  <c r="T89" i="16" s="1"/>
  <c r="B90" i="16"/>
  <c r="C90" i="16" s="1"/>
  <c r="D90" i="16" s="1"/>
  <c r="E90" i="16" s="1"/>
  <c r="F90" i="16" s="1"/>
  <c r="G90" i="16" s="1"/>
  <c r="H90" i="16" s="1"/>
  <c r="I90" i="16" s="1"/>
  <c r="J90" i="16" s="1"/>
  <c r="K90" i="16" s="1"/>
  <c r="L90" i="16" s="1"/>
  <c r="M90" i="16" s="1"/>
  <c r="N90" i="16" s="1"/>
  <c r="O90" i="16" s="1"/>
  <c r="P90" i="16" s="1"/>
  <c r="Q90" i="16" s="1"/>
  <c r="R90" i="16" s="1"/>
  <c r="S90" i="16" s="1"/>
  <c r="T90" i="16" s="1"/>
  <c r="B91" i="16"/>
  <c r="C91" i="16"/>
  <c r="D91" i="16" s="1"/>
  <c r="E91" i="16" s="1"/>
  <c r="F91" i="16" s="1"/>
  <c r="G91" i="16" s="1"/>
  <c r="H91" i="16" s="1"/>
  <c r="I91" i="16" s="1"/>
  <c r="J91" i="16" s="1"/>
  <c r="K91" i="16" s="1"/>
  <c r="L91" i="16" s="1"/>
  <c r="M91" i="16" s="1"/>
  <c r="N91" i="16" s="1"/>
  <c r="O91" i="16" s="1"/>
  <c r="P91" i="16" s="1"/>
  <c r="Q91" i="16" s="1"/>
  <c r="R91" i="16" s="1"/>
  <c r="S91" i="16" s="1"/>
  <c r="T91" i="16" s="1"/>
  <c r="B92" i="16"/>
  <c r="C92" i="16"/>
  <c r="D92" i="16" s="1"/>
  <c r="E92" i="16" s="1"/>
  <c r="F92" i="16" s="1"/>
  <c r="G92" i="16" s="1"/>
  <c r="H92" i="16" s="1"/>
  <c r="I92" i="16" s="1"/>
  <c r="J92" i="16" s="1"/>
  <c r="K92" i="16" s="1"/>
  <c r="L92" i="16" s="1"/>
  <c r="M92" i="16" s="1"/>
  <c r="N92" i="16" s="1"/>
  <c r="O92" i="16" s="1"/>
  <c r="P92" i="16" s="1"/>
  <c r="Q92" i="16" s="1"/>
  <c r="R92" i="16" s="1"/>
  <c r="S92" i="16" s="1"/>
  <c r="T92" i="16" s="1"/>
  <c r="B93" i="16"/>
  <c r="C93" i="16" s="1"/>
  <c r="D93" i="16" s="1"/>
  <c r="E93" i="16" s="1"/>
  <c r="F93" i="16" s="1"/>
  <c r="G93" i="16" s="1"/>
  <c r="H93" i="16" s="1"/>
  <c r="I93" i="16" s="1"/>
  <c r="J93" i="16" s="1"/>
  <c r="K93" i="16" s="1"/>
  <c r="L93" i="16" s="1"/>
  <c r="M93" i="16" s="1"/>
  <c r="N93" i="16" s="1"/>
  <c r="O93" i="16" s="1"/>
  <c r="P93" i="16" s="1"/>
  <c r="Q93" i="16" s="1"/>
  <c r="R93" i="16" s="1"/>
  <c r="S93" i="16" s="1"/>
  <c r="T93" i="16" s="1"/>
  <c r="B94" i="16"/>
  <c r="C94" i="16"/>
  <c r="D94" i="16" s="1"/>
  <c r="E94" i="16" s="1"/>
  <c r="F94" i="16" s="1"/>
  <c r="G94" i="16" s="1"/>
  <c r="H94" i="16" s="1"/>
  <c r="I94" i="16" s="1"/>
  <c r="J94" i="16" s="1"/>
  <c r="K94" i="16" s="1"/>
  <c r="L94" i="16" s="1"/>
  <c r="M94" i="16" s="1"/>
  <c r="N94" i="16" s="1"/>
  <c r="O94" i="16" s="1"/>
  <c r="P94" i="16" s="1"/>
  <c r="Q94" i="16" s="1"/>
  <c r="R94" i="16" s="1"/>
  <c r="S94" i="16" s="1"/>
  <c r="T94" i="16" s="1"/>
  <c r="B95" i="16"/>
  <c r="C95" i="16" s="1"/>
  <c r="D95" i="16" s="1"/>
  <c r="E95" i="16" s="1"/>
  <c r="F95" i="16" s="1"/>
  <c r="G95" i="16" s="1"/>
  <c r="H95" i="16" s="1"/>
  <c r="I95" i="16" s="1"/>
  <c r="J95" i="16" s="1"/>
  <c r="K95" i="16" s="1"/>
  <c r="L95" i="16" s="1"/>
  <c r="M95" i="16" s="1"/>
  <c r="N95" i="16" s="1"/>
  <c r="O95" i="16" s="1"/>
  <c r="P95" i="16" s="1"/>
  <c r="Q95" i="16" s="1"/>
  <c r="R95" i="16" s="1"/>
  <c r="S95" i="16" s="1"/>
  <c r="T95" i="16" s="1"/>
  <c r="B96" i="16"/>
  <c r="C96" i="16"/>
  <c r="D96" i="16"/>
  <c r="E96" i="16" s="1"/>
  <c r="F96" i="16" s="1"/>
  <c r="G96" i="16" s="1"/>
  <c r="H96" i="16" s="1"/>
  <c r="I96" i="16" s="1"/>
  <c r="J96" i="16" s="1"/>
  <c r="K96" i="16" s="1"/>
  <c r="L96" i="16" s="1"/>
  <c r="M96" i="16" s="1"/>
  <c r="N96" i="16" s="1"/>
  <c r="O96" i="16" s="1"/>
  <c r="P96" i="16" s="1"/>
  <c r="Q96" i="16" s="1"/>
  <c r="R96" i="16" s="1"/>
  <c r="S96" i="16" s="1"/>
  <c r="T96" i="16" s="1"/>
  <c r="B97" i="16"/>
  <c r="C97" i="16"/>
  <c r="D97" i="16"/>
  <c r="E97" i="16" s="1"/>
  <c r="F97" i="16" s="1"/>
  <c r="G97" i="16" s="1"/>
  <c r="H97" i="16" s="1"/>
  <c r="I97" i="16" s="1"/>
  <c r="J97" i="16" s="1"/>
  <c r="K97" i="16" s="1"/>
  <c r="L97" i="16" s="1"/>
  <c r="M97" i="16" s="1"/>
  <c r="N97" i="16" s="1"/>
  <c r="O97" i="16" s="1"/>
  <c r="P97" i="16" s="1"/>
  <c r="Q97" i="16" s="1"/>
  <c r="R97" i="16" s="1"/>
  <c r="S97" i="16" s="1"/>
  <c r="T97" i="16" s="1"/>
  <c r="B98" i="16"/>
  <c r="C98" i="16" s="1"/>
  <c r="D98" i="16" s="1"/>
  <c r="E98" i="16" s="1"/>
  <c r="F98" i="16" s="1"/>
  <c r="G98" i="16" s="1"/>
  <c r="H98" i="16" s="1"/>
  <c r="I98" i="16" s="1"/>
  <c r="J98" i="16" s="1"/>
  <c r="K98" i="16" s="1"/>
  <c r="L98" i="16" s="1"/>
  <c r="M98" i="16" s="1"/>
  <c r="N98" i="16" s="1"/>
  <c r="O98" i="16" s="1"/>
  <c r="P98" i="16" s="1"/>
  <c r="Q98" i="16" s="1"/>
  <c r="R98" i="16" s="1"/>
  <c r="S98" i="16" s="1"/>
  <c r="T98" i="16" s="1"/>
  <c r="D80" i="16"/>
  <c r="E80" i="16" s="1"/>
  <c r="F80" i="16" s="1"/>
  <c r="G80" i="16" s="1"/>
  <c r="H80" i="16" s="1"/>
  <c r="I80" i="16" s="1"/>
  <c r="J80" i="16" s="1"/>
  <c r="K80" i="16" s="1"/>
  <c r="L80" i="16" s="1"/>
  <c r="M80" i="16" s="1"/>
  <c r="N80" i="16" s="1"/>
  <c r="O80" i="16" s="1"/>
  <c r="P80" i="16" s="1"/>
  <c r="Q80" i="16" s="1"/>
  <c r="R80" i="16" s="1"/>
  <c r="S80" i="16" s="1"/>
  <c r="T80" i="16" s="1"/>
  <c r="C80" i="16"/>
  <c r="C55" i="16"/>
  <c r="B80" i="16"/>
  <c r="B56" i="16"/>
  <c r="C56" i="16" s="1"/>
  <c r="D56" i="16" s="1"/>
  <c r="E56" i="16" s="1"/>
  <c r="F56" i="16" s="1"/>
  <c r="G56" i="16" s="1"/>
  <c r="H56" i="16" s="1"/>
  <c r="I56" i="16" s="1"/>
  <c r="J56" i="16" s="1"/>
  <c r="K56" i="16" s="1"/>
  <c r="L56" i="16" s="1"/>
  <c r="M56" i="16" s="1"/>
  <c r="N56" i="16" s="1"/>
  <c r="O56" i="16" s="1"/>
  <c r="P56" i="16" s="1"/>
  <c r="Q56" i="16" s="1"/>
  <c r="R56" i="16" s="1"/>
  <c r="S56" i="16" s="1"/>
  <c r="T56" i="16" s="1"/>
  <c r="B57" i="16"/>
  <c r="C57" i="16"/>
  <c r="D57" i="16" s="1"/>
  <c r="E57" i="16" s="1"/>
  <c r="F57" i="16" s="1"/>
  <c r="G57" i="16" s="1"/>
  <c r="H57" i="16" s="1"/>
  <c r="I57" i="16" s="1"/>
  <c r="J57" i="16" s="1"/>
  <c r="K57" i="16" s="1"/>
  <c r="L57" i="16" s="1"/>
  <c r="M57" i="16" s="1"/>
  <c r="N57" i="16" s="1"/>
  <c r="O57" i="16" s="1"/>
  <c r="P57" i="16" s="1"/>
  <c r="Q57" i="16" s="1"/>
  <c r="R57" i="16" s="1"/>
  <c r="S57" i="16" s="1"/>
  <c r="T57" i="16" s="1"/>
  <c r="B58" i="16"/>
  <c r="C58" i="16" s="1"/>
  <c r="D58" i="16" s="1"/>
  <c r="E58" i="16" s="1"/>
  <c r="F58" i="16" s="1"/>
  <c r="G58" i="16" s="1"/>
  <c r="H58" i="16" s="1"/>
  <c r="I58" i="16" s="1"/>
  <c r="J58" i="16" s="1"/>
  <c r="K58" i="16" s="1"/>
  <c r="L58" i="16" s="1"/>
  <c r="M58" i="16" s="1"/>
  <c r="N58" i="16" s="1"/>
  <c r="O58" i="16" s="1"/>
  <c r="P58" i="16" s="1"/>
  <c r="Q58" i="16" s="1"/>
  <c r="R58" i="16" s="1"/>
  <c r="S58" i="16" s="1"/>
  <c r="T58" i="16" s="1"/>
  <c r="B59" i="16"/>
  <c r="C59" i="16" s="1"/>
  <c r="D59" i="16" s="1"/>
  <c r="E59" i="16" s="1"/>
  <c r="F59" i="16" s="1"/>
  <c r="G59" i="16" s="1"/>
  <c r="H59" i="16" s="1"/>
  <c r="I59" i="16" s="1"/>
  <c r="J59" i="16" s="1"/>
  <c r="K59" i="16" s="1"/>
  <c r="L59" i="16" s="1"/>
  <c r="M59" i="16" s="1"/>
  <c r="N59" i="16" s="1"/>
  <c r="O59" i="16" s="1"/>
  <c r="P59" i="16" s="1"/>
  <c r="Q59" i="16" s="1"/>
  <c r="R59" i="16" s="1"/>
  <c r="S59" i="16" s="1"/>
  <c r="T59" i="16" s="1"/>
  <c r="B60" i="16"/>
  <c r="C60" i="16" s="1"/>
  <c r="D60" i="16" s="1"/>
  <c r="E60" i="16" s="1"/>
  <c r="F60" i="16" s="1"/>
  <c r="G60" i="16" s="1"/>
  <c r="H60" i="16" s="1"/>
  <c r="I60" i="16" s="1"/>
  <c r="J60" i="16" s="1"/>
  <c r="K60" i="16" s="1"/>
  <c r="L60" i="16" s="1"/>
  <c r="M60" i="16" s="1"/>
  <c r="N60" i="16" s="1"/>
  <c r="O60" i="16" s="1"/>
  <c r="P60" i="16" s="1"/>
  <c r="Q60" i="16" s="1"/>
  <c r="R60" i="16" s="1"/>
  <c r="S60" i="16" s="1"/>
  <c r="T60" i="16" s="1"/>
  <c r="B61" i="16"/>
  <c r="C61" i="16"/>
  <c r="D61" i="16" s="1"/>
  <c r="E61" i="16" s="1"/>
  <c r="F61" i="16" s="1"/>
  <c r="G61" i="16" s="1"/>
  <c r="H61" i="16" s="1"/>
  <c r="I61" i="16" s="1"/>
  <c r="J61" i="16" s="1"/>
  <c r="K61" i="16" s="1"/>
  <c r="L61" i="16" s="1"/>
  <c r="M61" i="16" s="1"/>
  <c r="N61" i="16" s="1"/>
  <c r="O61" i="16" s="1"/>
  <c r="P61" i="16" s="1"/>
  <c r="Q61" i="16" s="1"/>
  <c r="R61" i="16" s="1"/>
  <c r="S61" i="16" s="1"/>
  <c r="T61" i="16" s="1"/>
  <c r="B62" i="16"/>
  <c r="C62" i="16"/>
  <c r="D62" i="16"/>
  <c r="E62" i="16" s="1"/>
  <c r="F62" i="16" s="1"/>
  <c r="G62" i="16" s="1"/>
  <c r="H62" i="16" s="1"/>
  <c r="I62" i="16" s="1"/>
  <c r="J62" i="16" s="1"/>
  <c r="K62" i="16" s="1"/>
  <c r="L62" i="16" s="1"/>
  <c r="M62" i="16" s="1"/>
  <c r="N62" i="16" s="1"/>
  <c r="O62" i="16" s="1"/>
  <c r="P62" i="16" s="1"/>
  <c r="Q62" i="16" s="1"/>
  <c r="R62" i="16" s="1"/>
  <c r="S62" i="16" s="1"/>
  <c r="T62" i="16" s="1"/>
  <c r="B63" i="16"/>
  <c r="C63" i="16" s="1"/>
  <c r="D63" i="16" s="1"/>
  <c r="E63" i="16" s="1"/>
  <c r="F63" i="16" s="1"/>
  <c r="G63" i="16" s="1"/>
  <c r="H63" i="16" s="1"/>
  <c r="I63" i="16" s="1"/>
  <c r="J63" i="16" s="1"/>
  <c r="K63" i="16" s="1"/>
  <c r="L63" i="16" s="1"/>
  <c r="M63" i="16" s="1"/>
  <c r="N63" i="16" s="1"/>
  <c r="O63" i="16" s="1"/>
  <c r="P63" i="16" s="1"/>
  <c r="Q63" i="16" s="1"/>
  <c r="R63" i="16" s="1"/>
  <c r="S63" i="16" s="1"/>
  <c r="T63" i="16" s="1"/>
  <c r="B64" i="16"/>
  <c r="C64" i="16" s="1"/>
  <c r="D64" i="16" s="1"/>
  <c r="E64" i="16" s="1"/>
  <c r="F64" i="16" s="1"/>
  <c r="G64" i="16" s="1"/>
  <c r="H64" i="16" s="1"/>
  <c r="I64" i="16" s="1"/>
  <c r="J64" i="16" s="1"/>
  <c r="K64" i="16" s="1"/>
  <c r="L64" i="16" s="1"/>
  <c r="M64" i="16" s="1"/>
  <c r="N64" i="16" s="1"/>
  <c r="O64" i="16" s="1"/>
  <c r="P64" i="16" s="1"/>
  <c r="Q64" i="16" s="1"/>
  <c r="R64" i="16" s="1"/>
  <c r="S64" i="16" s="1"/>
  <c r="T64" i="16" s="1"/>
  <c r="B65" i="16"/>
  <c r="C65" i="16"/>
  <c r="D65" i="16" s="1"/>
  <c r="E65" i="16" s="1"/>
  <c r="F65" i="16" s="1"/>
  <c r="G65" i="16" s="1"/>
  <c r="H65" i="16" s="1"/>
  <c r="I65" i="16" s="1"/>
  <c r="J65" i="16" s="1"/>
  <c r="K65" i="16" s="1"/>
  <c r="L65" i="16" s="1"/>
  <c r="M65" i="16" s="1"/>
  <c r="N65" i="16" s="1"/>
  <c r="O65" i="16" s="1"/>
  <c r="P65" i="16" s="1"/>
  <c r="Q65" i="16" s="1"/>
  <c r="R65" i="16" s="1"/>
  <c r="S65" i="16" s="1"/>
  <c r="T65" i="16" s="1"/>
  <c r="B66" i="16"/>
  <c r="C66" i="16"/>
  <c r="D66" i="16"/>
  <c r="E66" i="16" s="1"/>
  <c r="F66" i="16" s="1"/>
  <c r="G66" i="16" s="1"/>
  <c r="H66" i="16" s="1"/>
  <c r="I66" i="16" s="1"/>
  <c r="J66" i="16" s="1"/>
  <c r="K66" i="16" s="1"/>
  <c r="L66" i="16" s="1"/>
  <c r="M66" i="16" s="1"/>
  <c r="N66" i="16" s="1"/>
  <c r="O66" i="16" s="1"/>
  <c r="P66" i="16" s="1"/>
  <c r="Q66" i="16" s="1"/>
  <c r="R66" i="16" s="1"/>
  <c r="S66" i="16" s="1"/>
  <c r="T66" i="16" s="1"/>
  <c r="B67" i="16"/>
  <c r="C67" i="16" s="1"/>
  <c r="D67" i="16" s="1"/>
  <c r="E67" i="16" s="1"/>
  <c r="F67" i="16" s="1"/>
  <c r="G67" i="16" s="1"/>
  <c r="H67" i="16" s="1"/>
  <c r="I67" i="16" s="1"/>
  <c r="J67" i="16" s="1"/>
  <c r="K67" i="16" s="1"/>
  <c r="L67" i="16" s="1"/>
  <c r="M67" i="16" s="1"/>
  <c r="N67" i="16" s="1"/>
  <c r="O67" i="16" s="1"/>
  <c r="P67" i="16" s="1"/>
  <c r="Q67" i="16" s="1"/>
  <c r="R67" i="16" s="1"/>
  <c r="S67" i="16" s="1"/>
  <c r="T67" i="16" s="1"/>
  <c r="B68" i="16"/>
  <c r="C68" i="16" s="1"/>
  <c r="D68" i="16" s="1"/>
  <c r="E68" i="16" s="1"/>
  <c r="F68" i="16" s="1"/>
  <c r="G68" i="16" s="1"/>
  <c r="H68" i="16" s="1"/>
  <c r="I68" i="16" s="1"/>
  <c r="J68" i="16" s="1"/>
  <c r="K68" i="16" s="1"/>
  <c r="L68" i="16" s="1"/>
  <c r="M68" i="16" s="1"/>
  <c r="N68" i="16" s="1"/>
  <c r="O68" i="16" s="1"/>
  <c r="P68" i="16" s="1"/>
  <c r="Q68" i="16" s="1"/>
  <c r="R68" i="16" s="1"/>
  <c r="S68" i="16" s="1"/>
  <c r="T68" i="16" s="1"/>
  <c r="B69" i="16"/>
  <c r="C69" i="16"/>
  <c r="D69" i="16" s="1"/>
  <c r="E69" i="16" s="1"/>
  <c r="F69" i="16" s="1"/>
  <c r="G69" i="16" s="1"/>
  <c r="H69" i="16" s="1"/>
  <c r="I69" i="16" s="1"/>
  <c r="J69" i="16" s="1"/>
  <c r="K69" i="16" s="1"/>
  <c r="L69" i="16" s="1"/>
  <c r="M69" i="16" s="1"/>
  <c r="N69" i="16" s="1"/>
  <c r="O69" i="16" s="1"/>
  <c r="P69" i="16" s="1"/>
  <c r="Q69" i="16" s="1"/>
  <c r="R69" i="16" s="1"/>
  <c r="S69" i="16" s="1"/>
  <c r="T69" i="16" s="1"/>
  <c r="B70" i="16"/>
  <c r="C70" i="16" s="1"/>
  <c r="D70" i="16" s="1"/>
  <c r="E70" i="16" s="1"/>
  <c r="F70" i="16" s="1"/>
  <c r="G70" i="16" s="1"/>
  <c r="H70" i="16" s="1"/>
  <c r="I70" i="16" s="1"/>
  <c r="J70" i="16" s="1"/>
  <c r="K70" i="16" s="1"/>
  <c r="L70" i="16" s="1"/>
  <c r="M70" i="16" s="1"/>
  <c r="N70" i="16" s="1"/>
  <c r="O70" i="16" s="1"/>
  <c r="P70" i="16" s="1"/>
  <c r="Q70" i="16" s="1"/>
  <c r="R70" i="16" s="1"/>
  <c r="S70" i="16" s="1"/>
  <c r="T70" i="16" s="1"/>
  <c r="B71" i="16"/>
  <c r="C71" i="16" s="1"/>
  <c r="D71" i="16" s="1"/>
  <c r="E71" i="16" s="1"/>
  <c r="F71" i="16" s="1"/>
  <c r="G71" i="16" s="1"/>
  <c r="H71" i="16" s="1"/>
  <c r="I71" i="16" s="1"/>
  <c r="J71" i="16" s="1"/>
  <c r="K71" i="16" s="1"/>
  <c r="L71" i="16" s="1"/>
  <c r="M71" i="16" s="1"/>
  <c r="N71" i="16" s="1"/>
  <c r="O71" i="16" s="1"/>
  <c r="P71" i="16" s="1"/>
  <c r="Q71" i="16" s="1"/>
  <c r="R71" i="16" s="1"/>
  <c r="S71" i="16" s="1"/>
  <c r="T71" i="16" s="1"/>
  <c r="B72" i="16"/>
  <c r="C72" i="16" s="1"/>
  <c r="D72" i="16" s="1"/>
  <c r="E72" i="16" s="1"/>
  <c r="F72" i="16" s="1"/>
  <c r="G72" i="16" s="1"/>
  <c r="H72" i="16" s="1"/>
  <c r="I72" i="16" s="1"/>
  <c r="J72" i="16" s="1"/>
  <c r="K72" i="16" s="1"/>
  <c r="L72" i="16" s="1"/>
  <c r="M72" i="16" s="1"/>
  <c r="N72" i="16" s="1"/>
  <c r="O72" i="16" s="1"/>
  <c r="P72" i="16" s="1"/>
  <c r="Q72" i="16" s="1"/>
  <c r="R72" i="16" s="1"/>
  <c r="S72" i="16" s="1"/>
  <c r="T72" i="16" s="1"/>
  <c r="B73" i="16"/>
  <c r="B55" i="16"/>
  <c r="B6" i="16"/>
  <c r="P48" i="9"/>
  <c r="P49" i="9"/>
  <c r="P50" i="9"/>
  <c r="P51" i="9"/>
  <c r="P52" i="9"/>
  <c r="P53" i="9"/>
  <c r="P54" i="9"/>
  <c r="P55" i="9"/>
  <c r="P56" i="9"/>
  <c r="P57" i="9"/>
  <c r="P58" i="9"/>
  <c r="P59" i="9"/>
  <c r="P60" i="9"/>
  <c r="P61" i="9"/>
  <c r="P62" i="9"/>
  <c r="P63" i="9"/>
  <c r="P64" i="9"/>
  <c r="P65" i="9"/>
  <c r="P66" i="9"/>
  <c r="P47" i="9"/>
  <c r="N67" i="9"/>
  <c r="J38" i="2"/>
  <c r="A43" i="2"/>
  <c r="I34" i="2"/>
  <c r="D43" i="2"/>
  <c r="A44" i="2"/>
  <c r="A42" i="2"/>
  <c r="A41" i="2"/>
  <c r="B43" i="2"/>
  <c r="I30" i="2"/>
  <c r="J30" i="2" s="1"/>
  <c r="K30" i="2" s="1"/>
  <c r="B41" i="2"/>
  <c r="E30" i="2"/>
  <c r="H9" i="6"/>
  <c r="C5" i="2"/>
  <c r="E5" i="2"/>
  <c r="D5" i="2"/>
  <c r="B24" i="1"/>
  <c r="B21" i="1"/>
  <c r="Q6" i="4"/>
  <c r="Q7" i="4" s="1"/>
  <c r="P6" i="4"/>
  <c r="O6" i="4"/>
  <c r="O7" i="4" s="1"/>
  <c r="N6" i="4"/>
  <c r="M6" i="4"/>
  <c r="L6" i="4"/>
  <c r="K6" i="4"/>
  <c r="J6" i="4"/>
  <c r="J7" i="4" s="1"/>
  <c r="I6" i="4"/>
  <c r="H6" i="4"/>
  <c r="H7" i="4" s="1"/>
  <c r="Q9" i="6"/>
  <c r="P9" i="6"/>
  <c r="O9" i="6"/>
  <c r="N9" i="6"/>
  <c r="M9" i="6"/>
  <c r="L9" i="6"/>
  <c r="I9" i="6"/>
  <c r="K9" i="6"/>
  <c r="J9" i="6"/>
  <c r="F37" i="2"/>
  <c r="L5" i="2"/>
  <c r="C7" i="2"/>
  <c r="K38" i="2"/>
  <c r="J34" i="2"/>
  <c r="K34" i="2" s="1"/>
  <c r="I18" i="18"/>
  <c r="C5" i="19"/>
  <c r="B5" i="19"/>
  <c r="G12"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9" i="18"/>
  <c r="G11" i="18"/>
  <c r="G10" i="18"/>
  <c r="G9" i="18"/>
  <c r="B55" i="18"/>
  <c r="C55" i="18"/>
  <c r="D55" i="18"/>
  <c r="B56" i="18"/>
  <c r="C56" i="18"/>
  <c r="D56" i="18"/>
  <c r="B57" i="18"/>
  <c r="C57" i="18"/>
  <c r="D57" i="18"/>
  <c r="B58" i="18"/>
  <c r="C58" i="18"/>
  <c r="D58" i="18"/>
  <c r="B59" i="18"/>
  <c r="C59" i="18"/>
  <c r="D59" i="18"/>
  <c r="B60" i="18"/>
  <c r="C60" i="18"/>
  <c r="D60" i="18"/>
  <c r="B61" i="18"/>
  <c r="C61" i="18"/>
  <c r="D61" i="18"/>
  <c r="B62" i="18"/>
  <c r="C62" i="18"/>
  <c r="D62" i="18"/>
  <c r="B38" i="18"/>
  <c r="C38" i="18"/>
  <c r="D38" i="18"/>
  <c r="B39" i="18"/>
  <c r="C39" i="18"/>
  <c r="D39" i="18"/>
  <c r="B40" i="18"/>
  <c r="C40" i="18"/>
  <c r="D40" i="18"/>
  <c r="B41" i="18"/>
  <c r="C41" i="18"/>
  <c r="D41" i="18"/>
  <c r="B42" i="18"/>
  <c r="C42" i="18"/>
  <c r="D42" i="18"/>
  <c r="B43" i="18"/>
  <c r="C43" i="18"/>
  <c r="D43" i="18"/>
  <c r="B44" i="18"/>
  <c r="C44" i="18"/>
  <c r="D44" i="18"/>
  <c r="B45" i="18"/>
  <c r="C45" i="18"/>
  <c r="D45" i="18"/>
  <c r="B46" i="18"/>
  <c r="C46" i="18"/>
  <c r="D46" i="18"/>
  <c r="B47" i="18"/>
  <c r="C47" i="18"/>
  <c r="D47" i="18"/>
  <c r="B48" i="18"/>
  <c r="C48" i="18"/>
  <c r="D48" i="18"/>
  <c r="B49" i="18"/>
  <c r="C49" i="18"/>
  <c r="D49" i="18"/>
  <c r="B50" i="18"/>
  <c r="C50" i="18"/>
  <c r="D50" i="18"/>
  <c r="B51" i="18"/>
  <c r="C51" i="18"/>
  <c r="D51" i="18"/>
  <c r="B52" i="18"/>
  <c r="C52" i="18"/>
  <c r="D52" i="18"/>
  <c r="B53" i="18"/>
  <c r="C53" i="18"/>
  <c r="D53" i="18"/>
  <c r="B54" i="18"/>
  <c r="C54" i="18"/>
  <c r="D54" i="18"/>
  <c r="D10" i="18"/>
  <c r="D11" i="18"/>
  <c r="D12" i="18"/>
  <c r="D13" i="18"/>
  <c r="D14" i="18"/>
  <c r="D15" i="18"/>
  <c r="D16" i="18"/>
  <c r="D17" i="18"/>
  <c r="D18" i="18"/>
  <c r="D19" i="18"/>
  <c r="D20" i="18"/>
  <c r="D21" i="18"/>
  <c r="D22" i="18"/>
  <c r="D23" i="18"/>
  <c r="D24" i="18"/>
  <c r="D25" i="18"/>
  <c r="D26" i="18"/>
  <c r="D27" i="18"/>
  <c r="D28" i="18"/>
  <c r="D29" i="18"/>
  <c r="D30" i="18"/>
  <c r="D31" i="18"/>
  <c r="D32" i="18"/>
  <c r="D33" i="18"/>
  <c r="D34" i="18"/>
  <c r="D35" i="18"/>
  <c r="D36" i="18"/>
  <c r="D37"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B10" i="18"/>
  <c r="B11" i="18"/>
  <c r="B12" i="18"/>
  <c r="B13" i="18"/>
  <c r="B14" i="18"/>
  <c r="B15" i="18"/>
  <c r="B16" i="18"/>
  <c r="B17" i="18"/>
  <c r="B18" i="18"/>
  <c r="B19" i="18"/>
  <c r="B20" i="18"/>
  <c r="B21" i="18"/>
  <c r="B22" i="18"/>
  <c r="B23" i="18"/>
  <c r="B24" i="18"/>
  <c r="B25" i="18"/>
  <c r="B26" i="18"/>
  <c r="B27" i="18"/>
  <c r="B28" i="18"/>
  <c r="B29" i="18"/>
  <c r="B30" i="18"/>
  <c r="B31" i="18"/>
  <c r="B32" i="18"/>
  <c r="B33" i="18"/>
  <c r="B34" i="18"/>
  <c r="B35" i="18"/>
  <c r="B36" i="18"/>
  <c r="B37" i="18"/>
  <c r="D9" i="18"/>
  <c r="C9" i="18"/>
  <c r="B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9" i="18"/>
  <c r="B30" i="9"/>
  <c r="C30" i="9" s="1"/>
  <c r="I40" i="2"/>
  <c r="H40" i="2"/>
  <c r="G41" i="2"/>
  <c r="G40" i="2"/>
  <c r="P7" i="4"/>
  <c r="N7" i="4"/>
  <c r="M7" i="4"/>
  <c r="K7" i="4"/>
  <c r="L7" i="4"/>
  <c r="I7" i="4"/>
  <c r="E7" i="4"/>
  <c r="F7" i="4"/>
  <c r="G7" i="4"/>
  <c r="D7" i="4"/>
  <c r="C7" i="4"/>
  <c r="B7" i="4"/>
  <c r="G47" i="9"/>
  <c r="G52" i="9"/>
  <c r="G53" i="9"/>
  <c r="G59" i="9"/>
  <c r="G63" i="9"/>
  <c r="G64" i="9"/>
  <c r="G65" i="9"/>
  <c r="G66" i="9"/>
  <c r="G67" i="9"/>
  <c r="G72" i="9"/>
  <c r="G73" i="9"/>
  <c r="G79" i="9"/>
  <c r="G83" i="9"/>
  <c r="G84" i="9"/>
  <c r="G85" i="9"/>
  <c r="G86" i="9"/>
  <c r="G87" i="9"/>
  <c r="G92" i="9"/>
  <c r="G93" i="9"/>
  <c r="G99" i="9"/>
  <c r="G103" i="9"/>
  <c r="G104" i="9"/>
  <c r="G105" i="9"/>
  <c r="G106" i="9"/>
  <c r="G107" i="9"/>
  <c r="G112" i="9"/>
  <c r="G113" i="9"/>
  <c r="G39" i="9"/>
  <c r="G43" i="9"/>
  <c r="G44" i="9"/>
  <c r="G45" i="9"/>
  <c r="G46" i="9"/>
  <c r="G30" i="2"/>
  <c r="K8" i="6"/>
  <c r="J8" i="6"/>
  <c r="E6" i="2"/>
  <c r="H8" i="6"/>
  <c r="C6" i="2"/>
  <c r="G32" i="2"/>
  <c r="G31" i="2"/>
  <c r="F32" i="2"/>
  <c r="F31" i="2"/>
  <c r="E32" i="2"/>
  <c r="E31" i="2"/>
  <c r="F30" i="2"/>
  <c r="L6" i="2"/>
  <c r="L4" i="2"/>
  <c r="M4" i="2"/>
  <c r="E4" i="2"/>
  <c r="H36" i="2"/>
  <c r="G36" i="2"/>
  <c r="H2" i="6"/>
  <c r="B23" i="1"/>
  <c r="B22" i="1"/>
  <c r="D5" i="19"/>
  <c r="C7" i="19"/>
  <c r="D7" i="19" s="1"/>
  <c r="C8" i="19"/>
  <c r="D8" i="19" s="1"/>
  <c r="C9" i="19"/>
  <c r="D9" i="19" s="1"/>
  <c r="C10" i="19"/>
  <c r="D10" i="19" s="1"/>
  <c r="C11" i="19"/>
  <c r="D11" i="19" s="1"/>
  <c r="C6" i="19"/>
  <c r="D6" i="19" s="1"/>
  <c r="C4" i="19"/>
  <c r="D4" i="19" s="1"/>
  <c r="U22" i="9"/>
  <c r="U23" i="9"/>
  <c r="U24" i="9"/>
  <c r="U25" i="9"/>
  <c r="U26" i="9"/>
  <c r="U27" i="9"/>
  <c r="U28" i="9"/>
  <c r="U29" i="9"/>
  <c r="U30" i="9"/>
  <c r="U31" i="9"/>
  <c r="U32" i="9"/>
  <c r="U33" i="9"/>
  <c r="U34" i="9"/>
  <c r="U35" i="9"/>
  <c r="L3" i="2"/>
  <c r="L2" i="2"/>
  <c r="C32" i="8"/>
  <c r="B38" i="9"/>
  <c r="E38" i="9" s="1"/>
  <c r="G38" i="9" s="1"/>
  <c r="B39" i="9"/>
  <c r="E39" i="9" s="1"/>
  <c r="B40" i="9"/>
  <c r="E40" i="9" s="1"/>
  <c r="G40" i="9" s="1"/>
  <c r="B41" i="9"/>
  <c r="E41" i="9" s="1"/>
  <c r="G41" i="9" s="1"/>
  <c r="B42" i="9"/>
  <c r="E42" i="9" s="1"/>
  <c r="G42" i="9" s="1"/>
  <c r="B43" i="9"/>
  <c r="E43" i="9" s="1"/>
  <c r="B44" i="9"/>
  <c r="E44" i="9" s="1"/>
  <c r="B45" i="9"/>
  <c r="E45" i="9" s="1"/>
  <c r="B46" i="9"/>
  <c r="E46" i="9" s="1"/>
  <c r="B47" i="9"/>
  <c r="E47" i="9" s="1"/>
  <c r="B48" i="9"/>
  <c r="E48" i="9" s="1"/>
  <c r="G48" i="9" s="1"/>
  <c r="B49" i="9"/>
  <c r="E49" i="9" s="1"/>
  <c r="G49" i="9" s="1"/>
  <c r="B50" i="9"/>
  <c r="E50" i="9" s="1"/>
  <c r="G50" i="9" s="1"/>
  <c r="B51" i="9"/>
  <c r="E51" i="9" s="1"/>
  <c r="G51" i="9" s="1"/>
  <c r="B52" i="9"/>
  <c r="E52" i="9" s="1"/>
  <c r="B53" i="9"/>
  <c r="E53" i="9" s="1"/>
  <c r="B54" i="9"/>
  <c r="E54" i="9" s="1"/>
  <c r="G54" i="9" s="1"/>
  <c r="B55" i="9"/>
  <c r="E55" i="9" s="1"/>
  <c r="G55" i="9" s="1"/>
  <c r="B56" i="9"/>
  <c r="E56" i="9" s="1"/>
  <c r="G56" i="9" s="1"/>
  <c r="B57" i="9"/>
  <c r="E57" i="9" s="1"/>
  <c r="G57" i="9" s="1"/>
  <c r="B58" i="9"/>
  <c r="E58" i="9" s="1"/>
  <c r="G58" i="9" s="1"/>
  <c r="B59" i="9"/>
  <c r="E59" i="9" s="1"/>
  <c r="B60" i="9"/>
  <c r="E60" i="9" s="1"/>
  <c r="G60" i="9" s="1"/>
  <c r="B61" i="9"/>
  <c r="E61" i="9" s="1"/>
  <c r="G61" i="9" s="1"/>
  <c r="B62" i="9"/>
  <c r="E62" i="9" s="1"/>
  <c r="G62" i="9" s="1"/>
  <c r="B63" i="9"/>
  <c r="E63" i="9" s="1"/>
  <c r="B64" i="9"/>
  <c r="E64" i="9" s="1"/>
  <c r="B65" i="9"/>
  <c r="E65" i="9" s="1"/>
  <c r="B66" i="9"/>
  <c r="E66" i="9" s="1"/>
  <c r="B67" i="9"/>
  <c r="E67" i="9" s="1"/>
  <c r="B68" i="9"/>
  <c r="E68" i="9" s="1"/>
  <c r="G68" i="9" s="1"/>
  <c r="B69" i="9"/>
  <c r="E69" i="9" s="1"/>
  <c r="G69" i="9" s="1"/>
  <c r="B70" i="9"/>
  <c r="E70" i="9" s="1"/>
  <c r="G70" i="9" s="1"/>
  <c r="B71" i="9"/>
  <c r="E71" i="9" s="1"/>
  <c r="G71" i="9" s="1"/>
  <c r="B72" i="9"/>
  <c r="E72" i="9" s="1"/>
  <c r="B73" i="9"/>
  <c r="E73" i="9" s="1"/>
  <c r="B74" i="9"/>
  <c r="E74" i="9" s="1"/>
  <c r="G74" i="9" s="1"/>
  <c r="B75" i="9"/>
  <c r="E75" i="9" s="1"/>
  <c r="G75" i="9" s="1"/>
  <c r="B76" i="9"/>
  <c r="E76" i="9" s="1"/>
  <c r="G76" i="9" s="1"/>
  <c r="B77" i="9"/>
  <c r="E77" i="9" s="1"/>
  <c r="G77" i="9" s="1"/>
  <c r="B78" i="9"/>
  <c r="E78" i="9" s="1"/>
  <c r="G78" i="9" s="1"/>
  <c r="B79" i="9"/>
  <c r="E79" i="9" s="1"/>
  <c r="B80" i="9"/>
  <c r="E80" i="9" s="1"/>
  <c r="G80" i="9" s="1"/>
  <c r="B81" i="9"/>
  <c r="E81" i="9" s="1"/>
  <c r="G81" i="9" s="1"/>
  <c r="B82" i="9"/>
  <c r="E82" i="9" s="1"/>
  <c r="G82" i="9" s="1"/>
  <c r="B83" i="9"/>
  <c r="E83" i="9" s="1"/>
  <c r="B84" i="9"/>
  <c r="E84" i="9" s="1"/>
  <c r="B85" i="9"/>
  <c r="E85" i="9" s="1"/>
  <c r="B86" i="9"/>
  <c r="E86" i="9" s="1"/>
  <c r="B87" i="9"/>
  <c r="E87" i="9" s="1"/>
  <c r="B88" i="9"/>
  <c r="E88" i="9" s="1"/>
  <c r="G88" i="9" s="1"/>
  <c r="B89" i="9"/>
  <c r="E89" i="9" s="1"/>
  <c r="G89" i="9" s="1"/>
  <c r="B90" i="9"/>
  <c r="E90" i="9" s="1"/>
  <c r="G90" i="9" s="1"/>
  <c r="B91" i="9"/>
  <c r="E91" i="9" s="1"/>
  <c r="G91" i="9" s="1"/>
  <c r="B92" i="9"/>
  <c r="E92" i="9" s="1"/>
  <c r="B93" i="9"/>
  <c r="E93" i="9" s="1"/>
  <c r="B94" i="9"/>
  <c r="E94" i="9" s="1"/>
  <c r="G94" i="9" s="1"/>
  <c r="B95" i="9"/>
  <c r="E95" i="9" s="1"/>
  <c r="G95" i="9" s="1"/>
  <c r="B96" i="9"/>
  <c r="E96" i="9" s="1"/>
  <c r="G96" i="9" s="1"/>
  <c r="B97" i="9"/>
  <c r="E97" i="9" s="1"/>
  <c r="G97" i="9" s="1"/>
  <c r="B98" i="9"/>
  <c r="E98" i="9" s="1"/>
  <c r="G98" i="9" s="1"/>
  <c r="B99" i="9"/>
  <c r="E99" i="9" s="1"/>
  <c r="B100" i="9"/>
  <c r="E100" i="9" s="1"/>
  <c r="G100" i="9" s="1"/>
  <c r="B101" i="9"/>
  <c r="E101" i="9" s="1"/>
  <c r="G101" i="9" s="1"/>
  <c r="B102" i="9"/>
  <c r="E102" i="9" s="1"/>
  <c r="G102" i="9" s="1"/>
  <c r="B103" i="9"/>
  <c r="E103" i="9" s="1"/>
  <c r="B104" i="9"/>
  <c r="E104" i="9" s="1"/>
  <c r="B105" i="9"/>
  <c r="E105" i="9" s="1"/>
  <c r="B106" i="9"/>
  <c r="E106" i="9" s="1"/>
  <c r="B107" i="9"/>
  <c r="E107" i="9" s="1"/>
  <c r="B108" i="9"/>
  <c r="E108" i="9" s="1"/>
  <c r="G108" i="9" s="1"/>
  <c r="B109" i="9"/>
  <c r="E109" i="9" s="1"/>
  <c r="G109" i="9" s="1"/>
  <c r="B110" i="9"/>
  <c r="E110" i="9" s="1"/>
  <c r="G110" i="9" s="1"/>
  <c r="B111" i="9"/>
  <c r="E111" i="9" s="1"/>
  <c r="G111" i="9" s="1"/>
  <c r="B112" i="9"/>
  <c r="E112" i="9" s="1"/>
  <c r="B113" i="9"/>
  <c r="E113" i="9" s="1"/>
  <c r="B114" i="9"/>
  <c r="E114" i="9" s="1"/>
  <c r="G114" i="9" s="1"/>
  <c r="B115" i="9"/>
  <c r="E115" i="9" s="1"/>
  <c r="G115" i="9" s="1"/>
  <c r="B116" i="9"/>
  <c r="E116" i="9" s="1"/>
  <c r="G116" i="9" s="1"/>
  <c r="B37" i="9"/>
  <c r="E37" i="9" s="1"/>
  <c r="G37" i="9" s="1"/>
  <c r="A6" i="16"/>
  <c r="B7" i="16"/>
  <c r="P67" i="9" l="1"/>
  <c r="D55" i="16"/>
  <c r="L38" i="2"/>
  <c r="L34" i="2"/>
  <c r="L30" i="2"/>
  <c r="A7" i="16"/>
  <c r="C18" i="8"/>
  <c r="D18" i="8" s="1"/>
  <c r="E18" i="8" s="1"/>
  <c r="B41" i="14"/>
  <c r="B42" i="14"/>
  <c r="B43" i="14"/>
  <c r="B44" i="14"/>
  <c r="B45" i="14"/>
  <c r="B46" i="14"/>
  <c r="B47" i="14"/>
  <c r="B48" i="14"/>
  <c r="B49" i="14"/>
  <c r="B50" i="14"/>
  <c r="B51" i="14"/>
  <c r="B52" i="14"/>
  <c r="B53" i="14"/>
  <c r="B54" i="14"/>
  <c r="B55" i="14"/>
  <c r="B56" i="14"/>
  <c r="B57" i="14"/>
  <c r="B58" i="14"/>
  <c r="B59" i="14"/>
  <c r="B60" i="14"/>
  <c r="B61" i="14"/>
  <c r="B62" i="14"/>
  <c r="B26" i="14"/>
  <c r="B27" i="14"/>
  <c r="B28" i="14"/>
  <c r="B29" i="14"/>
  <c r="B30" i="14"/>
  <c r="B31" i="14"/>
  <c r="B32" i="14"/>
  <c r="B33" i="14"/>
  <c r="B34" i="14"/>
  <c r="B35" i="14"/>
  <c r="B36" i="14"/>
  <c r="B37" i="14"/>
  <c r="B38" i="14"/>
  <c r="B39" i="14"/>
  <c r="B40" i="14"/>
  <c r="B7" i="14"/>
  <c r="B8" i="14"/>
  <c r="B9" i="14"/>
  <c r="B10" i="14"/>
  <c r="B11" i="14"/>
  <c r="B12" i="14"/>
  <c r="B13" i="14"/>
  <c r="B14" i="14"/>
  <c r="B15" i="14"/>
  <c r="B16" i="14"/>
  <c r="B17" i="14"/>
  <c r="B18" i="14"/>
  <c r="B19" i="14"/>
  <c r="B20" i="14"/>
  <c r="B21" i="14"/>
  <c r="B22" i="14"/>
  <c r="B23" i="14"/>
  <c r="B24" i="14"/>
  <c r="B25" i="14"/>
  <c r="B6" i="14"/>
  <c r="B12" i="3"/>
  <c r="B2" i="3"/>
  <c r="B3" i="3"/>
  <c r="B4" i="3"/>
  <c r="B5" i="3"/>
  <c r="B6" i="3"/>
  <c r="B7" i="3"/>
  <c r="B8" i="3"/>
  <c r="B9" i="3"/>
  <c r="B10" i="3"/>
  <c r="B11" i="3"/>
  <c r="B13" i="3"/>
  <c r="C2" i="3"/>
  <c r="C3" i="3"/>
  <c r="C4" i="3"/>
  <c r="C5" i="3"/>
  <c r="C6" i="3"/>
  <c r="C7" i="3"/>
  <c r="C8" i="3"/>
  <c r="C9" i="3"/>
  <c r="C10" i="3"/>
  <c r="C11" i="3"/>
  <c r="C12" i="3"/>
  <c r="D2" i="3"/>
  <c r="D3" i="3"/>
  <c r="D4" i="3"/>
  <c r="D5" i="3"/>
  <c r="D6" i="3"/>
  <c r="D7" i="3"/>
  <c r="D8" i="3"/>
  <c r="D9" i="3"/>
  <c r="D10" i="3"/>
  <c r="D11" i="3"/>
  <c r="E2" i="3"/>
  <c r="E3" i="3"/>
  <c r="E4" i="3"/>
  <c r="E5" i="3"/>
  <c r="E6" i="3"/>
  <c r="E7" i="3"/>
  <c r="E8" i="3"/>
  <c r="E9" i="3"/>
  <c r="E10" i="3"/>
  <c r="F2" i="3"/>
  <c r="G2" i="3"/>
  <c r="H2" i="3"/>
  <c r="I2" i="3"/>
  <c r="J2" i="3"/>
  <c r="K2" i="3"/>
  <c r="L2" i="3"/>
  <c r="M2" i="3"/>
  <c r="F3" i="3"/>
  <c r="G3" i="3"/>
  <c r="H3" i="3"/>
  <c r="I3" i="3"/>
  <c r="J3" i="3"/>
  <c r="K3" i="3"/>
  <c r="L3" i="3"/>
  <c r="F4" i="3"/>
  <c r="G4" i="3"/>
  <c r="H4" i="3"/>
  <c r="I4" i="3"/>
  <c r="J4" i="3"/>
  <c r="K4" i="3"/>
  <c r="F5" i="3"/>
  <c r="G5" i="3"/>
  <c r="H5" i="3"/>
  <c r="I5" i="3"/>
  <c r="J5" i="3"/>
  <c r="F6" i="3"/>
  <c r="G6" i="3"/>
  <c r="H6" i="3"/>
  <c r="I6" i="3"/>
  <c r="F7" i="3"/>
  <c r="G7" i="3"/>
  <c r="H7" i="3"/>
  <c r="F8" i="3"/>
  <c r="G8" i="3"/>
  <c r="H6" i="2"/>
  <c r="I2" i="2"/>
  <c r="I3" i="2"/>
  <c r="J3" i="2"/>
  <c r="I4" i="2"/>
  <c r="I5" i="2"/>
  <c r="I6" i="2"/>
  <c r="J6" i="2"/>
  <c r="I7" i="2"/>
  <c r="H3" i="2"/>
  <c r="H4" i="2"/>
  <c r="H5" i="2"/>
  <c r="H7" i="2"/>
  <c r="H2" i="2"/>
  <c r="E2" i="2"/>
  <c r="K2" i="2" s="1"/>
  <c r="E3" i="2"/>
  <c r="K3" i="2" s="1"/>
  <c r="K4" i="2"/>
  <c r="K5" i="2"/>
  <c r="K6" i="2"/>
  <c r="E7" i="2"/>
  <c r="K7" i="2" s="1"/>
  <c r="D3" i="2"/>
  <c r="J4" i="2"/>
  <c r="J5" i="2"/>
  <c r="J7" i="2"/>
  <c r="D2" i="2"/>
  <c r="J2" i="2" s="1"/>
  <c r="D9" i="2"/>
  <c r="H9" i="2" s="1"/>
  <c r="E9" i="2"/>
  <c r="C9" i="2"/>
  <c r="B9" i="2"/>
  <c r="U6" i="6"/>
  <c r="E55" i="16" l="1"/>
  <c r="F55" i="16" s="1"/>
  <c r="G55" i="16" s="1"/>
  <c r="H55" i="16" s="1"/>
  <c r="I55" i="16" s="1"/>
  <c r="J55" i="16" s="1"/>
  <c r="K55" i="16" s="1"/>
  <c r="L55" i="16" s="1"/>
  <c r="M55" i="16" s="1"/>
  <c r="N55" i="16" s="1"/>
  <c r="O55" i="16" s="1"/>
  <c r="P55" i="16" s="1"/>
  <c r="Q55" i="16" s="1"/>
  <c r="R55" i="16" s="1"/>
  <c r="S55" i="16" s="1"/>
  <c r="T55" i="16" s="1"/>
  <c r="I87" i="7"/>
  <c r="N55" i="6"/>
  <c r="I55" i="6"/>
  <c r="N54" i="6"/>
  <c r="I54" i="6"/>
  <c r="N53" i="6"/>
  <c r="I53" i="6"/>
  <c r="N52" i="6"/>
  <c r="I52" i="6"/>
  <c r="N51" i="6"/>
  <c r="I51" i="6"/>
  <c r="N50" i="6"/>
  <c r="I50" i="6"/>
  <c r="F31" i="6"/>
  <c r="F30" i="6"/>
  <c r="F29" i="6"/>
  <c r="F28" i="6"/>
  <c r="F27" i="6"/>
  <c r="I6" i="6" l="1"/>
  <c r="I18" i="6" s="1"/>
  <c r="D27" i="6"/>
  <c r="J27" i="6" s="1"/>
  <c r="D28" i="6"/>
  <c r="D29" i="6"/>
  <c r="J28" i="6" s="1"/>
  <c r="K6" i="6" s="1"/>
  <c r="K18" i="6" s="1"/>
  <c r="D30" i="6"/>
  <c r="D31" i="6"/>
  <c r="C19" i="8"/>
  <c r="C20" i="8"/>
  <c r="C21" i="8"/>
  <c r="B31" i="8"/>
  <c r="H27" i="11"/>
  <c r="C50" i="13"/>
  <c r="C82" i="13" s="1"/>
  <c r="D50" i="13"/>
  <c r="D82" i="13" s="1"/>
  <c r="E50" i="13"/>
  <c r="F50" i="13"/>
  <c r="G50" i="13"/>
  <c r="G82" i="13" s="1"/>
  <c r="H50" i="13"/>
  <c r="I50" i="13"/>
  <c r="I82" i="13" s="1"/>
  <c r="J50" i="13"/>
  <c r="J82" i="13" s="1"/>
  <c r="K50" i="13"/>
  <c r="K82" i="13" s="1"/>
  <c r="L50" i="13"/>
  <c r="L82" i="13" s="1"/>
  <c r="M50" i="13"/>
  <c r="M82" i="13" s="1"/>
  <c r="N50" i="13"/>
  <c r="N82" i="13" s="1"/>
  <c r="B50" i="13"/>
  <c r="B82" i="13" s="1"/>
  <c r="F22" i="4"/>
  <c r="F82" i="13"/>
  <c r="H82" i="13"/>
  <c r="E82" i="13"/>
  <c r="D3" i="12"/>
  <c r="D4" i="12"/>
  <c r="D5" i="12"/>
  <c r="D6" i="12"/>
  <c r="D7" i="12"/>
  <c r="D8" i="12"/>
  <c r="D9" i="12"/>
  <c r="D2" i="12"/>
  <c r="C10" i="12"/>
  <c r="B10" i="12"/>
  <c r="D10" i="12" s="1"/>
  <c r="B28" i="11"/>
  <c r="B33" i="11" s="1"/>
  <c r="G33" i="11" s="1"/>
  <c r="D28" i="11"/>
  <c r="D33" i="11" s="1"/>
  <c r="H33" i="11" s="1"/>
  <c r="D27" i="11"/>
  <c r="D32" i="11" s="1"/>
  <c r="H32" i="11" s="1"/>
  <c r="B27" i="11"/>
  <c r="B32" i="11" s="1"/>
  <c r="G32" i="11" s="1"/>
  <c r="F20" i="4"/>
  <c r="J6" i="6" l="1"/>
  <c r="J18" i="6" s="1"/>
  <c r="G27" i="11"/>
  <c r="G28" i="11"/>
  <c r="S6" i="6"/>
  <c r="S18" i="6" s="1"/>
  <c r="Q6" i="6"/>
  <c r="Q18" i="6" s="1"/>
  <c r="P6" i="6"/>
  <c r="P18" i="6" s="1"/>
  <c r="O6" i="6"/>
  <c r="O18" i="6" s="1"/>
  <c r="B6" i="6"/>
  <c r="B18" i="6" s="1"/>
  <c r="L6" i="6"/>
  <c r="L18" i="6" s="1"/>
  <c r="N6" i="6"/>
  <c r="N18" i="6" s="1"/>
  <c r="H28" i="11"/>
  <c r="D6" i="6"/>
  <c r="D18" i="6" s="1"/>
  <c r="R6" i="6"/>
  <c r="R18" i="6" s="1"/>
  <c r="C6" i="6"/>
  <c r="C18" i="6" s="1"/>
  <c r="E6" i="6"/>
  <c r="E18" i="6" s="1"/>
  <c r="F6" i="6"/>
  <c r="F18" i="6" s="1"/>
  <c r="T6" i="6"/>
  <c r="T18" i="6" s="1"/>
  <c r="G6" i="6"/>
  <c r="G18" i="6" s="1"/>
  <c r="H6" i="6"/>
  <c r="H18" i="6" s="1"/>
  <c r="M6" i="6"/>
  <c r="M18" i="6" s="1"/>
  <c r="C65" i="7"/>
  <c r="H65" i="7" s="1"/>
  <c r="C66" i="7"/>
  <c r="H66" i="7" s="1"/>
  <c r="C67" i="7"/>
  <c r="H67" i="7" s="1"/>
  <c r="C68" i="7"/>
  <c r="H68" i="7" s="1"/>
  <c r="C69" i="7"/>
  <c r="H69" i="7" s="1"/>
  <c r="C70" i="7"/>
  <c r="H70" i="7" s="1"/>
  <c r="C71" i="7"/>
  <c r="H71" i="7" s="1"/>
  <c r="C72" i="7"/>
  <c r="H72" i="7" s="1"/>
  <c r="C73" i="7"/>
  <c r="H73" i="7" s="1"/>
  <c r="C74" i="7"/>
  <c r="H74" i="7" s="1"/>
  <c r="C75" i="7"/>
  <c r="H75" i="7" s="1"/>
  <c r="C76" i="7"/>
  <c r="H76" i="7" s="1"/>
  <c r="C77" i="7"/>
  <c r="H77" i="7" s="1"/>
  <c r="C78" i="7"/>
  <c r="H78" i="7" s="1"/>
  <c r="C79" i="7"/>
  <c r="H79" i="7" s="1"/>
  <c r="C80" i="7"/>
  <c r="H80" i="7" s="1"/>
  <c r="C81" i="7"/>
  <c r="H81" i="7" s="1"/>
  <c r="C82" i="7"/>
  <c r="H82" i="7" s="1"/>
  <c r="C83" i="7"/>
  <c r="H83" i="7" s="1"/>
  <c r="D44" i="7"/>
  <c r="C64" i="7"/>
  <c r="H64" i="7" s="1"/>
  <c r="C63" i="7"/>
  <c r="H63" i="7" s="1"/>
  <c r="C62" i="7"/>
  <c r="H62" i="7" s="1"/>
  <c r="C61" i="7"/>
  <c r="H61" i="7" s="1"/>
  <c r="C60" i="7"/>
  <c r="H60" i="7" s="1"/>
  <c r="C59" i="7"/>
  <c r="H59" i="7" s="1"/>
  <c r="C58" i="7"/>
  <c r="H58" i="7" s="1"/>
  <c r="C57" i="7"/>
  <c r="H57" i="7" s="1"/>
  <c r="C56" i="7"/>
  <c r="H56" i="7" s="1"/>
  <c r="C55" i="7"/>
  <c r="H55" i="7" s="1"/>
  <c r="C54" i="7"/>
  <c r="H54" i="7" s="1"/>
  <c r="C53" i="7"/>
  <c r="H53" i="7" s="1"/>
  <c r="C52" i="7"/>
  <c r="H52" i="7" s="1"/>
  <c r="C51" i="7"/>
  <c r="H51" i="7" s="1"/>
  <c r="C50" i="7"/>
  <c r="H50" i="7" s="1"/>
  <c r="C49" i="7"/>
  <c r="H49" i="7" s="1"/>
  <c r="C48" i="7"/>
  <c r="H48" i="7" s="1"/>
  <c r="C47" i="7"/>
  <c r="H47" i="7" s="1"/>
  <c r="C46" i="7"/>
  <c r="H46" i="7" s="1"/>
  <c r="C45" i="7"/>
  <c r="H45" i="7" s="1"/>
  <c r="C44" i="7"/>
  <c r="H44" i="7" s="1"/>
  <c r="I31" i="7"/>
  <c r="F31" i="7"/>
  <c r="C31" i="7"/>
  <c r="H31" i="7" s="1"/>
  <c r="C23" i="7"/>
  <c r="H23" i="7" s="1"/>
  <c r="C22" i="7"/>
  <c r="H22" i="7" s="1"/>
  <c r="C21" i="7"/>
  <c r="H21" i="7" s="1"/>
  <c r="C20" i="7"/>
  <c r="H20" i="7" s="1"/>
  <c r="C19" i="7"/>
  <c r="H19" i="7" s="1"/>
  <c r="C18" i="7"/>
  <c r="H18" i="7" s="1"/>
  <c r="C17" i="7"/>
  <c r="H17" i="7" s="1"/>
  <c r="C16" i="7"/>
  <c r="H16" i="7" s="1"/>
  <c r="C15" i="7"/>
  <c r="H15" i="7" s="1"/>
  <c r="C14" i="7"/>
  <c r="H14" i="7" s="1"/>
  <c r="C13" i="7"/>
  <c r="H13" i="7" s="1"/>
  <c r="C12" i="7"/>
  <c r="H12" i="7" s="1"/>
  <c r="C11" i="7"/>
  <c r="H11" i="7" s="1"/>
  <c r="C10" i="7"/>
  <c r="H10" i="7" s="1"/>
  <c r="C9" i="7"/>
  <c r="H9" i="7" s="1"/>
  <c r="C8" i="7"/>
  <c r="H8" i="7" s="1"/>
  <c r="C7" i="7"/>
  <c r="H7" i="7" s="1"/>
  <c r="C6" i="7"/>
  <c r="H6" i="7" s="1"/>
  <c r="C5" i="7"/>
  <c r="H5" i="7" s="1"/>
  <c r="C4" i="7"/>
  <c r="H4" i="7" s="1"/>
  <c r="D3" i="7"/>
  <c r="D4" i="7" s="1"/>
  <c r="C3" i="7"/>
  <c r="H3" i="7" s="1"/>
  <c r="G31" i="7" l="1"/>
  <c r="F32" i="7"/>
  <c r="E44" i="7"/>
  <c r="F44" i="7"/>
  <c r="G44" i="7" s="1"/>
  <c r="D5" i="7"/>
  <c r="F4" i="7"/>
  <c r="G4" i="7" s="1"/>
  <c r="E4" i="7"/>
  <c r="E31" i="7"/>
  <c r="E3" i="7"/>
  <c r="F3" i="7"/>
  <c r="G3" i="7" s="1"/>
  <c r="D6" i="7" l="1"/>
  <c r="F5" i="7"/>
  <c r="G5" i="7" s="1"/>
  <c r="E5" i="7"/>
  <c r="F6" i="7" l="1"/>
  <c r="G6" i="7" s="1"/>
  <c r="E6" i="7"/>
  <c r="D7" i="7"/>
  <c r="E7" i="7" l="1"/>
  <c r="D8" i="7"/>
  <c r="F7" i="7"/>
  <c r="G7" i="7" s="1"/>
  <c r="D9" i="7" l="1"/>
  <c r="F8" i="7"/>
  <c r="G8" i="7" s="1"/>
  <c r="M19" i="7" s="1"/>
  <c r="E8" i="7"/>
  <c r="D10" i="7" l="1"/>
  <c r="F9" i="7"/>
  <c r="G9" i="7" s="1"/>
  <c r="E9" i="7"/>
  <c r="E10" i="7" l="1"/>
  <c r="F10" i="7"/>
  <c r="G10" i="7" s="1"/>
  <c r="D11" i="7"/>
  <c r="D12" i="7" l="1"/>
  <c r="F11" i="7"/>
  <c r="G11" i="7" s="1"/>
  <c r="E11" i="7"/>
  <c r="D13" i="7" l="1"/>
  <c r="F12" i="7"/>
  <c r="G12" i="7" s="1"/>
  <c r="E12" i="7"/>
  <c r="D14" i="7" l="1"/>
  <c r="F13" i="7"/>
  <c r="G13" i="7" s="1"/>
  <c r="E13" i="7"/>
  <c r="D15" i="7" l="1"/>
  <c r="F14" i="7"/>
  <c r="G14" i="7" s="1"/>
  <c r="E14" i="7"/>
  <c r="D16" i="7" l="1"/>
  <c r="F15" i="7"/>
  <c r="G15" i="7" s="1"/>
  <c r="E15" i="7"/>
  <c r="E16" i="7" l="1"/>
  <c r="D17" i="7"/>
  <c r="F16" i="7"/>
  <c r="G16" i="7" s="1"/>
  <c r="D18" i="7" l="1"/>
  <c r="F17" i="7"/>
  <c r="G17" i="7" s="1"/>
  <c r="E17" i="7"/>
  <c r="D19" i="7" l="1"/>
  <c r="F18" i="7"/>
  <c r="G18" i="7" s="1"/>
  <c r="E18" i="7"/>
  <c r="F19" i="7" l="1"/>
  <c r="G19" i="7" s="1"/>
  <c r="E19" i="7"/>
  <c r="D20" i="7"/>
  <c r="F20" i="7" l="1"/>
  <c r="G20" i="7" s="1"/>
  <c r="E20" i="7"/>
  <c r="D21" i="7"/>
  <c r="D22" i="7" l="1"/>
  <c r="F21" i="7"/>
  <c r="G21" i="7" s="1"/>
  <c r="E21" i="7"/>
  <c r="D23" i="7" l="1"/>
  <c r="F22" i="7"/>
  <c r="G22" i="7" s="1"/>
  <c r="E22" i="7"/>
  <c r="F23" i="7" l="1"/>
  <c r="G23" i="7" s="1"/>
  <c r="E23" i="7"/>
  <c r="C34" i="8"/>
  <c r="B34" i="8"/>
  <c r="C33" i="8"/>
  <c r="B33" i="8"/>
  <c r="B32" i="8"/>
  <c r="C31" i="8"/>
  <c r="C30" i="8"/>
  <c r="B30" i="8"/>
  <c r="H18" i="8"/>
  <c r="D19" i="8"/>
  <c r="E19" i="8" s="1"/>
  <c r="H19" i="8" s="1"/>
  <c r="D20" i="8"/>
  <c r="G20" i="8" s="1"/>
  <c r="J20" i="8" s="1"/>
  <c r="D21" i="8"/>
  <c r="E21" i="8" s="1"/>
  <c r="H21" i="8" s="1"/>
  <c r="D17" i="8"/>
  <c r="E17" i="8" s="1"/>
  <c r="H17" i="8" s="1"/>
  <c r="H2" i="4"/>
  <c r="C30" i="4"/>
  <c r="E10" i="4"/>
  <c r="D10" i="4"/>
  <c r="D9" i="4"/>
  <c r="C22" i="4"/>
  <c r="G3" i="4"/>
  <c r="F9" i="3"/>
  <c r="B19" i="1"/>
  <c r="G3" i="1"/>
  <c r="G4" i="1"/>
  <c r="G5" i="1"/>
  <c r="G6" i="1"/>
  <c r="G7" i="1"/>
  <c r="G8" i="1"/>
  <c r="G9" i="1"/>
  <c r="G10" i="1"/>
  <c r="G11" i="1"/>
  <c r="G12" i="1"/>
  <c r="G13" i="1"/>
  <c r="G2" i="1"/>
  <c r="B20" i="1" s="1"/>
  <c r="F3" i="1"/>
  <c r="H4" i="1" s="1"/>
  <c r="F6" i="1"/>
  <c r="H7" i="1" s="1"/>
  <c r="F2" i="1"/>
  <c r="H3" i="1" s="1"/>
  <c r="E4" i="1"/>
  <c r="E5" i="1" s="1"/>
  <c r="E6" i="1" s="1"/>
  <c r="E7" i="1" s="1"/>
  <c r="E8" i="1" s="1"/>
  <c r="E9" i="1" s="1"/>
  <c r="E10" i="1" s="1"/>
  <c r="E11" i="1" s="1"/>
  <c r="E12" i="1" s="1"/>
  <c r="E13" i="1" s="1"/>
  <c r="F13" i="1" s="1"/>
  <c r="E3" i="1"/>
  <c r="E2" i="1"/>
  <c r="B4" i="1"/>
  <c r="B5" i="1"/>
  <c r="B6" i="1"/>
  <c r="B7" i="1"/>
  <c r="B8" i="1"/>
  <c r="B9" i="1"/>
  <c r="B10" i="1"/>
  <c r="B11" i="1"/>
  <c r="B12" i="1"/>
  <c r="B13" i="1"/>
  <c r="B3" i="1"/>
  <c r="F12" i="1" l="1"/>
  <c r="H13" i="1" s="1"/>
  <c r="G17" i="8"/>
  <c r="J17" i="8" s="1"/>
  <c r="F11" i="1"/>
  <c r="H12" i="1" s="1"/>
  <c r="F10" i="1"/>
  <c r="H11" i="1" s="1"/>
  <c r="F9" i="1"/>
  <c r="H10" i="1" s="1"/>
  <c r="F8" i="1"/>
  <c r="H9" i="1" s="1"/>
  <c r="F7" i="1"/>
  <c r="H8" i="1" s="1"/>
  <c r="F5" i="1"/>
  <c r="F4" i="1"/>
  <c r="H5" i="1" s="1"/>
  <c r="E20" i="8"/>
  <c r="H20" i="8" s="1"/>
  <c r="G18" i="8"/>
  <c r="J18" i="8" s="1"/>
  <c r="G21" i="8"/>
  <c r="J21" i="8" s="1"/>
  <c r="G19" i="8"/>
  <c r="J19" i="8" s="1"/>
  <c r="C31" i="4"/>
  <c r="C41" i="4"/>
  <c r="C87" i="4"/>
  <c r="C33" i="4"/>
  <c r="C42" i="4"/>
  <c r="C37" i="4"/>
  <c r="C32" i="4"/>
  <c r="C36" i="4"/>
  <c r="C40" i="4"/>
  <c r="C35" i="4"/>
  <c r="C39" i="4"/>
  <c r="C44" i="4"/>
  <c r="C38" i="4"/>
  <c r="C34" i="4"/>
  <c r="H6" i="1" l="1"/>
  <c r="D45" i="7"/>
  <c r="F45" i="7" l="1"/>
  <c r="G45" i="7" s="1"/>
  <c r="E45" i="7"/>
  <c r="D46" i="7" l="1"/>
  <c r="E46" i="7" s="1"/>
  <c r="F46" i="7" l="1"/>
  <c r="G46" i="7" s="1"/>
  <c r="D47" i="7"/>
  <c r="D48" i="7" l="1"/>
  <c r="F47" i="7"/>
  <c r="G47" i="7" s="1"/>
  <c r="E47" i="7"/>
  <c r="E48" i="7" l="1"/>
  <c r="F48" i="7"/>
  <c r="G48" i="7" s="1"/>
  <c r="D49" i="7"/>
  <c r="F49" i="7" l="1"/>
  <c r="E49" i="7"/>
  <c r="D50" i="7"/>
  <c r="G49" i="7" l="1"/>
  <c r="M60" i="7" s="1"/>
  <c r="E50" i="7"/>
  <c r="D51" i="7"/>
  <c r="F50" i="7"/>
  <c r="G50" i="7" s="1"/>
  <c r="D52" i="7" l="1"/>
  <c r="F51" i="7"/>
  <c r="G51" i="7" s="1"/>
  <c r="E51" i="7"/>
  <c r="D53" i="7" l="1"/>
  <c r="F52" i="7"/>
  <c r="G52" i="7" s="1"/>
  <c r="E52" i="7"/>
  <c r="D54" i="7" l="1"/>
  <c r="F53" i="7"/>
  <c r="G53" i="7" s="1"/>
  <c r="E53" i="7"/>
  <c r="F54" i="7" l="1"/>
  <c r="G54" i="7" s="1"/>
  <c r="D55" i="7"/>
  <c r="E54" i="7"/>
  <c r="D56" i="7" l="1"/>
  <c r="E55" i="7"/>
  <c r="F55" i="7"/>
  <c r="G55" i="7" s="1"/>
  <c r="E56" i="7" l="1"/>
  <c r="F56" i="7"/>
  <c r="G56" i="7" s="1"/>
  <c r="D57" i="7"/>
  <c r="D58" i="7" l="1"/>
  <c r="E57" i="7"/>
  <c r="F57" i="7"/>
  <c r="G57" i="7" s="1"/>
  <c r="F58" i="7" l="1"/>
  <c r="G58" i="7" s="1"/>
  <c r="D59" i="7"/>
  <c r="E58" i="7"/>
  <c r="D60" i="7" l="1"/>
  <c r="E59" i="7"/>
  <c r="F59" i="7"/>
  <c r="G59" i="7" s="1"/>
  <c r="D61" i="7" l="1"/>
  <c r="F60" i="7"/>
  <c r="G60" i="7" s="1"/>
  <c r="E60" i="7"/>
  <c r="F61" i="7" l="1"/>
  <c r="G61" i="7" s="1"/>
  <c r="E61" i="7"/>
  <c r="D62" i="7"/>
  <c r="E62" i="7" l="1"/>
  <c r="D63" i="7"/>
  <c r="F62" i="7"/>
  <c r="G62" i="7" s="1"/>
  <c r="E63" i="7" l="1"/>
  <c r="D64" i="7"/>
  <c r="F63" i="7"/>
  <c r="G63" i="7" s="1"/>
  <c r="D65" i="7" l="1"/>
  <c r="E64" i="7"/>
  <c r="F64" i="7"/>
  <c r="G64" i="7" s="1"/>
  <c r="E65" i="7" l="1"/>
  <c r="D66" i="7"/>
  <c r="F65" i="7"/>
  <c r="G65" i="7" s="1"/>
  <c r="D67" i="7" l="1"/>
  <c r="F66" i="7"/>
  <c r="G66" i="7" s="1"/>
  <c r="E66" i="7"/>
  <c r="D68" i="7" l="1"/>
  <c r="F67" i="7"/>
  <c r="G67" i="7" s="1"/>
  <c r="E67" i="7"/>
  <c r="E68" i="7" l="1"/>
  <c r="F68" i="7"/>
  <c r="G68" i="7" s="1"/>
  <c r="D69" i="7"/>
  <c r="D70" i="7" l="1"/>
  <c r="E69" i="7"/>
  <c r="F69" i="7"/>
  <c r="G69" i="7" s="1"/>
  <c r="D71" i="7" l="1"/>
  <c r="E70" i="7"/>
  <c r="F70" i="7"/>
  <c r="G70" i="7" s="1"/>
  <c r="D72" i="7" l="1"/>
  <c r="F71" i="7"/>
  <c r="G71" i="7" s="1"/>
  <c r="E71" i="7"/>
  <c r="D73" i="7" l="1"/>
  <c r="E72" i="7"/>
  <c r="F72" i="7"/>
  <c r="G72" i="7" s="1"/>
  <c r="D74" i="7" l="1"/>
  <c r="F73" i="7"/>
  <c r="G73" i="7" s="1"/>
  <c r="E73" i="7"/>
  <c r="D75" i="7" l="1"/>
  <c r="F74" i="7"/>
  <c r="G74" i="7" s="1"/>
  <c r="E74" i="7"/>
  <c r="D76" i="7" l="1"/>
  <c r="E75" i="7"/>
  <c r="F75" i="7"/>
  <c r="G75" i="7" s="1"/>
  <c r="D77" i="7" l="1"/>
  <c r="E76" i="7"/>
  <c r="F76" i="7"/>
  <c r="G76" i="7" s="1"/>
  <c r="D78" i="7" l="1"/>
  <c r="E77" i="7"/>
  <c r="F77" i="7"/>
  <c r="G77" i="7" s="1"/>
  <c r="D79" i="7" l="1"/>
  <c r="F78" i="7"/>
  <c r="G78" i="7" s="1"/>
  <c r="E78" i="7"/>
  <c r="D80" i="7" l="1"/>
  <c r="F79" i="7"/>
  <c r="G79" i="7" s="1"/>
  <c r="E79" i="7"/>
  <c r="D81" i="7" l="1"/>
  <c r="E80" i="7"/>
  <c r="F80" i="7"/>
  <c r="G80" i="7" s="1"/>
  <c r="F81" i="7" l="1"/>
  <c r="G81" i="7" s="1"/>
  <c r="E81" i="7"/>
  <c r="D82" i="7"/>
  <c r="D83" i="7"/>
  <c r="F83" i="7"/>
  <c r="G83" i="7" s="1"/>
  <c r="E83" i="7"/>
  <c r="E82" i="7"/>
  <c r="F82" i="7"/>
  <c r="G82" i="7" s="1"/>
  <c r="D41" i="4"/>
  <c r="D35" i="4"/>
  <c r="D38" i="4"/>
  <c r="E43" i="4"/>
  <c r="F43" i="4" s="1"/>
  <c r="G43" i="4" s="1"/>
  <c r="D40" i="4"/>
  <c r="D37" i="4"/>
  <c r="D32" i="4"/>
  <c r="D42" i="4"/>
  <c r="D33" i="4"/>
  <c r="D44" i="4"/>
  <c r="D30" i="4"/>
  <c r="D31" i="4"/>
  <c r="D36" i="4"/>
  <c r="D34" i="4"/>
  <c r="D39" i="4"/>
  <c r="E32" i="4"/>
  <c r="E37" i="4"/>
  <c r="F37" i="4" s="1"/>
  <c r="G37" i="4" s="1"/>
  <c r="E36" i="4"/>
  <c r="E33" i="4"/>
  <c r="E39" i="4"/>
  <c r="E35" i="4"/>
  <c r="E30" i="4"/>
  <c r="E44" i="4"/>
  <c r="E40" i="4"/>
  <c r="E34" i="4"/>
  <c r="E42" i="4"/>
  <c r="E31" i="4"/>
  <c r="E38" i="4"/>
  <c r="E87" i="4"/>
  <c r="E41" i="4"/>
  <c r="D87" i="4"/>
  <c r="F42" i="4" l="1"/>
  <c r="G42" i="4" s="1"/>
  <c r="H42" i="4" s="1"/>
  <c r="F36" i="4"/>
  <c r="G36" i="4" s="1"/>
  <c r="C54" i="4" s="1"/>
  <c r="F39" i="4"/>
  <c r="G39" i="4" s="1"/>
  <c r="H39" i="4" s="1"/>
  <c r="F41" i="4"/>
  <c r="G41" i="4" s="1"/>
  <c r="H41" i="4" s="1"/>
  <c r="F30" i="4"/>
  <c r="G30" i="4" s="1"/>
  <c r="D51" i="4" s="1"/>
  <c r="F38" i="4"/>
  <c r="G38" i="4" s="1"/>
  <c r="H38" i="4" s="1"/>
  <c r="F35" i="4"/>
  <c r="G35" i="4" s="1"/>
  <c r="E102" i="4" s="1"/>
  <c r="F87" i="4"/>
  <c r="G87" i="4" s="1"/>
  <c r="J87" i="4" s="1"/>
  <c r="F44" i="4"/>
  <c r="G44" i="4" s="1"/>
  <c r="H44" i="4" s="1"/>
  <c r="F33" i="4"/>
  <c r="G33" i="4" s="1"/>
  <c r="D90" i="4" s="1"/>
  <c r="F31" i="4"/>
  <c r="G31" i="4" s="1"/>
  <c r="E66" i="4" s="1"/>
  <c r="F32" i="4"/>
  <c r="G32" i="4" s="1"/>
  <c r="F34" i="4"/>
  <c r="G34" i="4" s="1"/>
  <c r="J34" i="4" s="1"/>
  <c r="F40" i="4"/>
  <c r="G40" i="4" s="1"/>
  <c r="H37" i="4"/>
  <c r="J37" i="4"/>
  <c r="J43" i="4"/>
  <c r="C20" i="4"/>
  <c r="H43" i="4"/>
  <c r="J42" i="4" l="1"/>
  <c r="J41" i="4"/>
  <c r="G21" i="4"/>
  <c r="G22" i="4" s="1"/>
  <c r="E75" i="4"/>
  <c r="D75" i="4"/>
  <c r="C75" i="4"/>
  <c r="C51" i="4"/>
  <c r="D56" i="4"/>
  <c r="J36" i="4"/>
  <c r="H36" i="4"/>
  <c r="C53" i="4"/>
  <c r="E54" i="4"/>
  <c r="D54" i="4"/>
  <c r="E63" i="4"/>
  <c r="C63" i="4"/>
  <c r="J39" i="4"/>
  <c r="H34" i="4"/>
  <c r="D63" i="4"/>
  <c r="H35" i="4"/>
  <c r="D102" i="4"/>
  <c r="C102" i="4"/>
  <c r="C58" i="4"/>
  <c r="J30" i="4"/>
  <c r="J35" i="4"/>
  <c r="H30" i="4"/>
  <c r="E56" i="4"/>
  <c r="E51" i="4"/>
  <c r="D57" i="4"/>
  <c r="E58" i="4"/>
  <c r="C50" i="4"/>
  <c r="E57" i="4"/>
  <c r="H32" i="4"/>
  <c r="C21" i="4"/>
  <c r="E62" i="4"/>
  <c r="J44" i="4"/>
  <c r="J32" i="4"/>
  <c r="E50" i="4"/>
  <c r="D53" i="4"/>
  <c r="H87" i="4"/>
  <c r="H33" i="4"/>
  <c r="C56" i="4"/>
  <c r="C88" i="4"/>
  <c r="C90" i="4"/>
  <c r="E73" i="4"/>
  <c r="J38" i="4"/>
  <c r="C57" i="4"/>
  <c r="C66" i="4"/>
  <c r="C62" i="4"/>
  <c r="E88" i="4"/>
  <c r="H31" i="4"/>
  <c r="J33" i="4"/>
  <c r="C73" i="4"/>
  <c r="D88" i="4"/>
  <c r="J31" i="4"/>
  <c r="D62" i="4"/>
  <c r="E53" i="4"/>
  <c r="H40" i="4"/>
  <c r="D66" i="4"/>
  <c r="D73" i="4"/>
  <c r="D50" i="4"/>
  <c r="J40" i="4"/>
  <c r="D58" i="4"/>
  <c r="E90" i="4"/>
  <c r="F102" i="4" l="1"/>
  <c r="G102" i="4" s="1"/>
  <c r="J102" i="4" s="1"/>
  <c r="F75" i="4"/>
  <c r="G75" i="4" s="1"/>
  <c r="G20" i="4" s="1"/>
  <c r="F51" i="4"/>
  <c r="G51" i="4" s="1"/>
  <c r="H51" i="4" s="1"/>
  <c r="F63" i="4"/>
  <c r="G63" i="4" s="1"/>
  <c r="D21" i="4" s="1"/>
  <c r="D22" i="4" s="1"/>
  <c r="F56" i="4"/>
  <c r="G56" i="4" s="1"/>
  <c r="H56" i="4" s="1"/>
  <c r="H75" i="4"/>
  <c r="J75" i="4"/>
  <c r="F54" i="4"/>
  <c r="G54" i="4" s="1"/>
  <c r="H54" i="4" s="1"/>
  <c r="F66" i="4"/>
  <c r="F50" i="4"/>
  <c r="G50" i="4" s="1"/>
  <c r="H50" i="4" s="1"/>
  <c r="F58" i="4"/>
  <c r="G58" i="4" s="1"/>
  <c r="J58" i="4" s="1"/>
  <c r="F57" i="4"/>
  <c r="G57" i="4" s="1"/>
  <c r="H57" i="4" s="1"/>
  <c r="F88" i="4"/>
  <c r="G88" i="4" s="1"/>
  <c r="J88" i="4" s="1"/>
  <c r="F53" i="4"/>
  <c r="G53" i="4" s="1"/>
  <c r="J53" i="4" s="1"/>
  <c r="F62" i="4"/>
  <c r="G62" i="4" s="1"/>
  <c r="H62" i="4" s="1"/>
  <c r="F73" i="4"/>
  <c r="G73" i="4" s="1"/>
  <c r="F90" i="4"/>
  <c r="G90" i="4" s="1"/>
  <c r="J90" i="4" s="1"/>
  <c r="E93" i="4"/>
  <c r="D93" i="4"/>
  <c r="J51" i="4"/>
  <c r="C93" i="4"/>
  <c r="C52" i="4"/>
  <c r="D52" i="4"/>
  <c r="G66" i="4" l="1"/>
  <c r="H66" i="4" s="1"/>
  <c r="H102" i="4"/>
  <c r="E52" i="4"/>
  <c r="J56" i="4"/>
  <c r="H63" i="4"/>
  <c r="J63" i="4"/>
  <c r="J54" i="4"/>
  <c r="J66" i="4"/>
  <c r="B21" i="4"/>
  <c r="B22" i="4" s="1"/>
  <c r="D68" i="4" s="1"/>
  <c r="J73" i="4"/>
  <c r="C74" i="4"/>
  <c r="H88" i="4"/>
  <c r="C89" i="4"/>
  <c r="D89" i="4"/>
  <c r="C69" i="4"/>
  <c r="H53" i="4"/>
  <c r="E89" i="4"/>
  <c r="H73" i="4"/>
  <c r="C60" i="4"/>
  <c r="E60" i="4"/>
  <c r="D60" i="4"/>
  <c r="J50" i="4"/>
  <c r="E101" i="4"/>
  <c r="D69" i="4"/>
  <c r="E55" i="4"/>
  <c r="C101" i="4"/>
  <c r="C55" i="4"/>
  <c r="D101" i="4"/>
  <c r="D55" i="4"/>
  <c r="C70" i="4"/>
  <c r="H58" i="4"/>
  <c r="D59" i="4"/>
  <c r="E74" i="4"/>
  <c r="J57" i="4"/>
  <c r="E59" i="4"/>
  <c r="E70" i="4"/>
  <c r="D70" i="4"/>
  <c r="E69" i="4"/>
  <c r="C59" i="4"/>
  <c r="E103" i="4"/>
  <c r="C103" i="4"/>
  <c r="D103" i="4"/>
  <c r="H90" i="4"/>
  <c r="J62" i="4"/>
  <c r="D74" i="4"/>
  <c r="C64" i="4"/>
  <c r="D64" i="4"/>
  <c r="E64" i="4"/>
  <c r="F52" i="4"/>
  <c r="G52" i="4" s="1"/>
  <c r="F93" i="4"/>
  <c r="G93" i="4" s="1"/>
  <c r="J93" i="4" s="1"/>
  <c r="C65" i="4"/>
  <c r="D65" i="4"/>
  <c r="E65" i="4"/>
  <c r="E68" i="4" l="1"/>
  <c r="C68" i="4"/>
  <c r="H52" i="4"/>
  <c r="F55" i="4"/>
  <c r="G55" i="4" s="1"/>
  <c r="J55" i="4" s="1"/>
  <c r="F89" i="4"/>
  <c r="C16" i="4" s="1"/>
  <c r="F69" i="4"/>
  <c r="G69" i="4" s="1"/>
  <c r="H69" i="4" s="1"/>
  <c r="F59" i="4"/>
  <c r="F101" i="4"/>
  <c r="G101" i="4" s="1"/>
  <c r="H101" i="4" s="1"/>
  <c r="F60" i="4"/>
  <c r="G60" i="4" s="1"/>
  <c r="H60" i="4" s="1"/>
  <c r="F70" i="4"/>
  <c r="G70" i="4" s="1"/>
  <c r="H70" i="4" s="1"/>
  <c r="F103" i="4"/>
  <c r="G103" i="4" s="1"/>
  <c r="J103" i="4" s="1"/>
  <c r="F74" i="4"/>
  <c r="G74" i="4" s="1"/>
  <c r="J74" i="4" s="1"/>
  <c r="F64" i="4"/>
  <c r="G64" i="4" s="1"/>
  <c r="H64" i="4" s="1"/>
  <c r="H93" i="4"/>
  <c r="F65" i="4"/>
  <c r="G65" i="4" s="1"/>
  <c r="J65" i="4" s="1"/>
  <c r="F68" i="4"/>
  <c r="G68" i="4" s="1"/>
  <c r="H68" i="4" s="1"/>
  <c r="J52" i="4"/>
  <c r="C82" i="4"/>
  <c r="E82" i="4"/>
  <c r="D82" i="4"/>
  <c r="G59" i="4" l="1"/>
  <c r="C84" i="4" s="1"/>
  <c r="H55" i="4"/>
  <c r="H103" i="4"/>
  <c r="C61" i="4"/>
  <c r="G89" i="4"/>
  <c r="H89" i="4" s="1"/>
  <c r="J101" i="4"/>
  <c r="E20" i="4"/>
  <c r="J69" i="4"/>
  <c r="D104" i="4"/>
  <c r="J60" i="4"/>
  <c r="E61" i="4"/>
  <c r="E21" i="4"/>
  <c r="E22" i="4" s="1"/>
  <c r="D71" i="4" s="1"/>
  <c r="J70" i="4"/>
  <c r="D61" i="4"/>
  <c r="H74" i="4"/>
  <c r="J64" i="4"/>
  <c r="D20" i="4"/>
  <c r="C81" i="4"/>
  <c r="H65" i="4"/>
  <c r="F82" i="4"/>
  <c r="G82" i="4" s="1"/>
  <c r="H82" i="4" s="1"/>
  <c r="J68" i="4"/>
  <c r="D80" i="4"/>
  <c r="C80" i="4"/>
  <c r="E80" i="4"/>
  <c r="E81" i="4" l="1"/>
  <c r="J59" i="4"/>
  <c r="D81" i="4"/>
  <c r="F81" i="4" s="1"/>
  <c r="G81" i="4" s="1"/>
  <c r="J81" i="4" s="1"/>
  <c r="D84" i="4"/>
  <c r="H59" i="4"/>
  <c r="C104" i="4"/>
  <c r="E104" i="4"/>
  <c r="E84" i="4"/>
  <c r="F84" i="4"/>
  <c r="G84" i="4" s="1"/>
  <c r="J84" i="4" s="1"/>
  <c r="J89" i="4"/>
  <c r="F104" i="4"/>
  <c r="G104" i="4" s="1"/>
  <c r="J104" i="4" s="1"/>
  <c r="F61" i="4"/>
  <c r="G61" i="4" s="1"/>
  <c r="H61" i="4" s="1"/>
  <c r="C71" i="4"/>
  <c r="E71" i="4"/>
  <c r="J82" i="4"/>
  <c r="F80" i="4"/>
  <c r="G80" i="4" s="1"/>
  <c r="J61" i="4" l="1"/>
  <c r="H84" i="4"/>
  <c r="E79" i="4"/>
  <c r="C79" i="4"/>
  <c r="D67" i="4"/>
  <c r="H104" i="4"/>
  <c r="E67" i="4"/>
  <c r="C67" i="4"/>
  <c r="D79" i="4"/>
  <c r="E94" i="4"/>
  <c r="D94" i="4"/>
  <c r="C94" i="4"/>
  <c r="F71" i="4"/>
  <c r="G71" i="4" s="1"/>
  <c r="J71" i="4" s="1"/>
  <c r="E105" i="4"/>
  <c r="H81" i="4"/>
  <c r="H80" i="4"/>
  <c r="C45" i="4"/>
  <c r="E45" i="4"/>
  <c r="J80" i="4"/>
  <c r="C105" i="4"/>
  <c r="D105" i="4"/>
  <c r="F67" i="4" l="1"/>
  <c r="G67" i="4" s="1"/>
  <c r="H67" i="4" s="1"/>
  <c r="F79" i="4"/>
  <c r="G79" i="4" s="1"/>
  <c r="H79" i="4" s="1"/>
  <c r="D83" i="4"/>
  <c r="E83" i="4"/>
  <c r="C83" i="4"/>
  <c r="F94" i="4"/>
  <c r="G94" i="4" s="1"/>
  <c r="J94" i="4" s="1"/>
  <c r="H71" i="4"/>
  <c r="F45" i="4"/>
  <c r="G45" i="4" s="1"/>
  <c r="F105" i="4"/>
  <c r="G105" i="4" s="1"/>
  <c r="H105" i="4" s="1"/>
  <c r="J79" i="4"/>
  <c r="J67" i="4" l="1"/>
  <c r="B20" i="4"/>
  <c r="E91" i="4"/>
  <c r="C91" i="4"/>
  <c r="D91" i="4"/>
  <c r="F83" i="4"/>
  <c r="G83" i="4" s="1"/>
  <c r="J83" i="4" s="1"/>
  <c r="H94" i="4"/>
  <c r="C85" i="4"/>
  <c r="D85" i="4"/>
  <c r="J105" i="4"/>
  <c r="E85" i="4"/>
  <c r="F21" i="4"/>
  <c r="J45" i="4"/>
  <c r="H45" i="4"/>
  <c r="F91" i="4" l="1"/>
  <c r="G91" i="4" s="1"/>
  <c r="H91" i="4" s="1"/>
  <c r="H83" i="4"/>
  <c r="J91" i="4"/>
  <c r="C86" i="4"/>
  <c r="E86" i="4"/>
  <c r="D86" i="4"/>
  <c r="E72" i="4"/>
  <c r="C72" i="4"/>
  <c r="F85" i="4"/>
  <c r="G85" i="4" s="1"/>
  <c r="J85" i="4" s="1"/>
  <c r="H85" i="4" l="1"/>
  <c r="F72" i="4"/>
  <c r="G72" i="4" s="1"/>
  <c r="H72" i="4" s="1"/>
  <c r="F86" i="4"/>
  <c r="G86" i="4" s="1"/>
  <c r="J86" i="4" s="1"/>
  <c r="H86" i="4" l="1"/>
  <c r="J72" i="4"/>
  <c r="C92" i="4"/>
  <c r="E92" i="4"/>
  <c r="E106" i="4"/>
  <c r="C106" i="4"/>
  <c r="D106" i="4"/>
  <c r="F92" i="4" l="1"/>
  <c r="F106" i="4"/>
  <c r="G106" i="4" s="1"/>
  <c r="J106" i="4" s="1"/>
  <c r="H106" i="4" l="1"/>
  <c r="G92" i="4"/>
  <c r="C10" i="4"/>
  <c r="C9" i="4"/>
  <c r="J92" i="4" l="1"/>
  <c r="H92" i="4"/>
</calcChain>
</file>

<file path=xl/sharedStrings.xml><?xml version="1.0" encoding="utf-8"?>
<sst xmlns="http://schemas.openxmlformats.org/spreadsheetml/2006/main" count="1249" uniqueCount="770">
  <si>
    <t>纬度带</t>
    <phoneticPr fontId="1" type="noConversion"/>
  </si>
  <si>
    <t>最高点纬度</t>
    <phoneticPr fontId="1" type="noConversion"/>
  </si>
  <si>
    <t>赤道带（第0纬度带）</t>
    <phoneticPr fontId="1" type="noConversion"/>
  </si>
  <si>
    <t>第1纬度带</t>
    <phoneticPr fontId="1" type="noConversion"/>
  </si>
  <si>
    <t>第2纬度带</t>
  </si>
  <si>
    <t>第3纬度带</t>
  </si>
  <si>
    <t>第4纬度带</t>
  </si>
  <si>
    <t>第5纬度带</t>
  </si>
  <si>
    <t>第6纬度带</t>
  </si>
  <si>
    <t>第7纬度带</t>
  </si>
  <si>
    <t>第8纬度带</t>
  </si>
  <si>
    <t>第9纬度带</t>
  </si>
  <si>
    <t>第10纬度带</t>
  </si>
  <si>
    <t>/</t>
    <phoneticPr fontId="1" type="noConversion"/>
  </si>
  <si>
    <t>第11纬度带(极点）</t>
    <phoneticPr fontId="1" type="noConversion"/>
  </si>
  <si>
    <t>最低纬度经线间距</t>
    <phoneticPr fontId="1" type="noConversion"/>
  </si>
  <si>
    <t>星球表面积</t>
    <phoneticPr fontId="1" type="noConversion"/>
  </si>
  <si>
    <t>星球大圆周长</t>
    <phoneticPr fontId="1" type="noConversion"/>
  </si>
  <si>
    <t>建筑名称</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</si>
  <si>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</si>
  <si>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</si>
  <si>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</si>
  <si>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</si>
  <si>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</si>
  <si>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</si>
  <si>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半长</t>
    <phoneticPr fontId="1" type="noConversion"/>
  </si>
  <si>
    <t>半宽</t>
    <phoneticPr fontId="1" type="noConversion"/>
  </si>
  <si>
    <t>最低4纬度带面积(600小太阳)</t>
    <phoneticPr fontId="1" type="noConversion"/>
  </si>
  <si>
    <t>第0纬度带</t>
    <phoneticPr fontId="1" type="noConversion"/>
  </si>
  <si>
    <t>第11纬度带</t>
  </si>
  <si>
    <t>第1纬度带</t>
  </si>
  <si>
    <t>格点数</t>
    <phoneticPr fontId="1" type="noConversion"/>
  </si>
  <si>
    <t>小太阳</t>
    <phoneticPr fontId="1" type="noConversion"/>
  </si>
  <si>
    <t>小太阳</t>
    <phoneticPr fontId="1" type="noConversion"/>
  </si>
  <si>
    <t>接收站</t>
    <phoneticPr fontId="1" type="noConversion"/>
  </si>
  <si>
    <t>（极地6圈时平均占地）</t>
    <phoneticPr fontId="1" type="noConversion"/>
  </si>
  <si>
    <t>铁块</t>
    <phoneticPr fontId="1" type="noConversion"/>
  </si>
  <si>
    <t>1铁矿；1s；1铁块</t>
    <phoneticPr fontId="1" type="noConversion"/>
  </si>
  <si>
    <t>铜块</t>
    <phoneticPr fontId="1" type="noConversion"/>
  </si>
  <si>
    <t>钛块</t>
    <phoneticPr fontId="1" type="noConversion"/>
  </si>
  <si>
    <t>高纯硅块</t>
    <phoneticPr fontId="1" type="noConversion"/>
  </si>
  <si>
    <t>石材</t>
    <phoneticPr fontId="1" type="noConversion"/>
  </si>
  <si>
    <t>高能石墨</t>
    <phoneticPr fontId="1" type="noConversion"/>
  </si>
  <si>
    <t>精炼油</t>
    <phoneticPr fontId="1" type="noConversion"/>
  </si>
  <si>
    <t>塑料</t>
    <phoneticPr fontId="1" type="noConversion"/>
  </si>
  <si>
    <t>石墨烯</t>
    <phoneticPr fontId="1" type="noConversion"/>
  </si>
  <si>
    <t>增产剂MK1</t>
    <phoneticPr fontId="1" type="noConversion"/>
  </si>
  <si>
    <t>增产剂MK2</t>
    <phoneticPr fontId="1" type="noConversion"/>
  </si>
  <si>
    <t>增产剂MK3</t>
    <phoneticPr fontId="1" type="noConversion"/>
  </si>
  <si>
    <t>磁铁</t>
    <phoneticPr fontId="1" type="noConversion"/>
  </si>
  <si>
    <t>磁线圈</t>
    <phoneticPr fontId="1" type="noConversion"/>
  </si>
  <si>
    <t>钛合金</t>
    <phoneticPr fontId="1" type="noConversion"/>
  </si>
  <si>
    <t>玻璃</t>
    <phoneticPr fontId="1" type="noConversion"/>
  </si>
  <si>
    <t>反物质燃料棒</t>
    <phoneticPr fontId="1" type="noConversion"/>
  </si>
  <si>
    <t>钢材</t>
    <phoneticPr fontId="1" type="noConversion"/>
  </si>
  <si>
    <t>氘核燃料棒</t>
    <phoneticPr fontId="1" type="noConversion"/>
  </si>
  <si>
    <t>液氢燃料棒</t>
    <phoneticPr fontId="1" type="noConversion"/>
  </si>
  <si>
    <t>钛化玻璃</t>
    <phoneticPr fontId="1" type="noConversion"/>
  </si>
  <si>
    <t>棱镜</t>
    <phoneticPr fontId="1" type="noConversion"/>
  </si>
  <si>
    <t>电动机</t>
    <phoneticPr fontId="1" type="noConversion"/>
  </si>
  <si>
    <t>推进器</t>
    <phoneticPr fontId="1" type="noConversion"/>
  </si>
  <si>
    <t>加力推进器</t>
    <phoneticPr fontId="1" type="noConversion"/>
  </si>
  <si>
    <t>奇异物质</t>
    <phoneticPr fontId="1" type="noConversion"/>
  </si>
  <si>
    <t>齿轮</t>
    <phoneticPr fontId="1" type="noConversion"/>
  </si>
  <si>
    <t>电磁涡轮</t>
    <phoneticPr fontId="1" type="noConversion"/>
  </si>
  <si>
    <t>电路板</t>
    <phoneticPr fontId="1" type="noConversion"/>
  </si>
  <si>
    <t>引力透镜</t>
    <phoneticPr fontId="1" type="noConversion"/>
  </si>
  <si>
    <t>位面过滤器</t>
    <phoneticPr fontId="1" type="noConversion"/>
  </si>
  <si>
    <t>小型运载火箭</t>
    <phoneticPr fontId="1" type="noConversion"/>
  </si>
  <si>
    <t>电浆激发器</t>
    <phoneticPr fontId="1" type="noConversion"/>
  </si>
  <si>
    <t>超级磁场环</t>
    <phoneticPr fontId="1" type="noConversion"/>
  </si>
  <si>
    <t>粒子宽带</t>
    <phoneticPr fontId="1" type="noConversion"/>
  </si>
  <si>
    <t>处理器</t>
    <phoneticPr fontId="1" type="noConversion"/>
  </si>
  <si>
    <t>湮灭约束球</t>
    <phoneticPr fontId="1" type="noConversion"/>
  </si>
  <si>
    <t>太阳帆</t>
    <phoneticPr fontId="1" type="noConversion"/>
  </si>
  <si>
    <t>框架材料</t>
    <phoneticPr fontId="1" type="noConversion"/>
  </si>
  <si>
    <t>戴森球组件</t>
    <phoneticPr fontId="1" type="noConversion"/>
  </si>
  <si>
    <t>微晶元件</t>
    <phoneticPr fontId="1" type="noConversion"/>
  </si>
  <si>
    <t>量子芯片</t>
    <phoneticPr fontId="1" type="noConversion"/>
  </si>
  <si>
    <t>反物质</t>
    <phoneticPr fontId="1" type="noConversion"/>
  </si>
  <si>
    <t>电磁矩阵</t>
    <phoneticPr fontId="1" type="noConversion"/>
  </si>
  <si>
    <t>能量矩阵</t>
    <phoneticPr fontId="1" type="noConversion"/>
  </si>
  <si>
    <t>结构矩阵</t>
    <phoneticPr fontId="1" type="noConversion"/>
  </si>
  <si>
    <t>信息矩阵</t>
    <phoneticPr fontId="1" type="noConversion"/>
  </si>
  <si>
    <t>引力矩阵</t>
    <phoneticPr fontId="1" type="noConversion"/>
  </si>
  <si>
    <t>宇宙矩阵</t>
    <phoneticPr fontId="1" type="noConversion"/>
  </si>
  <si>
    <t>物品名</t>
    <phoneticPr fontId="1" type="noConversion"/>
  </si>
  <si>
    <t>2硅矿；2s；1高纯硅块</t>
    <phoneticPr fontId="1" type="noConversion"/>
  </si>
  <si>
    <t>1铜矿；1s；1铜块</t>
    <phoneticPr fontId="1" type="noConversion"/>
  </si>
  <si>
    <t>1石矿；1s；1石材</t>
    <phoneticPr fontId="1" type="noConversion"/>
  </si>
  <si>
    <t>2煤矿；2s；1高能石墨</t>
    <phoneticPr fontId="1" type="noConversion"/>
  </si>
  <si>
    <t>公式（原料；时间；产物(忽略副产物氢)）</t>
    <phoneticPr fontId="1" type="noConversion"/>
  </si>
  <si>
    <t>2精炼油，1高能石墨；3s；1塑料</t>
    <phoneticPr fontId="1" type="noConversion"/>
  </si>
  <si>
    <t>制造台</t>
    <phoneticPr fontId="1" type="noConversion"/>
  </si>
  <si>
    <t>设备倍率</t>
    <phoneticPr fontId="1" type="noConversion"/>
  </si>
  <si>
    <t>熔炉</t>
    <phoneticPr fontId="1" type="noConversion"/>
  </si>
  <si>
    <t>预设工厂选取</t>
    <phoneticPr fontId="1" type="noConversion"/>
  </si>
  <si>
    <t>化工厂</t>
    <phoneticPr fontId="1" type="noConversion"/>
  </si>
  <si>
    <t>对撞机</t>
    <phoneticPr fontId="1" type="noConversion"/>
  </si>
  <si>
    <t>精炼厂</t>
    <phoneticPr fontId="1" type="noConversion"/>
  </si>
  <si>
    <t>研究站（堆叠）</t>
    <phoneticPr fontId="1" type="noConversion"/>
  </si>
  <si>
    <t>熔炉+2带</t>
    <phoneticPr fontId="1" type="noConversion"/>
  </si>
  <si>
    <t>熔炉+4带</t>
    <phoneticPr fontId="1" type="noConversion"/>
  </si>
  <si>
    <t>制造台+2带</t>
    <phoneticPr fontId="1" type="noConversion"/>
  </si>
  <si>
    <t>制造台+4带</t>
    <phoneticPr fontId="1" type="noConversion"/>
  </si>
  <si>
    <t>制造台+3带</t>
    <phoneticPr fontId="1" type="noConversion"/>
  </si>
  <si>
    <t>对撞机+2带</t>
    <phoneticPr fontId="1" type="noConversion"/>
  </si>
  <si>
    <t>对撞机+3带</t>
    <phoneticPr fontId="1" type="noConversion"/>
  </si>
  <si>
    <t>对撞机+4带</t>
    <phoneticPr fontId="1" type="noConversion"/>
  </si>
  <si>
    <t>化工厂+2带</t>
    <phoneticPr fontId="1" type="noConversion"/>
  </si>
  <si>
    <t>化工厂+3带</t>
    <phoneticPr fontId="1" type="noConversion"/>
  </si>
  <si>
    <t>精炼厂+2带</t>
    <phoneticPr fontId="1" type="noConversion"/>
  </si>
  <si>
    <t>精炼厂+3带</t>
    <phoneticPr fontId="1" type="noConversion"/>
  </si>
  <si>
    <t>参考值</t>
    <phoneticPr fontId="1" type="noConversion"/>
  </si>
  <si>
    <t>1MW发电占地</t>
    <phoneticPr fontId="1" type="noConversion"/>
  </si>
  <si>
    <t>反物质燃料棒(喷涂后)</t>
    <phoneticPr fontId="1" type="noConversion"/>
  </si>
  <si>
    <t>此配方下实际值</t>
    <phoneticPr fontId="1" type="noConversion"/>
  </si>
  <si>
    <t>1个/s产出时占地</t>
    <phoneticPr fontId="1" type="noConversion"/>
  </si>
  <si>
    <t>不使用增产剂</t>
    <phoneticPr fontId="1" type="noConversion"/>
  </si>
  <si>
    <t>增产</t>
    <phoneticPr fontId="1" type="noConversion"/>
  </si>
  <si>
    <t>加速</t>
    <phoneticPr fontId="1" type="noConversion"/>
  </si>
  <si>
    <t>最少占地</t>
    <phoneticPr fontId="1" type="noConversion"/>
  </si>
  <si>
    <t>小太阳</t>
    <phoneticPr fontId="1" type="noConversion"/>
  </si>
  <si>
    <t>射线接收站</t>
    <phoneticPr fontId="1" type="noConversion"/>
  </si>
  <si>
    <t>反物质燃料棒(未喷涂)</t>
    <phoneticPr fontId="1" type="noConversion"/>
  </si>
  <si>
    <t>1喷涂/s增产剂占地</t>
    <phoneticPr fontId="1" type="noConversion"/>
  </si>
  <si>
    <t>产物增产决策占地表</t>
    <phoneticPr fontId="1" type="noConversion"/>
  </si>
  <si>
    <t>设备耗能(MW)</t>
    <phoneticPr fontId="1" type="noConversion"/>
  </si>
  <si>
    <t>预设工厂面积</t>
    <phoneticPr fontId="1" type="noConversion"/>
  </si>
  <si>
    <t>2钛矿；2s；1钛块</t>
    <phoneticPr fontId="1" type="noConversion"/>
  </si>
  <si>
    <t>一级原料</t>
    <phoneticPr fontId="1" type="noConversion"/>
  </si>
  <si>
    <t>你的选择</t>
    <phoneticPr fontId="1" type="noConversion"/>
  </si>
  <si>
    <t>你的选择(默认为最少占地)</t>
    <phoneticPr fontId="1" type="noConversion"/>
  </si>
  <si>
    <t>此时方案</t>
    <phoneticPr fontId="1" type="noConversion"/>
  </si>
  <si>
    <t>配方选择</t>
    <phoneticPr fontId="1" type="noConversion"/>
  </si>
  <si>
    <t>直接开采</t>
    <phoneticPr fontId="1" type="noConversion"/>
  </si>
  <si>
    <t>粒子容器</t>
    <phoneticPr fontId="1" type="noConversion"/>
  </si>
  <si>
    <t>重氢</t>
    <phoneticPr fontId="1" type="noConversion"/>
  </si>
  <si>
    <t>粒子容器(高效）</t>
    <phoneticPr fontId="1" type="noConversion"/>
  </si>
  <si>
    <t>粒子容器(低效）</t>
    <phoneticPr fontId="1" type="noConversion"/>
  </si>
  <si>
    <t>1煤矿；0.5s；1增产剂MK1</t>
    <phoneticPr fontId="1" type="noConversion"/>
  </si>
  <si>
    <t>2增产剂MK1，1金刚石；1s；1增产剂MK2</t>
    <phoneticPr fontId="1" type="noConversion"/>
  </si>
  <si>
    <t>2增产剂MK2，1碳纳米管；2s；1增产剂MK3</t>
    <phoneticPr fontId="1" type="noConversion"/>
  </si>
  <si>
    <t>碳纳米管（高效）</t>
    <phoneticPr fontId="1" type="noConversion"/>
  </si>
  <si>
    <t>1铁矿；1.5s；1磁铁</t>
    <phoneticPr fontId="1" type="noConversion"/>
  </si>
  <si>
    <t>2磁铁，1铜块；1s；2磁线圈</t>
    <phoneticPr fontId="1" type="noConversion"/>
  </si>
  <si>
    <t>晶格硅(高效)</t>
    <phoneticPr fontId="1" type="noConversion"/>
  </si>
  <si>
    <t>1分形硅石；1.5s；2晶格硅（制造台）</t>
    <phoneticPr fontId="1" type="noConversion"/>
  </si>
  <si>
    <t>2石矿；2s；1玻璃</t>
    <phoneticPr fontId="1" type="noConversion"/>
  </si>
  <si>
    <t>金刚石(高效)</t>
    <phoneticPr fontId="1" type="noConversion"/>
  </si>
  <si>
    <t>1金伯利；1.5s；2金刚石</t>
    <phoneticPr fontId="1" type="noConversion"/>
  </si>
  <si>
    <t>1钛块，10氢；6s；2液氢燃料棒</t>
    <phoneticPr fontId="1" type="noConversion"/>
  </si>
  <si>
    <t>1钛合金，20重氢，1超级磁场环；12s；2氘核燃料棒</t>
    <phoneticPr fontId="1" type="noConversion"/>
  </si>
  <si>
    <t>制造台+5带</t>
    <phoneticPr fontId="1" type="noConversion"/>
  </si>
  <si>
    <t>12反物质+氢，1湮灭约束球，1钛合金；24s；2反物质燃料棒</t>
    <phoneticPr fontId="1" type="noConversion"/>
  </si>
  <si>
    <t>3铁块；3s；1钢材</t>
    <phoneticPr fontId="1" type="noConversion"/>
  </si>
  <si>
    <t>2铁块，1齿轮，1磁线圈；2s；1电动机</t>
    <phoneticPr fontId="1" type="noConversion"/>
  </si>
  <si>
    <t>2玻璃，2钛块，2水；5s；2钛化玻璃</t>
    <phoneticPr fontId="1" type="noConversion"/>
  </si>
  <si>
    <t>3玻璃；2s；2棱镜</t>
    <phoneticPr fontId="1" type="noConversion"/>
  </si>
  <si>
    <t>1有机晶体，3钛块；4s；1钛晶石</t>
    <phoneticPr fontId="1" type="noConversion"/>
  </si>
  <si>
    <t>2钢材，3铜块；4s；1推进器</t>
    <phoneticPr fontId="1" type="noConversion"/>
  </si>
  <si>
    <t>5钛合金，5电磁涡轮；6s；1加力推进器</t>
    <phoneticPr fontId="1" type="noConversion"/>
  </si>
  <si>
    <t>2粒子容器，2铁块，10重氢；8s；1奇异物质</t>
    <phoneticPr fontId="1" type="noConversion"/>
  </si>
  <si>
    <t>1铁块；1s；1齿轮</t>
    <phoneticPr fontId="1" type="noConversion"/>
  </si>
  <si>
    <t>2电动机，2磁线圈；2s；1电磁涡轮</t>
    <phoneticPr fontId="1" type="noConversion"/>
  </si>
  <si>
    <t>2铁块，1铜块；1s；2电路板</t>
    <phoneticPr fontId="1" type="noConversion"/>
  </si>
  <si>
    <t>4金刚石，1奇异物质；6s；1引力透镜</t>
    <phoneticPr fontId="1" type="noConversion"/>
  </si>
  <si>
    <t>1卡西米尔晶体，2钛化玻璃；12s；1位面过滤器</t>
    <phoneticPr fontId="1" type="noConversion"/>
  </si>
  <si>
    <t>2戴森球组件，4氘核燃料棒，2量子芯片；6s；1小型运载火箭</t>
    <phoneticPr fontId="1" type="noConversion"/>
  </si>
  <si>
    <t>4磁线圈，2棱镜；2s；1电浆激发器</t>
    <phoneticPr fontId="1" type="noConversion"/>
  </si>
  <si>
    <t>2电磁涡轮，3磁铁，1高能石墨；3s；1超级磁场环</t>
    <phoneticPr fontId="1" type="noConversion"/>
  </si>
  <si>
    <t>2碳纳米管，2晶格硅，1塑料；8s；1粒子宽带</t>
    <phoneticPr fontId="1" type="noConversion"/>
  </si>
  <si>
    <t>2电路板；2微晶元件；3s；1处理器</t>
    <phoneticPr fontId="1" type="noConversion"/>
  </si>
  <si>
    <t>卡西米尔晶体（高效）</t>
    <phoneticPr fontId="1" type="noConversion"/>
  </si>
  <si>
    <t>卡西米尔晶体</t>
    <phoneticPr fontId="1" type="noConversion"/>
  </si>
  <si>
    <t>卡西米尔晶体（低效）</t>
    <phoneticPr fontId="1" type="noConversion"/>
  </si>
  <si>
    <t>1钛晶石，2石墨烯，12氢；4s；1卡西米尔晶体</t>
    <phoneticPr fontId="1" type="noConversion"/>
  </si>
  <si>
    <t>2电磁涡轮、2铜块、2石墨烯；4s；1粒子容器</t>
    <phoneticPr fontId="1" type="noConversion"/>
  </si>
  <si>
    <t>10单极磁石、2铜块；4s；1粒子容器</t>
    <phoneticPr fontId="1" type="noConversion"/>
  </si>
  <si>
    <t>空间翘曲器（高效）</t>
    <phoneticPr fontId="1" type="noConversion"/>
  </si>
  <si>
    <t>1引力矩阵；10s；8空间翘曲器</t>
    <phoneticPr fontId="1" type="noConversion"/>
  </si>
  <si>
    <t>1粒子容器，1处理器；20s；1湮灭约束球</t>
    <phoneticPr fontId="1" type="noConversion"/>
  </si>
  <si>
    <t>1石墨烯、1光子合并器；4s；2太阳帆</t>
    <phoneticPr fontId="1" type="noConversion"/>
  </si>
  <si>
    <t>4碳纳米管，1钛合金，1高纯硅块；6s；1框架材料</t>
    <phoneticPr fontId="1" type="noConversion"/>
  </si>
  <si>
    <t>3框架材料，3太阳帆，3处理器；8s；1戴森球组件</t>
    <phoneticPr fontId="1" type="noConversion"/>
  </si>
  <si>
    <t>光子合并器(高效)</t>
    <phoneticPr fontId="1" type="noConversion"/>
  </si>
  <si>
    <t>1光栅石，1电路板；3s；1光子合并器</t>
    <phoneticPr fontId="1" type="noConversion"/>
  </si>
  <si>
    <t>2高纯硅块，1铜块；2s；1微晶元件</t>
    <phoneticPr fontId="1" type="noConversion"/>
  </si>
  <si>
    <t>2处理器，2位面过滤器；6s；1量子芯片</t>
    <phoneticPr fontId="1" type="noConversion"/>
  </si>
  <si>
    <t>0.1引力透镜；60s；12高能光子</t>
    <phoneticPr fontId="1" type="noConversion"/>
  </si>
  <si>
    <t>2高能光子；2s；2反物质，2氢</t>
    <phoneticPr fontId="1" type="noConversion"/>
  </si>
  <si>
    <t>1磁线圈，1电路板；3s；1电磁矩阵</t>
    <phoneticPr fontId="1" type="noConversion"/>
  </si>
  <si>
    <t>2高能石墨，2氢；6s；1能量矩阵</t>
    <phoneticPr fontId="1" type="noConversion"/>
  </si>
  <si>
    <t>1金刚石，1钛晶石；8s；1结构矩阵</t>
    <phoneticPr fontId="1" type="noConversion"/>
  </si>
  <si>
    <t>2处理器，1粒子宽带；10s；1信息矩阵</t>
    <phoneticPr fontId="1" type="noConversion"/>
  </si>
  <si>
    <t>1量子芯片，1引力透镜；24s；2引力矩阵</t>
    <phoneticPr fontId="1" type="noConversion"/>
  </si>
  <si>
    <t>1反物质，1各矩阵；15s；1宇宙矩阵</t>
    <phoneticPr fontId="1" type="noConversion"/>
  </si>
  <si>
    <t>2可燃冰；2s；2石墨烯，1氢</t>
    <phoneticPr fontId="1" type="noConversion"/>
  </si>
  <si>
    <t>2原油；4s；2精炼油，1氢</t>
    <phoneticPr fontId="1" type="noConversion"/>
  </si>
  <si>
    <t>光子合并器(低效)</t>
    <phoneticPr fontId="1" type="noConversion"/>
  </si>
  <si>
    <t>2棱镜，1电路板；3s；1光子合并器</t>
    <phoneticPr fontId="1" type="noConversion"/>
  </si>
  <si>
    <t>重氢(对撞机）</t>
    <phoneticPr fontId="1" type="noConversion"/>
  </si>
  <si>
    <t>分馏塔</t>
    <phoneticPr fontId="1" type="noConversion"/>
  </si>
  <si>
    <t>补氢占地</t>
    <phoneticPr fontId="1" type="noConversion"/>
  </si>
  <si>
    <t>总占地</t>
    <phoneticPr fontId="1" type="noConversion"/>
  </si>
  <si>
    <t>平均单台产出</t>
    <phoneticPr fontId="1" type="noConversion"/>
  </si>
  <si>
    <t>总产出</t>
    <phoneticPr fontId="1" type="noConversion"/>
  </si>
  <si>
    <t>平均单位面积产出</t>
    <phoneticPr fontId="1" type="noConversion"/>
  </si>
  <si>
    <t>3.96MW</t>
    <phoneticPr fontId="1" type="noConversion"/>
  </si>
  <si>
    <t>2.88MW</t>
    <phoneticPr fontId="1" type="noConversion"/>
  </si>
  <si>
    <t>1.80MW</t>
    <phoneticPr fontId="1" type="noConversion"/>
  </si>
  <si>
    <t>0.72MW</t>
    <phoneticPr fontId="1" type="noConversion"/>
  </si>
  <si>
    <t>流速/27.78-0.36</t>
    <phoneticPr fontId="1" type="noConversion"/>
  </si>
  <si>
    <t>平均流速</t>
    <phoneticPr fontId="1" type="noConversion"/>
  </si>
  <si>
    <t>平均单台占地</t>
    <phoneticPr fontId="1" type="noConversion"/>
  </si>
  <si>
    <t>1氢；1s；1重氢</t>
    <phoneticPr fontId="1" type="noConversion"/>
  </si>
  <si>
    <t>10氢；2.5s；5重氢</t>
    <phoneticPr fontId="1" type="noConversion"/>
  </si>
  <si>
    <t>不可使用</t>
    <phoneticPr fontId="1" type="noConversion"/>
  </si>
  <si>
    <t>无</t>
    <phoneticPr fontId="1" type="noConversion"/>
  </si>
  <si>
    <t>低效(分馏塔、无透镜)</t>
    <phoneticPr fontId="1" type="noConversion"/>
  </si>
  <si>
    <t>高效(对撞机，有透镜)</t>
    <phoneticPr fontId="1" type="noConversion"/>
  </si>
  <si>
    <t>常用二、三级原料与绿马达</t>
    <phoneticPr fontId="1" type="noConversion"/>
  </si>
  <si>
    <t>高级产物、消耗品与推进器</t>
    <phoneticPr fontId="1" type="noConversion"/>
  </si>
  <si>
    <t>你选择的值</t>
    <phoneticPr fontId="1" type="noConversion"/>
  </si>
  <si>
    <t>此配方下实际值(带产线）</t>
    <phoneticPr fontId="1" type="noConversion"/>
  </si>
  <si>
    <t>仅计算发电厂的大小</t>
    <phoneticPr fontId="1" type="noConversion"/>
  </si>
  <si>
    <t>你所选择的发电方式</t>
    <phoneticPr fontId="1" type="noConversion"/>
  </si>
  <si>
    <t>抽水机</t>
    <phoneticPr fontId="1" type="noConversion"/>
  </si>
  <si>
    <t>定义值(需手动从左边两种模式中选择一个数值输入）</t>
    <phoneticPr fontId="1" type="noConversion"/>
  </si>
  <si>
    <t>钛晶石（有机默认为矿物）</t>
    <phoneticPr fontId="1" type="noConversion"/>
  </si>
  <si>
    <t>光子合并器</t>
    <phoneticPr fontId="1" type="noConversion"/>
  </si>
  <si>
    <t>高能光子</t>
    <phoneticPr fontId="1" type="noConversion"/>
  </si>
  <si>
    <t>不可使用</t>
    <phoneticPr fontId="1" type="noConversion"/>
  </si>
  <si>
    <t>串联台数</t>
    <phoneticPr fontId="1" type="noConversion"/>
  </si>
  <si>
    <t>分馏计算（加速）(产出单位：个/s）</t>
    <phoneticPr fontId="1" type="noConversion"/>
  </si>
  <si>
    <t>研究站+3带</t>
    <phoneticPr fontId="1" type="noConversion"/>
  </si>
  <si>
    <t>研究站+1带</t>
    <phoneticPr fontId="1" type="noConversion"/>
  </si>
  <si>
    <t>研究站+7带</t>
    <phoneticPr fontId="1" type="noConversion"/>
  </si>
  <si>
    <t>串联6塔平均单塔耗电</t>
    <phoneticPr fontId="1" type="noConversion"/>
  </si>
  <si>
    <t>不计算增产剂占地</t>
    <phoneticPr fontId="1" type="noConversion"/>
  </si>
  <si>
    <t>极密铺情况下占地面积</t>
    <phoneticPr fontId="1" type="noConversion"/>
  </si>
  <si>
    <t>分馏塔（串6台）</t>
    <phoneticPr fontId="1" type="noConversion"/>
  </si>
  <si>
    <t>仅使用虚空带</t>
    <phoneticPr fontId="1" type="noConversion"/>
  </si>
  <si>
    <t>预设工厂面积参考</t>
    <phoneticPr fontId="1" type="noConversion"/>
  </si>
  <si>
    <t>不使用密铺技巧</t>
    <phoneticPr fontId="1" type="noConversion"/>
  </si>
  <si>
    <t>不可使用</t>
    <phoneticPr fontId="1" type="noConversion"/>
  </si>
  <si>
    <t>流速（/s）、耗电转换公式（MW）（流速30以上时）</t>
    <phoneticPr fontId="1" type="noConversion"/>
  </si>
  <si>
    <t>分馏塔（每秒转速、此时耗电）</t>
    <phoneticPr fontId="1" type="noConversion"/>
  </si>
  <si>
    <t>8硫酸，4钢材，4钛块；12s；4钛合金</t>
    <phoneticPr fontId="1" type="noConversion"/>
  </si>
  <si>
    <t>与上纬度带格宽比</t>
    <phoneticPr fontId="1" type="noConversion"/>
  </si>
  <si>
    <t xml:space="preserve"> 沿纬线格数</t>
    <phoneticPr fontId="1" type="noConversion"/>
  </si>
  <si>
    <t>沿经线格数</t>
    <phoneticPr fontId="1" type="noConversion"/>
  </si>
  <si>
    <t>总计经线格数</t>
    <phoneticPr fontId="1" type="noConversion"/>
  </si>
  <si>
    <t>总格数</t>
    <phoneticPr fontId="1" type="noConversion"/>
  </si>
  <si>
    <t>星球总格数</t>
    <phoneticPr fontId="1" type="noConversion"/>
  </si>
  <si>
    <t>分馏塔</t>
    <phoneticPr fontId="1" type="noConversion"/>
  </si>
  <si>
    <t>/</t>
    <phoneticPr fontId="1" type="noConversion"/>
  </si>
  <si>
    <t>6个一串联，算上补氢占地，平均单台17</t>
    <phoneticPr fontId="1" type="noConversion"/>
  </si>
  <si>
    <t>已加速</t>
    <phoneticPr fontId="1" type="noConversion"/>
  </si>
  <si>
    <t>星球类型：</t>
  </si>
  <si>
    <t>大气高度</t>
  </si>
  <si>
    <t>贫瘠荒漠</t>
  </si>
  <si>
    <t>灰烬冻土</t>
  </si>
  <si>
    <t>冰原冻土</t>
  </si>
  <si>
    <t>火山灰、干旱荒漠</t>
  </si>
  <si>
    <t>加成系数i</t>
    <phoneticPr fontId="1" type="noConversion"/>
  </si>
  <si>
    <t>太阳高度角-90°</t>
    <phoneticPr fontId="1" type="noConversion"/>
  </si>
  <si>
    <t>接收站射线强度公式：strenth=[(v1·v2)+k*0.8+i]*6+0.5 , strenth∈[0,1]</t>
  </si>
  <si>
    <t>其中：</t>
  </si>
  <si>
    <t>v1·v2为行星中心分别到太阳中心与射线接受站位置方向的单位向量的点积，值同sin(θ)，θ为射线接收站所在地的太阳高度角</t>
  </si>
  <si>
    <t>k为戴森球半径与行星轨道半径之比（戴森球半径为max{戴森壳半径，0.75*戴森云最大半径+0.25*戴森云平均半径}）</t>
  </si>
  <si>
    <t>i为接收站透镜加成系数</t>
  </si>
  <si>
    <t>接收站透镜加成系数公式：</t>
  </si>
  <si>
    <t>电离层（大气圈）有效半径：R=r+h*0.6</t>
  </si>
  <si>
    <t>全球全天暖机最低壳轨半径比</t>
    <phoneticPr fontId="1" type="noConversion"/>
  </si>
  <si>
    <t>星球类型</t>
    <phoneticPr fontId="1" type="noConversion"/>
  </si>
  <si>
    <t>其它星球</t>
    <phoneticPr fontId="1" type="noConversion"/>
  </si>
  <si>
    <t>输入戴森壳半径(m)：</t>
    <phoneticPr fontId="1" type="noConversion"/>
  </si>
  <si>
    <t>输入行星轨道半径(au)：</t>
    <phoneticPr fontId="1" type="noConversion"/>
  </si>
  <si>
    <t>接收范围计算器</t>
    <phoneticPr fontId="1" type="noConversion"/>
  </si>
  <si>
    <t>其它</t>
    <phoneticPr fontId="1" type="noConversion"/>
  </si>
  <si>
    <t>暖机最低太阳高度角</t>
    <phoneticPr fontId="1" type="noConversion"/>
  </si>
  <si>
    <t>全功率最低太阳高度角</t>
    <phoneticPr fontId="1" type="noConversion"/>
  </si>
  <si>
    <t>注：此为带透镜时的高</t>
    <phoneticPr fontId="1" type="noConversion"/>
  </si>
  <si>
    <t>度角，若想计算无透镜</t>
  </si>
  <si>
    <t>时的高度角，则全当做</t>
    <phoneticPr fontId="1" type="noConversion"/>
  </si>
  <si>
    <t>是贫瘠荒漠看待</t>
    <phoneticPr fontId="1" type="noConversion"/>
  </si>
  <si>
    <t>全长</t>
    <phoneticPr fontId="1" type="noConversion"/>
  </si>
  <si>
    <t>7.3463668&lt;x&lt;7.34806152153</t>
    <phoneticPr fontId="1" type="noConversion"/>
  </si>
  <si>
    <t>总产出(/s)</t>
    <phoneticPr fontId="1" type="noConversion"/>
  </si>
  <si>
    <t>总产出（/min）</t>
    <phoneticPr fontId="5" type="noConversion"/>
  </si>
  <si>
    <t>MW</t>
    <phoneticPr fontId="1" type="noConversion"/>
  </si>
  <si>
    <t>星际间物流往返1趟的耗电量计算公式：</t>
  </si>
  <si>
    <t>若启用曲速，则额外消耗100MJ的电量</t>
  </si>
  <si>
    <t xml:space="preserve">       假设两颗星球的距离为d（单位：ly），则：</t>
    <phoneticPr fontId="1" type="noConversion"/>
  </si>
  <si>
    <t>注：此为运输船速度在&gt;平飞3000m/s,曲速0.25ly/s时的计算公式，若物流速度科技低于此，则此分段函数的分界点略低于</t>
    <phoneticPr fontId="1" type="noConversion"/>
  </si>
  <si>
    <t>游戏源码逻辑：</t>
    <phoneticPr fontId="1" type="noConversion"/>
  </si>
  <si>
    <t>num(可以当做飞船在此距离内加减速时达到的最大速度)=距离*0.03+100</t>
    <phoneticPr fontId="1" type="noConversion"/>
  </si>
  <si>
    <t>如果：num &gt; 飞船速度科技中的最大速度</t>
    <phoneticPr fontId="1" type="noConversion"/>
  </si>
  <si>
    <t>则：num=飞船速度科技中的最大速度</t>
    <phoneticPr fontId="1" type="noConversion"/>
  </si>
  <si>
    <t>如果：num &gt; 3000</t>
    <phoneticPr fontId="1" type="noConversion"/>
  </si>
  <si>
    <t>则：num=3000</t>
    <phoneticPr fontId="1" type="noConversion"/>
  </si>
  <si>
    <t>num2(可以当做时飞船在加减速过程中的耗电)=200000*num</t>
    <phoneticPr fontId="1" type="noConversion"/>
  </si>
  <si>
    <t>则：num2=num2+100000000(可以认为是只要使用了翘曲器就需要额外消耗100MJ的电量)</t>
    <phoneticPr fontId="1" type="noConversion"/>
  </si>
  <si>
    <t>如果：物流塔满足可以让飞船曲速的条件(解锁曲速科技且塔中有2个以上翘曲器)且距离&gt;翘曲器启用距离</t>
    <phoneticPr fontId="1" type="noConversion"/>
  </si>
  <si>
    <t>最终耗电量：6000000+30*距离+num2</t>
    <phoneticPr fontId="1" type="noConversion"/>
  </si>
  <si>
    <t>注：以上距离单位为米，速度单位为米/秒，耗电量单位为J</t>
    <phoneticPr fontId="1" type="noConversion"/>
  </si>
  <si>
    <t>分馏计算（不加速）(产出单位：个/s）</t>
    <phoneticPr fontId="1" type="noConversion"/>
  </si>
  <si>
    <t>（算上物流塔全球5806锅的平均占地）</t>
    <phoneticPr fontId="1" type="noConversion"/>
  </si>
  <si>
    <t>单球黑盒最高产出</t>
    <phoneticPr fontId="5" type="noConversion"/>
  </si>
  <si>
    <t>/min</t>
    <phoneticPr fontId="5" type="noConversion"/>
  </si>
  <si>
    <t>戴森云轨道设置与弹射器轨道选取建议：</t>
    <phoneticPr fontId="1" type="noConversion"/>
  </si>
  <si>
    <t>基础：弹射器满足发射条件的俯仰角范围：5°~60°</t>
    <phoneticPr fontId="1" type="noConversion"/>
  </si>
  <si>
    <t>弹射器的目标点位置：(戴森云轨道法向量(右手定则)×地→日向量) 得到的向量与戴森云轨道的交点</t>
    <phoneticPr fontId="1" type="noConversion"/>
  </si>
  <si>
    <t>目标点离星球越远，可工作弹射器的范围越广，目标点无穷远时，可工作弹射器的覆盖范围相当于星球纬度30°~85°的区域面积的区域</t>
    <phoneticPr fontId="1" type="noConversion"/>
  </si>
  <si>
    <t>故对于正常游戏的轨道弹射器，应放在尽量远的行星上</t>
    <phoneticPr fontId="1" type="noConversion"/>
  </si>
  <si>
    <t>而如果使用了自动选择轨道mod，应将弹射器放在轨道尽量内侧的行星上，以获得更广的全目标点覆盖范围</t>
    <phoneticPr fontId="1" type="noConversion"/>
  </si>
  <si>
    <t>无论是用mod还是正常游戏，都建议将太阳帆的轨道半径设置为最大，因为这样覆盖面积更广，不同轨道的重复覆盖区域差异也更大</t>
    <phoneticPr fontId="1" type="noConversion"/>
  </si>
  <si>
    <t>如果是潮汐锁定，可以直接根据覆盖范围设置永久弹射区域，考虑到潮汐锁定星球轨道半径一般较小可以参照如下设置：</t>
    <phoneticPr fontId="1" type="noConversion"/>
  </si>
  <si>
    <t>太阳帆轨道1</t>
    <phoneticPr fontId="1" type="noConversion"/>
  </si>
  <si>
    <t>太阳帆轨道2</t>
  </si>
  <si>
    <t>太阳帆轨道3</t>
  </si>
  <si>
    <t>太阳帆轨道4</t>
  </si>
  <si>
    <t>倾角</t>
    <phoneticPr fontId="1" type="noConversion"/>
  </si>
  <si>
    <t>升交点经度</t>
    <phoneticPr fontId="1" type="noConversion"/>
  </si>
  <si>
    <t>0°</t>
    <phoneticPr fontId="1" type="noConversion"/>
  </si>
  <si>
    <t>90°</t>
    <phoneticPr fontId="1" type="noConversion"/>
  </si>
  <si>
    <t>180°</t>
    <phoneticPr fontId="1" type="noConversion"/>
  </si>
  <si>
    <t>轨道半径均为最大值</t>
    <phoneticPr fontId="1" type="noConversion"/>
  </si>
  <si>
    <t>DYBP:0,637875412678010558,0.9.25.12077,3,0"H4sIAAAAAAAAC9WRPUsDQRCGNxrjR+J3mkMCVrYRV+3cFRMxYsA06QXhigQxtY3BP5BCMMTUkjKaiFXYtVAwuVjHXrGOCLY6+3HBXfAHODDHzTwz7+69hxBC3zrgFQXEo0lTSMdncI1DUtkfsmCnt8BXnT0FhzV8/ArRwmuct3tVhh2PSBjU8AHgMUCvVyXrjsckHLFkE7E6a5QKSjakYSIWJ41Sn+3UyiyczSg4qmGqViaRbIZvxeLsptRXZ44NNuuwWeBP+eJKK7fclHBcQ5AjIMeTIH8L8hJOaOg3/SEJwxoKV4Q7h/dBDKlkIxoKV4Q7px9RfHH+1pBwUkP4cAIGMDCCgiFKdmqw6ZGOgly4JeG0hsKVJLgDn4Hb+aKSndFQuAJGMLgx2QYjJJzV0G/6QxLOadjKXTfbeYR9eQnnB2f2SVJtcuGzhFENwXS6C3JgOhN/KLCI/ooi9fO5m94w665RX1YcYs0bNSQx5ytGjXHT2u+S3z3Xfbf0EDXnI9S6j1G77hI1z8PU1Nu09NJGHb47MOqXsyOjvto/sfT+V/wAFasFjFQEAAA="E0859E81A496EDBDFC6D62BE8AC4776C</t>
  </si>
  <si>
    <t>自选轨道mod推荐戴森云蓝图：</t>
    <phoneticPr fontId="1" type="noConversion"/>
  </si>
  <si>
    <t>翻转太阳帆朝向公式：</t>
    <phoneticPr fontId="1" type="noConversion"/>
  </si>
  <si>
    <t>轨道倾角=180°-原倾角</t>
    <phoneticPr fontId="1" type="noConversion"/>
  </si>
  <si>
    <t>升交点经度=180°+原经度</t>
    <phoneticPr fontId="1" type="noConversion"/>
  </si>
  <si>
    <t>重氢(加速分馏塔)</t>
    <phoneticPr fontId="1" type="noConversion"/>
  </si>
  <si>
    <t>星球内往返1趟耗电量计算公式：</t>
    <phoneticPr fontId="1" type="noConversion"/>
  </si>
  <si>
    <t>设两座物流塔与地心连线的夹角为θ(弧度制),则：</t>
    <phoneticPr fontId="1" type="noConversion"/>
  </si>
  <si>
    <t>耗电量W(单位：MJ)=0.8+0.04S</t>
    <phoneticPr fontId="1" type="noConversion"/>
  </si>
  <si>
    <t>目前情况下，耗电量的计算公式可以看做是：W=0.8+9*θ或W=0.8+0.15708*两地测地线的弧长所跨的角度(角度制)</t>
    <phoneticPr fontId="1" type="noConversion"/>
  </si>
  <si>
    <t>运输机的飞行距离S=θ*(R1+R2)/2, 其中R1、R2分布为两座物流塔顶到地心的距离(高度)</t>
    <phoneticPr fontId="1" type="noConversion"/>
  </si>
  <si>
    <t>建筑偏移+无虚空带</t>
    <phoneticPr fontId="1" type="noConversion"/>
  </si>
  <si>
    <t>设备性能占用</t>
    <phoneticPr fontId="1" type="noConversion"/>
  </si>
  <si>
    <t>传送带占用约</t>
    <phoneticPr fontId="1" type="noConversion"/>
  </si>
  <si>
    <t>每20buffer</t>
    <phoneticPr fontId="1" type="noConversion"/>
  </si>
  <si>
    <t>分拣器占用约</t>
    <phoneticPr fontId="1" type="noConversion"/>
  </si>
  <si>
    <t>每个</t>
    <phoneticPr fontId="1" type="noConversion"/>
  </si>
  <si>
    <t>电杆、卫星杆</t>
    <phoneticPr fontId="1" type="noConversion"/>
  </si>
  <si>
    <t>工厂占用约</t>
    <phoneticPr fontId="1" type="noConversion"/>
  </si>
  <si>
    <t>不偏移最优铺法算上带子的占用估算</t>
    <phoneticPr fontId="1" type="noConversion"/>
  </si>
  <si>
    <t>开曲速</t>
    <phoneticPr fontId="1" type="noConversion"/>
  </si>
  <si>
    <t>最终产量 = 总产出 - 供电消耗</t>
    <phoneticPr fontId="1" type="noConversion"/>
  </si>
  <si>
    <t>例：</t>
    <phoneticPr fontId="1" type="noConversion"/>
  </si>
  <si>
    <t>物品热值：氢 9MJ     可燃冰 4.8MJ</t>
    <phoneticPr fontId="1" type="noConversion"/>
  </si>
  <si>
    <t>采矿科技速率加成：150%</t>
    <phoneticPr fontId="1" type="noConversion"/>
  </si>
  <si>
    <t>则最终产出 = 8 * ( 1, 0.5 ) * 1.5 - 30 * ( 1,  0.5 ) / ( 1 * 9 + 0.5 * 4.8)</t>
    <phoneticPr fontId="1" type="noConversion"/>
  </si>
  <si>
    <t>=( 9.368421,4.684211)</t>
    <phoneticPr fontId="1" type="noConversion"/>
  </si>
  <si>
    <t>行星面板：氢 1/s      可燃冰 0.5/s</t>
    <phoneticPr fontId="1" type="noConversion"/>
  </si>
  <si>
    <t>即最终产出：氢 9.368/s      可燃冰 4.684/s</t>
    <phoneticPr fontId="1" type="noConversion"/>
  </si>
  <si>
    <t>采集器产量计算器</t>
    <phoneticPr fontId="1" type="noConversion"/>
  </si>
  <si>
    <t>参数输入：</t>
    <phoneticPr fontId="1" type="noConversion"/>
  </si>
  <si>
    <t>采矿科技速率</t>
    <phoneticPr fontId="1" type="noConversion"/>
  </si>
  <si>
    <t>总产出 = 8 * 巨星产出面板 * 科技采矿速率加成</t>
    <phoneticPr fontId="1" type="noConversion"/>
  </si>
  <si>
    <t>供电消耗 = 30MW*巨星产出面板/Σ(物品的产出面板*物品热值)</t>
    <phoneticPr fontId="1" type="noConversion"/>
  </si>
  <si>
    <t>巨星产出面板1(氢)</t>
    <phoneticPr fontId="1" type="noConversion"/>
  </si>
  <si>
    <t>巨星产出面板2(重氢/可燃冰)</t>
    <phoneticPr fontId="1" type="noConversion"/>
  </si>
  <si>
    <t>热值（MJ）</t>
    <phoneticPr fontId="1" type="noConversion"/>
  </si>
  <si>
    <t>氢</t>
    <phoneticPr fontId="1" type="noConversion"/>
  </si>
  <si>
    <t>可燃冰</t>
    <phoneticPr fontId="1" type="noConversion"/>
  </si>
  <si>
    <t>气巨产出</t>
  </si>
  <si>
    <t>气巨产出</t>
    <phoneticPr fontId="1" type="noConversion"/>
  </si>
  <si>
    <t>冰巨产出</t>
  </si>
  <si>
    <t>冰巨产出</t>
    <phoneticPr fontId="1" type="noConversion"/>
  </si>
  <si>
    <t>产出1（氢）</t>
  </si>
  <si>
    <t>产出1（氢）</t>
    <phoneticPr fontId="1" type="noConversion"/>
  </si>
  <si>
    <t>产出2（重氢/可燃冰）</t>
  </si>
  <si>
    <t>产出2（重氢/可燃冰）</t>
    <phoneticPr fontId="1" type="noConversion"/>
  </si>
  <si>
    <t>每秒产出</t>
    <phoneticPr fontId="1" type="noConversion"/>
  </si>
  <si>
    <t>每分钟产出</t>
    <phoneticPr fontId="1" type="noConversion"/>
  </si>
  <si>
    <t>但是考虑到目标点距离越远，发射后入轨前的太阳帆缓存队列越长，再加上游戏内目标点距离已经十分远，再拉远对覆盖面积的影响也不大。正常游戏时尽可能减小太阳帆和轨道半径能在发射速度不明显下降的情况下较大程度的减少游戏运行时的算力需求，故还是建议将弹射器放在稍近一点的行星，太阳帆轨道半径尽量小</t>
    <phoneticPr fontId="1" type="noConversion"/>
  </si>
  <si>
    <t>分馏105k</t>
    <phoneticPr fontId="1" type="noConversion"/>
  </si>
  <si>
    <t>对撞103k</t>
    <phoneticPr fontId="1" type="noConversion"/>
  </si>
  <si>
    <t>传送带</t>
    <phoneticPr fontId="1" type="noConversion"/>
  </si>
  <si>
    <t>分流器</t>
    <phoneticPr fontId="1" type="noConversion"/>
  </si>
  <si>
    <t>货物</t>
    <phoneticPr fontId="1" type="noConversion"/>
  </si>
  <si>
    <t>分拣器</t>
    <phoneticPr fontId="1" type="noConversion"/>
  </si>
  <si>
    <t>电力</t>
    <phoneticPr fontId="1" type="noConversion"/>
  </si>
  <si>
    <t>各类设施</t>
    <phoneticPr fontId="1" type="noConversion"/>
  </si>
  <si>
    <t>仓储</t>
    <phoneticPr fontId="1" type="noConversion"/>
  </si>
  <si>
    <t>物流运输</t>
    <phoneticPr fontId="1" type="noConversion"/>
  </si>
  <si>
    <t>差值</t>
    <phoneticPr fontId="1" type="noConversion"/>
  </si>
  <si>
    <t>合计</t>
    <phoneticPr fontId="1" type="noConversion"/>
  </si>
  <si>
    <t>注：测试数据使用沙盒物本地物流塔锁定供氢，op60TW小太阳</t>
    <phoneticPr fontId="1" type="noConversion"/>
  </si>
  <si>
    <t>在实际使用过程中同产量分馏耗电更低，且氢气来源往往是轨道采集器，故而对撞机撞重氢在实际应用中也需要额外的算力开销：一是更多耗电导致的对戴森球、接收站及其消耗透镜的工厂、黑棒工厂、运输、小太阳的额外需求；二是从采集器取氢的更多星际物流的需求。所以实际使用时二者对于电脑算力的需求可能相去不远</t>
    <phoneticPr fontId="1" type="noConversion"/>
  </si>
  <si>
    <t>电磁学</t>
    <phoneticPr fontId="1" type="noConversion"/>
  </si>
  <si>
    <t>发动机</t>
    <phoneticPr fontId="1" type="noConversion"/>
  </si>
  <si>
    <t>蓝</t>
    <phoneticPr fontId="1" type="noConversion"/>
  </si>
  <si>
    <t>红</t>
    <phoneticPr fontId="1" type="noConversion"/>
  </si>
  <si>
    <t>黄</t>
    <phoneticPr fontId="1" type="noConversion"/>
  </si>
  <si>
    <t>紫</t>
    <phoneticPr fontId="1" type="noConversion"/>
  </si>
  <si>
    <t>绿</t>
    <phoneticPr fontId="1" type="noConversion"/>
  </si>
  <si>
    <t>白</t>
    <phoneticPr fontId="1" type="noConversion"/>
  </si>
  <si>
    <t>基础制造工艺</t>
    <phoneticPr fontId="1" type="noConversion"/>
  </si>
  <si>
    <t>流体储存</t>
    <phoneticPr fontId="1" type="noConversion"/>
  </si>
  <si>
    <t>高效电浆</t>
    <phoneticPr fontId="1" type="noConversion"/>
  </si>
  <si>
    <t>电磁驱动</t>
    <phoneticPr fontId="1" type="noConversion"/>
  </si>
  <si>
    <t>自动化冶金</t>
    <phoneticPr fontId="1" type="noConversion"/>
  </si>
  <si>
    <t>基础物流</t>
    <phoneticPr fontId="1" type="noConversion"/>
  </si>
  <si>
    <t>太阳能收集</t>
    <phoneticPr fontId="1" type="noConversion"/>
  </si>
  <si>
    <t>光子变频</t>
    <phoneticPr fontId="1" type="noConversion"/>
  </si>
  <si>
    <t>太阳帆轨道系统</t>
    <phoneticPr fontId="1" type="noConversion"/>
  </si>
  <si>
    <t>行星电离层利用</t>
    <phoneticPr fontId="1" type="noConversion"/>
  </si>
  <si>
    <t>狄拉克逆变</t>
    <phoneticPr fontId="1" type="noConversion"/>
  </si>
  <si>
    <t>半导体材料</t>
    <phoneticPr fontId="1" type="noConversion"/>
  </si>
  <si>
    <t>等离子萃取精炼</t>
    <phoneticPr fontId="1" type="noConversion"/>
  </si>
  <si>
    <t>基础化工</t>
    <phoneticPr fontId="1" type="noConversion"/>
  </si>
  <si>
    <t>冶炼提纯</t>
    <phoneticPr fontId="1" type="noConversion"/>
  </si>
  <si>
    <t>晶体冶炼</t>
    <phoneticPr fontId="1" type="noConversion"/>
  </si>
  <si>
    <t>超级磁场发生器</t>
    <phoneticPr fontId="1" type="noConversion"/>
  </si>
  <si>
    <t>磁悬浮技术</t>
    <phoneticPr fontId="1" type="noConversion"/>
  </si>
  <si>
    <t>引力波折射</t>
    <phoneticPr fontId="1" type="noConversion"/>
  </si>
  <si>
    <t>粒子磁力阱</t>
    <phoneticPr fontId="1" type="noConversion"/>
  </si>
  <si>
    <t>微型粒子对撞机</t>
    <phoneticPr fontId="1" type="noConversion"/>
  </si>
  <si>
    <t>高分子化工</t>
    <phoneticPr fontId="1" type="noConversion"/>
  </si>
  <si>
    <t>高强度晶体</t>
    <phoneticPr fontId="1" type="noConversion"/>
  </si>
  <si>
    <t>应用型导体</t>
    <phoneticPr fontId="1" type="noConversion"/>
  </si>
  <si>
    <t>高强度材料</t>
    <phoneticPr fontId="1" type="noConversion"/>
  </si>
  <si>
    <t>高强度玻璃</t>
    <phoneticPr fontId="1" type="noConversion"/>
  </si>
  <si>
    <t>波函数干扰</t>
    <phoneticPr fontId="1" type="noConversion"/>
  </si>
  <si>
    <t>粒子可控技术</t>
    <phoneticPr fontId="1" type="noConversion"/>
  </si>
  <si>
    <t>任务完成</t>
    <phoneticPr fontId="1" type="noConversion"/>
  </si>
  <si>
    <t>钢材冶炼</t>
    <phoneticPr fontId="1" type="noConversion"/>
  </si>
  <si>
    <t>钛矿冶炼</t>
    <phoneticPr fontId="1" type="noConversion"/>
  </si>
  <si>
    <t>机甲核心1</t>
    <phoneticPr fontId="1" type="noConversion"/>
  </si>
  <si>
    <t>机甲核心2</t>
    <phoneticPr fontId="1" type="noConversion"/>
  </si>
  <si>
    <t>驱动引擎1</t>
    <phoneticPr fontId="1" type="noConversion"/>
  </si>
  <si>
    <t>驱动引擎2</t>
    <phoneticPr fontId="1" type="noConversion"/>
  </si>
  <si>
    <t>煤矿</t>
    <phoneticPr fontId="1" type="noConversion"/>
  </si>
  <si>
    <t>批量建造1</t>
    <phoneticPr fontId="1" type="noConversion"/>
  </si>
  <si>
    <t>火力发电</t>
    <phoneticPr fontId="1" type="noConversion"/>
  </si>
  <si>
    <t>重氢分馏</t>
    <phoneticPr fontId="1" type="noConversion"/>
  </si>
  <si>
    <t>高强度钛合金</t>
    <phoneticPr fontId="1" type="noConversion"/>
  </si>
  <si>
    <t>微型核聚变发电</t>
    <phoneticPr fontId="1" type="noConversion"/>
  </si>
  <si>
    <t>总计</t>
    <phoneticPr fontId="1" type="noConversion"/>
  </si>
  <si>
    <t>改良物流</t>
    <phoneticPr fontId="1" type="noConversion"/>
  </si>
  <si>
    <t>高效物流</t>
    <phoneticPr fontId="1" type="noConversion"/>
  </si>
  <si>
    <t>氢燃料棒</t>
    <phoneticPr fontId="1" type="noConversion"/>
  </si>
  <si>
    <t>行星物流</t>
    <phoneticPr fontId="1" type="noConversion"/>
  </si>
  <si>
    <t>星际物流</t>
    <phoneticPr fontId="1" type="noConversion"/>
  </si>
  <si>
    <t>垂直建造1</t>
    <phoneticPr fontId="1" type="noConversion"/>
  </si>
  <si>
    <t>能量储存</t>
    <phoneticPr fontId="1" type="noConversion"/>
  </si>
  <si>
    <t>星际电力运输</t>
    <phoneticPr fontId="1" type="noConversion"/>
  </si>
  <si>
    <t>高强度钛金</t>
    <phoneticPr fontId="1" type="noConversion"/>
  </si>
  <si>
    <t>气态行星开采</t>
    <phoneticPr fontId="1" type="noConversion"/>
  </si>
  <si>
    <t>机甲核心3</t>
    <phoneticPr fontId="1" type="noConversion"/>
  </si>
  <si>
    <t>机甲核心4</t>
    <phoneticPr fontId="1" type="noConversion"/>
  </si>
  <si>
    <t>驱动引擎3</t>
    <phoneticPr fontId="1" type="noConversion"/>
  </si>
  <si>
    <t>驱动引擎4</t>
    <phoneticPr fontId="1" type="noConversion"/>
  </si>
  <si>
    <t>射线传输效率1</t>
    <phoneticPr fontId="1" type="noConversion"/>
  </si>
  <si>
    <t>射线传输效率2</t>
    <phoneticPr fontId="1" type="noConversion"/>
  </si>
  <si>
    <t>射线传输效率3</t>
    <phoneticPr fontId="1" type="noConversion"/>
  </si>
  <si>
    <t>6刺笋结晶；4s；2碳纳米管</t>
    <phoneticPr fontId="1" type="noConversion"/>
  </si>
  <si>
    <t>8光栅石，2石墨烯，12氢；4s；1卡西米尔晶体</t>
    <phoneticPr fontId="1" type="noConversion"/>
  </si>
  <si>
    <t>高能光子(默认带透镜)</t>
  </si>
  <si>
    <t>高能光子(默认带透镜)</t>
    <phoneticPr fontId="1" type="noConversion"/>
  </si>
  <si>
    <t>非必点科技（不是通关硬性要求但是多半要点的科技，如基础物流，理论上不点也可以通关，但是实际上基本必点。标红为较低优先度、仅是部分人的选择）</t>
    <phoneticPr fontId="1" type="noConversion"/>
  </si>
  <si>
    <t>碳纳米管</t>
    <phoneticPr fontId="1" type="noConversion"/>
  </si>
  <si>
    <t>无</t>
    <phoneticPr fontId="1" type="noConversion"/>
  </si>
  <si>
    <t>碳纳米管（低效）</t>
    <phoneticPr fontId="1" type="noConversion"/>
  </si>
  <si>
    <t>3石墨烯，1钛块；4s；2碳纳米管</t>
    <phoneticPr fontId="1" type="noConversion"/>
  </si>
  <si>
    <t>插满全球</t>
    <phoneticPr fontId="1" type="noConversion"/>
  </si>
  <si>
    <t>透镜加成系数i=sqrt(R^2-r^2)/R</t>
    <phoneticPr fontId="1" type="noConversion"/>
  </si>
  <si>
    <t>取反</t>
    <phoneticPr fontId="1" type="noConversion"/>
  </si>
  <si>
    <t>全功率轨壳比</t>
    <phoneticPr fontId="1" type="noConversion"/>
  </si>
  <si>
    <t>暖机轨壳比</t>
    <phoneticPr fontId="1" type="noConversion"/>
  </si>
  <si>
    <t>54k处理器</t>
    <phoneticPr fontId="1" type="noConversion"/>
  </si>
  <si>
    <t>设备性能占用（0成本混带）</t>
    <phoneticPr fontId="1" type="noConversion"/>
  </si>
  <si>
    <t>多线程倍率</t>
    <phoneticPr fontId="5" type="noConversion"/>
  </si>
  <si>
    <t>星球数</t>
    <phoneticPr fontId="5" type="noConversion"/>
  </si>
  <si>
    <t>建筑数量</t>
    <phoneticPr fontId="5" type="noConversion"/>
  </si>
  <si>
    <t>单建筑平均卡顿</t>
    <phoneticPr fontId="5" type="noConversion"/>
  </si>
  <si>
    <t>备注</t>
    <phoneticPr fontId="5" type="noConversion"/>
  </si>
  <si>
    <t>科研站性能测试</t>
    <phoneticPr fontId="5" type="noConversion"/>
  </si>
  <si>
    <t>科研站(增产白糖)</t>
    <phoneticPr fontId="5" type="noConversion"/>
  </si>
  <si>
    <t>混线位面过滤器性能测试</t>
    <phoneticPr fontId="5" type="noConversion"/>
  </si>
  <si>
    <t>传送带</t>
    <phoneticPr fontId="5" type="noConversion"/>
  </si>
  <si>
    <t>分拣器</t>
    <phoneticPr fontId="5" type="noConversion"/>
  </si>
  <si>
    <t>电力系统</t>
    <phoneticPr fontId="5" type="noConversion"/>
  </si>
  <si>
    <t>制造设施</t>
    <phoneticPr fontId="5" type="noConversion"/>
  </si>
  <si>
    <t>分流器性能测试</t>
    <phoneticPr fontId="5" type="noConversion"/>
  </si>
  <si>
    <t>分流器</t>
    <phoneticPr fontId="5" type="noConversion"/>
  </si>
  <si>
    <t>不支持多线程，并且开多线还会变卡</t>
    <phoneticPr fontId="5" type="noConversion"/>
  </si>
  <si>
    <t>（赤道占地）</t>
    <phoneticPr fontId="1" type="noConversion"/>
  </si>
  <si>
    <t>新极密铺情况下占地面积</t>
    <phoneticPr fontId="1" type="noConversion"/>
  </si>
  <si>
    <t>长</t>
    <phoneticPr fontId="1" type="noConversion"/>
  </si>
  <si>
    <t>宽</t>
    <phoneticPr fontId="1" type="noConversion"/>
  </si>
  <si>
    <t>→换算成m                                                  ←换算成赤道格</t>
    <phoneticPr fontId="1" type="noConversion"/>
  </si>
  <si>
    <t>计算公式：int((壳半径/4000)^0.75 +0.5)</t>
    <phoneticPr fontId="1" type="noConversion"/>
  </si>
  <si>
    <t>含义：大六边形(Vertex)包含的小六边形=Vertex半径^2</t>
    <phoneticPr fontId="1" type="noConversion"/>
  </si>
  <si>
    <t xml:space="preserve">          一个小六边形=2太阳帆</t>
    <phoneticPr fontId="1" type="noConversion"/>
  </si>
  <si>
    <t>故Vertex半径——壳面半径范围为：</t>
    <phoneticPr fontId="1" type="noConversion"/>
  </si>
  <si>
    <t>vertex半径</t>
    <phoneticPr fontId="1" type="noConversion"/>
  </si>
  <si>
    <t>最小壳面半径</t>
    <phoneticPr fontId="1" type="noConversion"/>
  </si>
  <si>
    <t>耗电计算公式：min(2.47-2.45*min(仓储率,1),1)</t>
    <phoneticPr fontId="1" type="noConversion"/>
  </si>
  <si>
    <t>太阳能发电功率 = 光能利用率*max(0,min((v1·v2)*2.5+0.857244491577148,1))</t>
    <phoneticPr fontId="1" type="noConversion"/>
  </si>
  <si>
    <t>满功率最低太阳高度角</t>
    <phoneticPr fontId="1" type="noConversion"/>
  </si>
  <si>
    <t>太阳能最低工作太阳高度角</t>
    <phoneticPr fontId="1" type="noConversion"/>
  </si>
  <si>
    <t>其中，v1为地日单位向量，v2为地太阳能板单位向量(v2看起来像是完全靠坐标算的，不知道是哪里除了200还是自己有归一化、高度增高是否会有区别)</t>
    <phoneticPr fontId="1" type="noConversion"/>
  </si>
  <si>
    <t>最终请求量：直射强度系数*(1+暖机率*1.5)*透镜加成(2*(1+增产加速效果倍))*生产模式加成(直接发电=1,光子模式=8)*锅初始发电系数(6MW)</t>
    <phoneticPr fontId="1" type="noConversion"/>
  </si>
  <si>
    <t>暖机接收效率提升：暖机可以降低射线损失率(1-接收效率)，损失率=原损失率*(1-0.4*暖机系数²)，最低将至原先的0.6</t>
    <phoneticPr fontId="1" type="noConversion"/>
  </si>
  <si>
    <t>名称</t>
  </si>
  <si>
    <t>伊卡洛斯</t>
  </si>
  <si>
    <t>采矿机</t>
  </si>
  <si>
    <t>大型采矿机</t>
  </si>
  <si>
    <t>抽水机</t>
  </si>
  <si>
    <t>原油萃取站</t>
  </si>
  <si>
    <t>轨道采集器</t>
  </si>
  <si>
    <t>射线接收站</t>
  </si>
  <si>
    <t>电弧熔炉</t>
  </si>
  <si>
    <t>位面熔炉</t>
  </si>
  <si>
    <t>制造台MK.Ⅰ</t>
  </si>
  <si>
    <t>制造台MK.Ⅱ</t>
  </si>
  <si>
    <t>制造台MK.Ⅲ</t>
  </si>
  <si>
    <t>原油精炼厂</t>
  </si>
  <si>
    <t>化工厂</t>
  </si>
  <si>
    <t>量子化工厂</t>
  </si>
  <si>
    <t>分馏塔</t>
  </si>
  <si>
    <t>微型粒子对撞机</t>
  </si>
  <si>
    <t>研究站</t>
  </si>
  <si>
    <t>能量枢纽</t>
  </si>
  <si>
    <t>蓄电器</t>
  </si>
  <si>
    <t>倍率</t>
  </si>
  <si>
    <t>耗能</t>
  </si>
  <si>
    <t>占地</t>
  </si>
  <si>
    <t>角度制</t>
    <phoneticPr fontId="1" type="noConversion"/>
  </si>
  <si>
    <t>弧度制</t>
    <phoneticPr fontId="1" type="noConversion"/>
  </si>
  <si>
    <t>挖矿效率与耗电成正比</t>
    <phoneticPr fontId="1" type="noConversion"/>
  </si>
  <si>
    <t>故而：</t>
    <phoneticPr fontId="1" type="noConversion"/>
  </si>
  <si>
    <t>电力瓶颈运力计算器</t>
    <phoneticPr fontId="1" type="noConversion"/>
  </si>
  <si>
    <t>最大充电功率</t>
    <phoneticPr fontId="1" type="noConversion"/>
  </si>
  <si>
    <t>单船耗电(由上方计算可得)</t>
    <phoneticPr fontId="1" type="noConversion"/>
  </si>
  <si>
    <t>自身最大运力</t>
    <phoneticPr fontId="1" type="noConversion"/>
  </si>
  <si>
    <t>即：</t>
    <phoneticPr fontId="1" type="noConversion"/>
  </si>
  <si>
    <t>600~12000MJ时=</t>
    <phoneticPr fontId="1" type="noConversion"/>
  </si>
  <si>
    <t>0~600MJ时为能量/max充电</t>
    <phoneticPr fontId="1" type="noConversion"/>
  </si>
  <si>
    <t>20ly</t>
    <phoneticPr fontId="1" type="noConversion"/>
  </si>
  <si>
    <t>耗电、运力瓶颈表</t>
    <phoneticPr fontId="1" type="noConversion"/>
  </si>
  <si>
    <t>距离(ly)</t>
    <phoneticPr fontId="1" type="noConversion"/>
  </si>
  <si>
    <t>耗电(MJ)</t>
    <phoneticPr fontId="1" type="noConversion"/>
  </si>
  <si>
    <t>Belt</t>
    <phoneticPr fontId="1" type="noConversion"/>
  </si>
  <si>
    <t>splitter</t>
    <phoneticPr fontId="1" type="noConversion"/>
  </si>
  <si>
    <t>sorter</t>
    <phoneticPr fontId="1" type="noConversion"/>
  </si>
  <si>
    <t>Power system（every building which needs power）</t>
    <phoneticPr fontId="1" type="noConversion"/>
  </si>
  <si>
    <t>various facilaty</t>
    <phoneticPr fontId="1" type="noConversion"/>
  </si>
  <si>
    <t>storage</t>
    <phoneticPr fontId="1" type="noConversion"/>
  </si>
  <si>
    <t>building amounts</t>
    <phoneticPr fontId="1" type="noConversion"/>
  </si>
  <si>
    <t>per 20buffer</t>
    <phoneticPr fontId="1" type="noConversion"/>
  </si>
  <si>
    <t>Belts</t>
    <phoneticPr fontId="1" type="noConversion"/>
  </si>
  <si>
    <t>lag</t>
    <phoneticPr fontId="1" type="noConversion"/>
  </si>
  <si>
    <t>facilaty</t>
    <phoneticPr fontId="1" type="noConversion"/>
  </si>
  <si>
    <t>power system</t>
    <phoneticPr fontId="1" type="noConversion"/>
  </si>
  <si>
    <t>lab</t>
    <phoneticPr fontId="1" type="noConversion"/>
  </si>
  <si>
    <t>Each layer</t>
    <phoneticPr fontId="1" type="noConversion"/>
  </si>
  <si>
    <t>each building</t>
    <phoneticPr fontId="1" type="noConversion"/>
  </si>
  <si>
    <t>each one</t>
    <phoneticPr fontId="1" type="noConversion"/>
  </si>
  <si>
    <t>lag reference:Test data from linlin's 8-planet and 900k plane filter production line</t>
    <phoneticPr fontId="1" type="noConversion"/>
  </si>
  <si>
    <t>lag(ms)</t>
    <phoneticPr fontId="1" type="noConversion"/>
  </si>
  <si>
    <t>average(μs)</t>
    <phoneticPr fontId="1" type="noConversion"/>
  </si>
  <si>
    <t>分拣器位置</t>
    <phoneticPr fontId="1" type="noConversion"/>
  </si>
  <si>
    <t>集装机计时时长：</t>
  </si>
  <si>
    <t xml:space="preserve">     *  前后均3级带时：等待3帧，即连续两个进入的物品不超过15buffer (1200/min)</t>
  </si>
  <si>
    <t xml:space="preserve">     *  前后较低级带为2级时：等待6帧，绿带进则物品不超过12buffer，蓝带进则物品不超过30buffer即可 (600/min)</t>
  </si>
  <si>
    <t xml:space="preserve">     *  前后较低级带为1级时：等待11帧，蓝带进物品则不超过55buffer，绿带不超22buffer，黄带不超11buffer (325/min)</t>
  </si>
  <si>
    <t>例子：</t>
    <phoneticPr fontId="1" type="noConversion"/>
  </si>
  <si>
    <t>这里输入耗电→</t>
    <phoneticPr fontId="1" type="noConversion"/>
  </si>
  <si>
    <t>即球均发电为</t>
    <phoneticPr fontId="1" type="noConversion"/>
  </si>
  <si>
    <t>通关必要科技</t>
    <phoneticPr fontId="1" type="noConversion"/>
  </si>
  <si>
    <t>前置科技</t>
    <phoneticPr fontId="1" type="noConversion"/>
  </si>
  <si>
    <t>有翘曲</t>
    <phoneticPr fontId="1" type="noConversion"/>
  </si>
  <si>
    <t>无翘曲</t>
    <phoneticPr fontId="1" type="noConversion"/>
  </si>
  <si>
    <t>等级</t>
    <phoneticPr fontId="1" type="noConversion"/>
  </si>
  <si>
    <t>距离(au)</t>
    <phoneticPr fontId="1" type="noConversion"/>
  </si>
  <si>
    <t>参数</t>
    <phoneticPr fontId="1" type="noConversion"/>
  </si>
  <si>
    <t>运力(k/min)</t>
    <phoneticPr fontId="1" type="noConversion"/>
  </si>
  <si>
    <t>小飞机飞行高度：25m（到地心距离225m）</t>
    <phoneticPr fontId="1" type="noConversion"/>
  </si>
  <si>
    <t>单程飞行耗时：225*θ/飞行速度+3/√(飞行速度/8)</t>
    <phoneticPr fontId="1" type="noConversion"/>
  </si>
  <si>
    <t>d</t>
    <phoneticPr fontId="1" type="noConversion"/>
  </si>
  <si>
    <t>n</t>
    <phoneticPr fontId="1" type="noConversion"/>
  </si>
  <si>
    <t>建筑</t>
    <phoneticPr fontId="1" type="noConversion"/>
  </si>
  <si>
    <t>最小球面角/距离判定</t>
    <phoneticPr fontId="1" type="noConversion"/>
  </si>
  <si>
    <t>最小距离判定来源于bw的解包数据</t>
    <phoneticPr fontId="1" type="noConversion"/>
  </si>
  <si>
    <t>tammes问题上界估计</t>
    <phoneticPr fontId="1" type="noConversion"/>
  </si>
  <si>
    <t>(飞行速度单位：m/秒)</t>
    <phoneticPr fontId="1" type="noConversion"/>
  </si>
  <si>
    <t>小飞机飞行速度=(引擎科技等级+2)*1.2m/s</t>
    <phoneticPr fontId="1" type="noConversion"/>
  </si>
  <si>
    <t>0.7155/1.6695</t>
    <phoneticPr fontId="1" type="noConversion"/>
  </si>
  <si>
    <t>建筑→传送带：</t>
    <phoneticPr fontId="1" type="noConversion"/>
  </si>
  <si>
    <t>物理距离范围</t>
    <phoneticPr fontId="1" type="noConversion"/>
  </si>
  <si>
    <t>网格坐标水平跨度范围</t>
    <phoneticPr fontId="1" type="noConversion"/>
  </si>
  <si>
    <t>0.6m~5.5m</t>
    <phoneticPr fontId="1" type="noConversion"/>
  </si>
  <si>
    <t>0.88格~3.5格</t>
    <phoneticPr fontId="1" type="noConversion"/>
  </si>
  <si>
    <t>传送带→传送带</t>
    <phoneticPr fontId="1" type="noConversion"/>
  </si>
  <si>
    <t>0.4m~5m</t>
    <phoneticPr fontId="1" type="noConversion"/>
  </si>
  <si>
    <t>0.8格~3.2格</t>
    <phoneticPr fontId="1" type="noConversion"/>
  </si>
  <si>
    <t>建筑→建筑：</t>
    <phoneticPr fontId="1" type="noConversion"/>
  </si>
  <si>
    <t>0.9m~7.5m</t>
    <phoneticPr fontId="1" type="noConversion"/>
  </si>
  <si>
    <t>1.451格~3.799格</t>
    <phoneticPr fontId="1" type="noConversion"/>
  </si>
  <si>
    <t>赤道格长度</t>
    <phoneticPr fontId="1" type="noConversion"/>
  </si>
  <si>
    <t>1层高度长度</t>
    <phoneticPr fontId="1" type="noConversion"/>
  </si>
  <si>
    <t>电线杆</t>
    <phoneticPr fontId="1" type="noConversion"/>
  </si>
  <si>
    <t>4.0854/5.075(带杆5.27275)</t>
    <phoneticPr fontId="1" type="noConversion"/>
  </si>
  <si>
    <t>3.81651(正)</t>
    <phoneticPr fontId="1" type="noConversion"/>
  </si>
  <si>
    <t>纵向最小距离</t>
    <phoneticPr fontId="1" type="noConversion"/>
  </si>
  <si>
    <t>此时的水平最大偏转</t>
    <phoneticPr fontId="1" type="noConversion"/>
  </si>
  <si>
    <t>水平偏转对应近似分数</t>
    <phoneticPr fontId="1" type="noConversion"/>
  </si>
  <si>
    <t>垂直高度↓</t>
    <phoneticPr fontId="1" type="noConversion"/>
  </si>
  <si>
    <t>偏转角度</t>
    <phoneticPr fontId="1" type="noConversion"/>
  </si>
  <si>
    <t>正方向跨度</t>
    <phoneticPr fontId="1" type="noConversion"/>
  </si>
  <si>
    <t>对应的水平方向所需跨度</t>
    <phoneticPr fontId="1" type="noConversion"/>
  </si>
  <si>
    <t>水平方向跨度</t>
    <phoneticPr fontId="1" type="noConversion"/>
  </si>
  <si>
    <t>对应的正方向所需跨度</t>
    <phoneticPr fontId="1" type="noConversion"/>
  </si>
  <si>
    <t>无偏熔炉出爪建议：正方向偏14/23或5/8或2/3,水平扭5/14</t>
    <phoneticPr fontId="1" type="noConversion"/>
  </si>
  <si>
    <t>1.271945/2.225815</t>
    <phoneticPr fontId="1" type="noConversion"/>
  </si>
  <si>
    <t>极限耗电</t>
    <phoneticPr fontId="1" type="noConversion"/>
  </si>
  <si>
    <t>小飞机耗电计算器</t>
    <phoneticPr fontId="1" type="noConversion"/>
  </si>
  <si>
    <t>两地角度</t>
    <phoneticPr fontId="1" type="noConversion"/>
  </si>
  <si>
    <t>耗电</t>
    <phoneticPr fontId="1" type="noConversion"/>
  </si>
  <si>
    <t>(注：所谓目前情况指得是所有物流塔高度都在星球表面，按星球半径200m、物流塔高度25m(通过实测估计)计算，即S=225*θ)</t>
    <phoneticPr fontId="1" type="noConversion"/>
  </si>
  <si>
    <t>运输船速度：1800+300*(n-6)</t>
    <phoneticPr fontId="1" type="noConversion"/>
  </si>
  <si>
    <t>配送机速度：10.8+1.2*(n-6)</t>
    <phoneticPr fontId="1" type="noConversion"/>
  </si>
  <si>
    <t>运输机速度：22.4+4*(n-6)</t>
    <phoneticPr fontId="1" type="noConversion"/>
  </si>
  <si>
    <t>物流速度(m/s)引擎等级(n)转换</t>
    <phoneticPr fontId="1" type="noConversion"/>
  </si>
  <si>
    <t>关键物流等级</t>
    <phoneticPr fontId="1" type="noConversion"/>
  </si>
  <si>
    <t>等级</t>
    <phoneticPr fontId="1" type="noConversion"/>
  </si>
  <si>
    <t>配送机</t>
    <phoneticPr fontId="1" type="noConversion"/>
  </si>
  <si>
    <t>运输机</t>
    <phoneticPr fontId="1" type="noConversion"/>
  </si>
  <si>
    <t>运输船</t>
    <phoneticPr fontId="1" type="noConversion"/>
  </si>
  <si>
    <t>——计算器</t>
    <phoneticPr fontId="1" type="noConversion"/>
  </si>
  <si>
    <t>曲率速度：360000+60000*(n-6)</t>
    <phoneticPr fontId="1" type="noConversion"/>
  </si>
  <si>
    <t>曲速(ly/s)</t>
    <phoneticPr fontId="1" type="noConversion"/>
  </si>
  <si>
    <t>小飞机单程起+降耗时表</t>
    <phoneticPr fontId="1" type="noConversion"/>
  </si>
  <si>
    <t>耗时(帧)</t>
    <phoneticPr fontId="1" type="noConversion"/>
  </si>
  <si>
    <t>输入等级→</t>
    <phoneticPr fontId="1" type="noConversion"/>
  </si>
  <si>
    <t>运输引擎等级——速度表——</t>
    <phoneticPr fontId="1" type="noConversion"/>
  </si>
  <si>
    <t>实测运输船极限运力</t>
    <phoneticPr fontId="1" type="noConversion"/>
  </si>
  <si>
    <t>(曲速=200倍平飞速度)</t>
    <phoneticPr fontId="1" type="noConversion"/>
  </si>
  <si>
    <t>戴森球节点°</t>
    <phoneticPr fontId="1" type="noConversion"/>
  </si>
  <si>
    <t>接收站°</t>
    <phoneticPr fontId="1" type="noConversion"/>
  </si>
  <si>
    <t>风电m</t>
    <phoneticPr fontId="1" type="noConversion"/>
  </si>
  <si>
    <t>大塔m</t>
    <phoneticPr fontId="1" type="noConversion"/>
  </si>
  <si>
    <t>小塔m</t>
    <phoneticPr fontId="1" type="noConversion"/>
  </si>
  <si>
    <t>电线杆m</t>
    <phoneticPr fontId="1" type="noConversion"/>
  </si>
  <si>
    <t>弹射器m</t>
    <phoneticPr fontId="1" type="noConversion"/>
  </si>
  <si>
    <t>地热m</t>
    <phoneticPr fontId="1" type="noConversion"/>
  </si>
  <si>
    <t>物流等级</t>
    <phoneticPr fontId="1" type="noConversion"/>
  </si>
  <si>
    <t>耗时(s)</t>
    <phoneticPr fontId="1" type="noConversion"/>
  </si>
  <si>
    <t>两地夹角(°)</t>
    <phoneticPr fontId="1" type="noConversion"/>
  </si>
  <si>
    <t>小飞机单程运输耗时计算器</t>
    <phoneticPr fontId="1" type="noConversion"/>
  </si>
  <si>
    <t>无偏精炼厂出爪建议：正方向偏2/3，水平扭5/14</t>
    <phoneticPr fontId="1" type="noConversion"/>
  </si>
  <si>
    <t>注：引擎科技无法达到1.6万级，最高1万级，要达到1万级引擎科技需百万糖不掉帧挂机越4个世纪左右</t>
    <phoneticPr fontId="1" type="noConversion"/>
  </si>
  <si>
    <t>←百万糖不掉帧挂机60年左右即可达到这个等级</t>
    <phoneticPr fontId="1" type="noConversion"/>
  </si>
  <si>
    <t>←万糖不掉帧挂机1年，或者10万糖不掉帧连续挂机1个多月即可达到这个等级</t>
    <phoneticPr fontId="1" type="noConversion"/>
  </si>
  <si>
    <t>9.35815(带杆)</t>
    <phoneticPr fontId="1" type="noConversion"/>
  </si>
  <si>
    <t>3.5967(正)</t>
    <phoneticPr fontId="1" type="noConversion"/>
  </si>
  <si>
    <t>2.8622(正)</t>
    <phoneticPr fontId="1" type="noConversion"/>
  </si>
  <si>
    <t>无偏研究站：正向偏7/11or2/3，水平扭5/14；0.375格进爪时，正方向8/11,水平无</t>
    <phoneticPr fontId="1" type="noConversion"/>
  </si>
  <si>
    <t>分拣器槽大小：0.795赤道格</t>
    <phoneticPr fontId="1" type="noConversion"/>
  </si>
  <si>
    <t>2.6305/3.625(带爪)</t>
    <phoneticPr fontId="1" type="noConversion"/>
  </si>
  <si>
    <t>6.2555(带爪)</t>
    <phoneticPr fontId="1" type="noConversion"/>
  </si>
  <si>
    <t>3.6w所用构造</t>
    <phoneticPr fontId="1" type="noConversion"/>
  </si>
  <si>
    <t>极地格数占用-小太阳期望发电</t>
    <phoneticPr fontId="1" type="noConversion"/>
  </si>
  <si>
    <t>2.22475/带爪对位2.6</t>
    <phoneticPr fontId="1" type="noConversion"/>
  </si>
  <si>
    <t>熔炉</t>
    <phoneticPr fontId="1" type="noConversion"/>
  </si>
  <si>
    <t>制造台</t>
    <phoneticPr fontId="1" type="noConversion"/>
  </si>
  <si>
    <t>化工厂</t>
    <phoneticPr fontId="1" type="noConversion"/>
  </si>
  <si>
    <t>研究站</t>
    <phoneticPr fontId="1" type="noConversion"/>
  </si>
  <si>
    <t>对撞机</t>
    <phoneticPr fontId="1" type="noConversion"/>
  </si>
  <si>
    <t>精炼厂</t>
    <phoneticPr fontId="1" type="noConversion"/>
  </si>
  <si>
    <t>单个建筑尺寸</t>
    <phoneticPr fontId="1" type="noConversion"/>
  </si>
  <si>
    <t>对位结构尺寸</t>
    <phoneticPr fontId="1" type="noConversion"/>
  </si>
  <si>
    <t>7.7416*3.0416</t>
    <phoneticPr fontId="1" type="noConversion"/>
  </si>
  <si>
    <t>5.31118*2.31118</t>
    <phoneticPr fontId="1" type="noConversion"/>
  </si>
  <si>
    <t>7.55*6.5972906</t>
    <phoneticPr fontId="1" type="noConversion"/>
  </si>
  <si>
    <t>9.6495*4.4495</t>
    <phoneticPr fontId="1" type="noConversion"/>
  </si>
  <si>
    <t>18.7163*4.6756</t>
    <phoneticPr fontId="1" type="noConversion"/>
  </si>
  <si>
    <t>12.511*2.79486</t>
    <phoneticPr fontId="1" type="noConversion"/>
  </si>
  <si>
    <t>2.31118*2.31118</t>
    <phoneticPr fontId="1" type="noConversion"/>
  </si>
  <si>
    <t>3.0416*3.0416</t>
    <phoneticPr fontId="1" type="noConversion"/>
  </si>
  <si>
    <t>3.49776*6.59729</t>
    <phoneticPr fontId="1" type="noConversion"/>
  </si>
  <si>
    <t>4.4495*4.4495</t>
    <phoneticPr fontId="1" type="noConversion"/>
  </si>
  <si>
    <t>9.1604*4.6756</t>
    <phoneticPr fontId="1" type="noConversion"/>
  </si>
  <si>
    <t>6.2555(带爪)*2.79486</t>
    <phoneticPr fontId="1" type="noConversion"/>
  </si>
  <si>
    <t>纬线格*赤道格</t>
    <phoneticPr fontId="1" type="noConversion"/>
  </si>
  <si>
    <t>3.18/3.42</t>
    <phoneticPr fontId="1" type="noConversion"/>
  </si>
  <si>
    <t>核心逻辑代码如下：</t>
    <phoneticPr fontId="1" type="noConversion"/>
  </si>
  <si>
    <t>最粗略的算法是在非极端情况下每0.06m就是1buffer,如果半边超过170buffer就按170buffer算(也就是说一节带子最多长341buffer),而最短情况下一节带子3buffer</t>
    <phoneticPr fontId="1" type="noConversion"/>
  </si>
  <si>
    <t>实际上是使用贝塞尔曲线根据节点与其相邻节点的坐标插值画出传送带路径后，再依据前后节点角度取0.552~0.667之间的一个数字作为基准计算前中后3个关键点位</t>
    <phoneticPr fontId="1" type="noConversion"/>
  </si>
  <si>
    <t>然后分别根据前中、中后点位的空间距离计算前段buffer和后段buffer，前后端buffer不低于1不高于170，如果带子是线路端点则分别是4和5，而中心buffer长度则是1，节点包含buffer总数是前+1+后</t>
    <phoneticPr fontId="1" type="noConversion"/>
  </si>
  <si>
    <t>持续接收系数增长（暖机）：(射线强度-0.75)*0.2 /min</t>
    <phoneticPr fontId="1" type="noConversion"/>
  </si>
  <si>
    <t>铁</t>
    <phoneticPr fontId="1" type="noConversion"/>
  </si>
  <si>
    <t>铜</t>
    <phoneticPr fontId="1" type="noConversion"/>
  </si>
  <si>
    <t>硅</t>
    <phoneticPr fontId="1" type="noConversion"/>
  </si>
  <si>
    <t>钛</t>
    <phoneticPr fontId="1" type="noConversion"/>
  </si>
  <si>
    <t>煤</t>
    <phoneticPr fontId="1" type="noConversion"/>
  </si>
  <si>
    <t>油</t>
    <phoneticPr fontId="1" type="noConversion"/>
  </si>
  <si>
    <t>冰</t>
    <phoneticPr fontId="1" type="noConversion"/>
  </si>
  <si>
    <t>光子</t>
    <phoneticPr fontId="1" type="noConversion"/>
  </si>
  <si>
    <t>光栅</t>
    <phoneticPr fontId="1" type="noConversion"/>
  </si>
  <si>
    <t>磁石</t>
    <phoneticPr fontId="1" type="noConversion"/>
  </si>
  <si>
    <t>氢</t>
    <phoneticPr fontId="1" type="noConversion"/>
  </si>
  <si>
    <t>重氢</t>
    <phoneticPr fontId="1" type="noConversion"/>
  </si>
  <si>
    <t>金伯利</t>
    <phoneticPr fontId="1" type="noConversion"/>
  </si>
  <si>
    <t>有机</t>
    <phoneticPr fontId="1" type="noConversion"/>
  </si>
  <si>
    <t>刺笋</t>
    <phoneticPr fontId="1" type="noConversion"/>
  </si>
  <si>
    <t>分型硅</t>
    <phoneticPr fontId="1" type="noConversion"/>
  </si>
  <si>
    <t>石</t>
    <phoneticPr fontId="1" type="noConversion"/>
  </si>
  <si>
    <t>水</t>
    <phoneticPr fontId="1" type="noConversion"/>
  </si>
  <si>
    <t>增产剂</t>
    <phoneticPr fontId="1" type="noConversion"/>
  </si>
  <si>
    <t>总计</t>
    <phoneticPr fontId="1" type="noConversion"/>
  </si>
  <si>
    <t>距离(ly)</t>
    <phoneticPr fontId="1" type="noConversion"/>
  </si>
  <si>
    <t>3.6w糖原矿运力(/min)</t>
    <phoneticPr fontId="1" type="noConversion"/>
  </si>
  <si>
    <t>黑棒翘曲预计不超</t>
    <phoneticPr fontId="1" type="noConversion"/>
  </si>
  <si>
    <t>耗电(GW)</t>
    <phoneticPr fontId="1" type="noConversion"/>
  </si>
  <si>
    <t>(用了一个蓝图实测下来是57%左右，和理论值相对误差有5%，不知道是蓝图的采样问题限制还是什么别的问题)</t>
    <phoneticPr fontId="1" type="noConversion"/>
  </si>
  <si>
    <t>黄赤交角:0°</t>
    <phoneticPr fontId="1" type="noConversion"/>
  </si>
  <si>
    <t>黄赤交角:30°</t>
  </si>
  <si>
    <t>黄赤交角:60°</t>
  </si>
  <si>
    <t>黄赤交角:90°</t>
  </si>
  <si>
    <t>黄赤交角:5°</t>
    <phoneticPr fontId="1" type="noConversion"/>
  </si>
  <si>
    <t>黄赤交角:10°</t>
  </si>
  <si>
    <t>黄赤交角:15°</t>
  </si>
  <si>
    <t>黄赤交角:20°</t>
  </si>
  <si>
    <t>黄赤交角:25°</t>
  </si>
  <si>
    <t>黄赤交角:35°</t>
  </si>
  <si>
    <t>黄赤交角:40°</t>
  </si>
  <si>
    <t>黄赤交角:45°</t>
  </si>
  <si>
    <t>黄赤交角:50°</t>
  </si>
  <si>
    <t>黄赤交角:55°</t>
  </si>
  <si>
    <t>黄赤交角:65°</t>
  </si>
  <si>
    <t>黄赤交角:70°</t>
  </si>
  <si>
    <t>黄赤交角:75°</t>
  </si>
  <si>
    <t>黄赤交角:80°</t>
  </si>
  <si>
    <t>黄赤交角:85°</t>
  </si>
  <si>
    <t>固定纬度年均太阳直射系数</t>
    <phoneticPr fontId="1" type="noConversion"/>
  </si>
  <si>
    <t>纬度(° N或° S)</t>
    <phoneticPr fontId="1" type="noConversion"/>
  </si>
  <si>
    <t>粗略估算从极地到某纬度的平均年均太阳直射系数(上偏低下偏高)</t>
    <phoneticPr fontId="1" type="noConversion"/>
  </si>
  <si>
    <t>粗略估算从极地到某纬度的平均年均太阳直射系数(上偏高下偏低)</t>
    <phoneticPr fontId="1" type="noConversion"/>
  </si>
  <si>
    <t>粗略估算从极地到某纬度的平均年均太阳直射系数(中庸)</t>
    <phoneticPr fontId="1" type="noConversion"/>
  </si>
  <si>
    <t>球均太阳能效率               = (1-sin$A$7 + (∫_{-$A$7}^{-$B$7}(2.5*sinx+0.857244491577148)*cosxdx))/2</t>
    <phoneticPr fontId="1" type="noConversion"/>
  </si>
  <si>
    <t>从极地到某纬度的最低日均太阳直射系数</t>
    <phoneticPr fontId="1" type="noConversion"/>
  </si>
  <si>
    <t>/</t>
    <phoneticPr fontId="1" type="noConversion"/>
  </si>
  <si>
    <t>全球全功率接受最低壳轨半径比</t>
    <phoneticPr fontId="1" type="noConversion"/>
  </si>
  <si>
    <t>火山灰、干旱荒漠、飓风石林</t>
    <phoneticPr fontId="1" type="noConversion"/>
  </si>
  <si>
    <t>冰原冻土、极寒冻土、猩红冰湖、橙晶荒漠</t>
    <phoneticPr fontId="1" type="noConversion"/>
  </si>
  <si>
    <t>火山灰等</t>
    <phoneticPr fontId="1" type="noConversion"/>
  </si>
  <si>
    <t>冰原冻土等</t>
    <phoneticPr fontId="1" type="noConversion"/>
  </si>
  <si>
    <t>火山灰等</t>
    <phoneticPr fontId="1" type="noConversion"/>
  </si>
  <si>
    <t>如果有不同运输等级小飞机起降时间的关系就可以算在某一距离某一物流科技某一采矿科技的情况下提升矿物利用和飞船引擎哪个对开矿速度的提升更高，但是目前还没看</t>
    <phoneticPr fontId="1" type="noConversion"/>
  </si>
  <si>
    <t>电力测算器</t>
    <phoneticPr fontId="1" type="noConversion"/>
  </si>
  <si>
    <t>单位：LY</t>
    <phoneticPr fontId="1" type="noConversion"/>
  </si>
  <si>
    <t>单位：AU</t>
    <phoneticPr fontId="1" type="noConversion"/>
  </si>
  <si>
    <t>非曲速</t>
    <phoneticPr fontId="1" type="noConversion"/>
  </si>
  <si>
    <t>辅助运算列</t>
    <phoneticPr fontId="1" type="noConversion"/>
  </si>
  <si>
    <t>LY</t>
    <phoneticPr fontId="1" type="noConversion"/>
  </si>
  <si>
    <t>短距电力</t>
    <phoneticPr fontId="1" type="noConversion"/>
  </si>
  <si>
    <t>长距电力</t>
    <phoneticPr fontId="1" type="noConversion"/>
  </si>
  <si>
    <t>AU</t>
    <phoneticPr fontId="1" type="noConversion"/>
  </si>
  <si>
    <t>电力消耗(MJ)</t>
    <phoneticPr fontId="1" type="noConversion"/>
  </si>
  <si>
    <r>
      <rPr>
        <b/>
        <sz val="11"/>
        <color rgb="FFFF0000"/>
        <rFont val="等线"/>
        <family val="3"/>
        <charset val="134"/>
        <scheme val="minor"/>
      </rPr>
      <t>输入</t>
    </r>
    <r>
      <rPr>
        <sz val="11"/>
        <color theme="1"/>
        <rFont val="等线"/>
        <family val="2"/>
        <charset val="134"/>
        <scheme val="minor"/>
      </rPr>
      <t>距离↓</t>
    </r>
    <phoneticPr fontId="1" type="noConversion"/>
  </si>
  <si>
    <t>距离单位：</t>
    <phoneticPr fontId="1" type="noConversion"/>
  </si>
  <si>
    <t>顺道一提，物流塔充电效率 = 最大充电功率*min{(1.05-当前能量/最大能量),1}</t>
    <phoneticPr fontId="1" type="noConversion"/>
  </si>
  <si>
    <t>最大运力估计（个）</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</si>
</sst>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等线"/>
      <family val="2"/>
      <charset val="134"/>
      <scheme val="minor"/>
    </font>
    <font>
      <sz val="9"/>
      <name val="等线"/>
      <family val="2"/>
      <charset val="134"/>
      <scheme val="minor"/>
    </font>
    <font>
      <sz val="20"/>
      <color theme="1"/>
      <name val="等线"/>
      <family val="3"/>
      <charset val="134"/>
      <scheme val="minor"/>
    </font>
    <font>
      <sz val="20"/>
      <color rgb="FFFF0000"/>
      <name val="等线"/>
      <family val="3"/>
      <charset val="134"/>
      <scheme val="minor"/>
    </font>
    <font>
      <sz val="15"/>
      <color rgb="FFFF0000"/>
      <name val="等线"/>
      <family val="3"/>
      <charset val="134"/>
      <scheme val="minor"/>
    </font>
    <font>
      <sz val="9"/>
      <name val="等线"/>
      <family val="3"/>
      <charset val="134"/>
      <scheme val="minor"/>
    </font>
    <font>
      <sz val="10.5"/>
      <color theme="1"/>
      <name val="等线"/>
      <family val="3"/>
      <charset val="134"/>
      <scheme val="minor"/>
    </font>
    <font>
      <sz val="26"/>
      <color rgb="FFFF0000"/>
      <name val="等线"/>
      <family val="3"/>
      <charset val="134"/>
      <scheme val="minor"/>
    </font>
    <font>
      <sz val="11"/>
      <color rgb="FFFF0000"/>
      <name val="等线"/>
      <family val="2"/>
      <charset val="134"/>
      <scheme val="minor"/>
    </font>
    <font>
      <sz val="11"/>
      <color rgb="FFFF0000"/>
      <name val="等线"/>
      <family val="3"/>
      <charset val="134"/>
      <scheme val="minor"/>
    </font>
    <font>
      <sz val="18"/>
      <color rgb="FFFF0000"/>
      <name val="等线"/>
      <family val="3"/>
      <charset val="134"/>
      <scheme val="minor"/>
    </font>
    <font>
      <sz val="22"/>
      <color theme="5"/>
      <name val="等线"/>
      <family val="2"/>
      <charset val="134"/>
      <scheme val="minor"/>
    </font>
    <font>
      <b/>
      <sz val="12"/>
      <color theme="1"/>
      <name val="等线"/>
      <family val="3"/>
      <charset val="134"/>
      <scheme val="minor"/>
    </font>
    <font>
      <sz val="16"/>
      <color rgb="FFFF0000"/>
      <name val="等线"/>
      <family val="3"/>
      <charset val="134"/>
      <scheme val="minor"/>
    </font>
    <font>
      <sz val="14"/>
      <color rgb="FFFF0000"/>
      <name val="等线"/>
      <family val="3"/>
      <charset val="134"/>
      <scheme val="minor"/>
    </font>
    <font>
      <sz val="18"/>
      <color rgb="FFFF0000"/>
      <name val="等线"/>
      <family val="2"/>
      <charset val="134"/>
      <scheme val="minor"/>
    </font>
    <font>
      <sz val="16"/>
      <color rgb="FFFF0000"/>
      <name val="等线"/>
      <family val="2"/>
      <charset val="134"/>
      <scheme val="minor"/>
    </font>
    <font>
      <sz val="18"/>
      <color theme="0" tint="-0.14999847407452621"/>
      <name val="等线"/>
      <family val="3"/>
      <charset val="134"/>
      <scheme val="minor"/>
    </font>
    <font>
      <sz val="11"/>
      <color theme="0" tint="-0.14999847407452621"/>
      <name val="等线"/>
      <family val="2"/>
      <charset val="134"/>
      <scheme val="minor"/>
    </font>
    <font>
      <sz val="11"/>
      <color theme="0" tint="-0.14999847407452621"/>
      <name val="等线"/>
      <family val="3"/>
      <charset val="134"/>
      <scheme val="minor"/>
    </font>
    <font>
      <b/>
      <sz val="11"/>
      <color rgb="FFFF0000"/>
      <name val="等线"/>
      <family val="3"/>
      <charset val="134"/>
      <scheme val="minor"/>
    </font>
    <font>
      <sz val="11"/>
      <color theme="1"/>
      <name val="等线"/>
      <family val="3"/>
      <charset val="134"/>
      <scheme val="minor"/>
    </font>
  </fonts>
  <fills count="7">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s>
  <borders count="1">
    <border>
      <left/>
      <right/>
      <top/>
      <bottom/>
      <diagonal/>
    </border>
  </borders>
  <cellStyleXfs count="1">
    <xf numFmtId="0" fontId="0" fillId="0" borderId="0">
      <alignment vertical="center"/>
    </xf>
  </cellStyleXfs>
  <cellXfs count="46">
    <xf numFmtId="0" fontId="0" fillId="0" borderId="0" xfId="0">
      <alignment vertical="center"/>
    </xf>
    <xf numFmtId="12" fontId="0" fillId="0" borderId="0" xfId="0" applyNumberFormat="1">
      <alignment vertical="center"/>
    </xf>
    <xf numFmtId="0" fontId="0" fillId="0" borderId="0" xfId="0" applyAlignment="1">
      <alignment horizontal="right" vertical="center"/>
    </xf>
    <xf numFmtId="0" fontId="0" fillId="2" borderId="0" xfId="0" applyFill="1">
      <alignment vertical="center"/>
    </xf>
    <xf numFmtId="0" fontId="0" fillId="3" borderId="0" xfId="0" applyFill="1">
      <alignment vertical="center"/>
    </xf>
    <xf numFmtId="0" fontId="0" fillId="4" borderId="0" xfId="0" applyFill="1">
      <alignment vertical="center"/>
    </xf>
    <xf numFmtId="0" fontId="0" fillId="5" borderId="0" xfId="0" applyFill="1">
      <alignment vertical="center"/>
    </xf>
    <xf numFmtId="0" fontId="0" fillId="6" borderId="0" xfId="0" applyFill="1">
      <alignment vertical="center"/>
    </xf>
    <xf numFmtId="0" fontId="0" fillId="0" borderId="0" xfId="0" applyAlignment="1"/>
    <xf numFmtId="0" fontId="6" fillId="0" borderId="0" xfId="0" applyFont="1" applyAlignment="1">
      <alignment horizontal="justify" vertical="center"/>
    </xf>
    <xf numFmtId="0" fontId="6" fillId="0" borderId="0" xfId="0" applyFont="1">
      <alignment vertical="center"/>
    </xf>
    <xf numFmtId="0" fontId="0" fillId="0" borderId="0" xfId="0" applyAlignment="1">
      <alignment horizontal="left" vertical="center"/>
    </xf>
    <xf numFmtId="0" fontId="0" fillId="0" borderId="0" xfId="0" quotePrefix="1">
      <alignment vertical="center"/>
    </xf>
    <xf numFmtId="0" fontId="8" fillId="0" borderId="0" xfId="0" applyFont="1">
      <alignment vertical="center"/>
    </xf>
    <xf numFmtId="0" fontId="0" fillId="0" borderId="0" xfId="0" applyAlignment="1">
      <alignment horizontal="center" vertical="center"/>
    </xf>
    <xf numFmtId="0" fontId="0" fillId="0" borderId="0" xfId="0" applyAlignment="1">
      <alignment horizontal="center"/>
    </xf>
    <xf numFmtId="0" fontId="9" fillId="0" borderId="0" xfId="0" applyFont="1">
      <alignment vertical="center"/>
    </xf>
    <xf numFmtId="0" fontId="3" fillId="0" borderId="0" xfId="0" applyFont="1">
      <alignment vertical="center"/>
    </xf>
    <xf numFmtId="0" fontId="16" fillId="0" borderId="0" xfId="0" applyFont="1">
      <alignment vertical="center"/>
    </xf>
    <xf numFmtId="0" fontId="0" fillId="0" borderId="0" xfId="0" applyAlignment="1">
      <alignment horizontal="center" vertical="center"/>
    </xf>
    <xf numFmtId="0" fontId="0" fillId="0" borderId="0" xfId="0" applyAlignment="1">
      <alignment horizontal="center" vertical="center" wrapText="1"/>
    </xf>
    <xf numFmtId="0" fontId="4" fillId="0" borderId="0" xfId="0" applyFont="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2" fillId="0" borderId="0" xfId="0" applyFont="1" applyAlignment="1">
      <alignment horizontal="center" vertical="center"/>
    </xf>
    <xf numFmtId="0" fontId="10" fillId="0" borderId="0" xfId="0" applyFont="1" applyAlignment="1">
      <alignment horizontal="center" vertical="center"/>
    </xf>
    <xf numFmtId="0" fontId="6" fillId="0" borderId="0" xfId="0" applyFont="1" applyAlignment="1">
      <alignment horizontal="left" vertical="center"/>
    </xf>
    <xf numFmtId="0" fontId="6" fillId="0" borderId="0" xfId="0" applyFont="1" applyAlignment="1">
      <alignment horizontal="center" vertical="center"/>
    </xf>
    <xf numFmtId="0" fontId="8" fillId="0" borderId="0" xfId="0" applyFont="1" applyAlignment="1">
      <alignment horizontal="center" vertical="center"/>
    </xf>
    <xf numFmtId="0" fontId="9"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right" vertical="center"/>
    </xf>
    <xf numFmtId="0" fontId="7" fillId="0" borderId="0" xfId="0" applyFont="1" applyAlignment="1">
      <alignment horizontal="center" vertical="center"/>
    </xf>
    <xf numFmtId="0" fontId="0" fillId="0" borderId="0" xfId="0" applyAlignment="1">
      <alignment horizontal="left" vertical="top" wrapText="1"/>
    </xf>
    <xf numFmtId="0" fontId="16" fillId="0" borderId="0" xfId="0" applyFont="1" applyAlignment="1">
      <alignment horizontal="center" vertical="center"/>
    </xf>
    <xf numFmtId="0" fontId="15" fillId="0" borderId="0" xfId="0" applyFont="1" applyAlignment="1">
      <alignment horizontal="center" vertical="center"/>
    </xf>
    <xf numFmtId="0" fontId="14"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3" fillId="0" borderId="0" xfId="0" applyFont="1" applyAlignment="1">
      <alignment horizontal="right" vertical="center"/>
    </xf>
    <xf numFmtId="0" fontId="3" fillId="0" borderId="0" xfId="0" applyFont="1" applyAlignment="1">
      <alignment horizontal="left" vertical="center"/>
    </xf>
    <xf numFmtId="0" fontId="17" fillId="0" borderId="0" xfId="0" applyFont="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1" fillId="0" borderId="0" xfId="0" applyFont="1" applyAlignment="1">
      <alignment horizontal="center" vertical="center"/>
    </xf>
  </cellXfs>
  <cellStyles count="1">
    <cellStyle name="常规" xfId="0" builtinId="0"/>
  </cellStyles>
  <dxfs count="34">
    <dxf>
      <font>
        <color rgb="FF9C0006"/>
      </font>
      <fill>
        <patternFill>
          <bgColor rgb="FFFFC7CE"/>
        </patternFill>
      </fill>
    </dxf>
    <dxf>
      <font>
        <color rgb="FF9C0006"/>
      </font>
      <fill>
        <patternFill>
          <bgColor rgb="FFFFC7CE"/>
        </patternFill>
      </fill>
    </dxf>
    <dxf>
      <fill>
        <patternFill>
          <bgColor rgb="FFFF0000"/>
        </patternFill>
      </fill>
    </dxf>
    <dxf>
      <fill>
        <patternFill>
          <bgColor rgb="FF00B050"/>
        </patternFill>
      </fill>
    </dxf>
    <dxf>
      <fill>
        <patternFill>
          <bgColor rgb="FF92D050"/>
        </patternFill>
      </fill>
    </dxf>
    <dxf>
      <fill>
        <patternFill>
          <bgColor rgb="FFFFFF00"/>
        </patternFill>
      </fill>
    </dxf>
    <dxf>
      <fill>
        <patternFill>
          <bgColor rgb="FFFFC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
      <fill>
        <patternFill>
          <bgColor rgb="FF00B0F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342900</xdr:colOff>
      <xdr:row>2</xdr:row>
      <xdr:rowOff>19050</xdr:rowOff>
    </xdr:from>
    <xdr:to>
      <xdr:col>6</xdr:col>
      <xdr:colOff>123825</xdr:colOff>
      <xdr:row>2</xdr:row>
      <xdr:rowOff>352425</xdr:rowOff>
    </xdr:to>
    <xdr:pic>
      <xdr:nvPicPr>
        <xdr:cNvPr id="2" name="图片 1">
          <a:extLst>
            <a:ext uri="{FF2B5EF4-FFF2-40B4-BE49-F238E27FC236}">
              <a16:creationId xmlns:a16="http://schemas.microsoft.com/office/drawing/2014/main" id="{B111A826-5E45-82CA-8779-5E9E3A1E2F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028700" y="381000"/>
          <a:ext cx="3209925" cy="333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10</xdr:col>
      <xdr:colOff>190500</xdr:colOff>
      <xdr:row>4</xdr:row>
      <xdr:rowOff>9525</xdr:rowOff>
    </xdr:from>
    <xdr:to>
      <xdr:col>10</xdr:col>
      <xdr:colOff>666750</xdr:colOff>
      <xdr:row>4</xdr:row>
      <xdr:rowOff>171450</xdr:rowOff>
    </xdr:to>
    <xdr:pic>
      <xdr:nvPicPr>
        <xdr:cNvPr id="3" name="图片 2">
          <a:extLst>
            <a:ext uri="{FF2B5EF4-FFF2-40B4-BE49-F238E27FC236}">
              <a16:creationId xmlns:a16="http://schemas.microsoft.com/office/drawing/2014/main" id="{BD291BCF-E3AB-9DA2-7085-342251BFEB8D}"/>
            </a:ext>
          </a:extLst>
        </xdr:cNvPr>
        <xdr:cNvPicPr>
          <a:picLocks noChangeAspect="1" noChangeArrowheads="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7048500" y="923925"/>
          <a:ext cx="476250" cy="161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18</xdr:col>
      <xdr:colOff>560362</xdr:colOff>
      <xdr:row>43</xdr:row>
      <xdr:rowOff>94356</xdr:rowOff>
    </xdr:to>
    <xdr:pic>
      <xdr:nvPicPr>
        <xdr:cNvPr id="3" name="图片 2">
          <a:extLst>
            <a:ext uri="{FF2B5EF4-FFF2-40B4-BE49-F238E27FC236}">
              <a16:creationId xmlns:a16="http://schemas.microsoft.com/office/drawing/2014/main" id="{C9B7E11D-D4FD-338C-22E3-42DF96DCC70D}"/>
            </a:ext>
          </a:extLst>
        </xdr:cNvPr>
        <xdr:cNvPicPr>
          <a:picLocks noChangeAspect="1"/>
        </xdr:cNvPicPr>
      </xdr:nvPicPr>
      <xdr:blipFill>
        <a:blip xmlns:r="http://schemas.openxmlformats.org/officeDocument/2006/relationships" r:embed="rId1"/>
        <a:stretch>
          <a:fillRect/>
        </a:stretch>
      </xdr:blipFill>
      <xdr:spPr>
        <a:xfrm>
          <a:off x="0" y="542925"/>
          <a:ext cx="12904762" cy="715238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4"/>
  <sheetViews>
    <sheetView workbookViewId="0">
      <selection sqref="A1:XFD1048576"/>
    </sheetView>
  </sheetViews>
  <sheetFormatPr defaultRowHeight="14.25" x14ac:dyDescent="0.2"/>
  <cols>
    <col min="1" max="1" width="26.5" customWidth="1"/>
    <col min="2" max="2" width="16.875" customWidth="1"/>
    <col min="3" max="3" width="20.75" customWidth="1"/>
    <col min="4" max="4" width="16.875" customWidth="1"/>
    <col min="5" max="5" width="18.125" customWidth="1"/>
    <col min="6" max="6" width="26.125" customWidth="1"/>
    <col min="7" max="7" width="19.375" customWidth="1"/>
    <col min="8" max="8" width="18.5" customWidth="1"/>
    <col min="9" max="9" width="21.25" customWidth="1"/>
  </cols>
  <sheetData>
    <row r="1" spans="1:8" x14ac:dyDescent="0.2">
      <c r="A1" t="s">
        <v>0</v>
      </c>
      <c r="B1" t="s">
        <v>249</v>
      </c>
      <c r="C1" t="s">
        <v>250</v>
      </c>
      <c r="D1" t="s">
        <v>251</v>
      </c>
      <c r="E1" t="s">
        <v>252</v>
      </c>
      <c r="F1" t="s">
        <v>1</v>
      </c>
      <c r="G1" t="s">
        <v>253</v>
      </c>
      <c r="H1" t="s">
        <v>15</v>
      </c>
    </row>
    <row r="2" spans="1:8" x14ac:dyDescent="0.2">
      <c r="A2" t="s">
        <v>2</v>
      </c>
      <c r="B2" t="s">
        <v>13</v>
      </c>
      <c r="C2">
        <v>1000</v>
      </c>
      <c r="D2">
        <v>80</v>
      </c>
      <c r="E2">
        <f>D2</f>
        <v>80</v>
      </c>
      <c r="F2">
        <f>0.36*E2</f>
        <v>28.799999999999997</v>
      </c>
      <c r="G2">
        <f>D2*C2</f>
        <v>80000</v>
      </c>
      <c r="H2">
        <v>1</v>
      </c>
    </row>
    <row r="3" spans="1:8" x14ac:dyDescent="0.2">
      <c r="A3" t="s">
        <v>3</v>
      </c>
      <c r="B3" s="1">
        <f>C3/C2</f>
        <v>0.8</v>
      </c>
      <c r="C3">
        <v>800</v>
      </c>
      <c r="D3">
        <v>50</v>
      </c>
      <c r="E3">
        <f>E2+D3</f>
        <v>130</v>
      </c>
      <c r="F3">
        <f t="shared" ref="F3:F13" si="0">0.36*E3</f>
        <v>46.8</v>
      </c>
      <c r="G3">
        <f t="shared" ref="G3:G13" si="1">D3*C3</f>
        <v>40000</v>
      </c>
      <c r="H3">
        <f>COS((F2+0.32)*PI()/180)*1000/C3</f>
        <v>1.0920030084156485</v>
      </c>
    </row>
    <row r="4" spans="1:8" x14ac:dyDescent="0.2">
      <c r="A4" t="s">
        <v>4</v>
      </c>
      <c r="B4" s="1">
        <f t="shared" ref="B4:B13" si="2">C4/C3</f>
        <v>0.75</v>
      </c>
      <c r="C4">
        <v>600</v>
      </c>
      <c r="D4">
        <v>25</v>
      </c>
      <c r="E4">
        <f t="shared" ref="E4:E13" si="3">E3+D4</f>
        <v>155</v>
      </c>
      <c r="F4">
        <f t="shared" si="0"/>
        <v>55.8</v>
      </c>
      <c r="G4">
        <f t="shared" si="1"/>
        <v>15000</v>
      </c>
      <c r="H4">
        <f t="shared" ref="H4:H13" si="4">COS((F3+0.32)*PI()/180)*1000/C4</f>
        <v>1.1341085363038421</v>
      </c>
    </row>
    <row r="5" spans="1:8" x14ac:dyDescent="0.2">
      <c r="A5" t="s">
        <v>5</v>
      </c>
      <c r="B5" s="1">
        <f t="shared" si="2"/>
        <v>0.83333333333333337</v>
      </c>
      <c r="C5">
        <v>500</v>
      </c>
      <c r="D5">
        <v>25</v>
      </c>
      <c r="E5">
        <f t="shared" si="3"/>
        <v>180</v>
      </c>
      <c r="F5">
        <f t="shared" si="0"/>
        <v>64.8</v>
      </c>
      <c r="G5">
        <f t="shared" si="1"/>
        <v>12500</v>
      </c>
      <c r="H5">
        <f t="shared" si="4"/>
        <v>1.1149106921233218</v>
      </c>
    </row>
    <row r="6" spans="1:8" x14ac:dyDescent="0.2">
      <c r="A6" t="s">
        <v>6</v>
      </c>
      <c r="B6" s="1">
        <f t="shared" si="2"/>
        <v>0.8</v>
      </c>
      <c r="C6">
        <v>400</v>
      </c>
      <c r="D6">
        <v>15</v>
      </c>
      <c r="E6">
        <f t="shared" si="3"/>
        <v>195</v>
      </c>
      <c r="F6">
        <f t="shared" si="0"/>
        <v>70.2</v>
      </c>
      <c r="G6">
        <f t="shared" si="1"/>
        <v>6000</v>
      </c>
      <c r="H6">
        <f t="shared" si="4"/>
        <v>1.0517979240818869</v>
      </c>
    </row>
    <row r="7" spans="1:8" x14ac:dyDescent="0.2">
      <c r="A7" t="s">
        <v>7</v>
      </c>
      <c r="B7" s="1">
        <f t="shared" si="2"/>
        <v>0.75</v>
      </c>
      <c r="C7">
        <v>300</v>
      </c>
      <c r="D7">
        <v>15</v>
      </c>
      <c r="E7">
        <f t="shared" si="3"/>
        <v>210</v>
      </c>
      <c r="F7">
        <f t="shared" si="0"/>
        <v>75.599999999999994</v>
      </c>
      <c r="G7">
        <f t="shared" si="1"/>
        <v>4500</v>
      </c>
      <c r="H7">
        <f t="shared" si="4"/>
        <v>1.1115926498335571</v>
      </c>
    </row>
    <row r="8" spans="1:8" x14ac:dyDescent="0.2">
      <c r="A8" t="s">
        <v>8</v>
      </c>
      <c r="B8" s="1">
        <f t="shared" si="2"/>
        <v>0.66666666666666663</v>
      </c>
      <c r="C8">
        <v>200</v>
      </c>
      <c r="D8">
        <v>10</v>
      </c>
      <c r="E8">
        <f t="shared" si="3"/>
        <v>220</v>
      </c>
      <c r="F8">
        <f t="shared" si="0"/>
        <v>79.2</v>
      </c>
      <c r="G8">
        <f t="shared" si="1"/>
        <v>2000</v>
      </c>
      <c r="H8">
        <f t="shared" si="4"/>
        <v>1.2163822387561474</v>
      </c>
    </row>
    <row r="9" spans="1:8" x14ac:dyDescent="0.2">
      <c r="A9" t="s">
        <v>9</v>
      </c>
      <c r="B9" s="1">
        <f t="shared" si="2"/>
        <v>0.8</v>
      </c>
      <c r="C9">
        <v>160</v>
      </c>
      <c r="D9">
        <v>10</v>
      </c>
      <c r="E9">
        <f t="shared" si="3"/>
        <v>230</v>
      </c>
      <c r="F9">
        <f t="shared" si="0"/>
        <v>82.8</v>
      </c>
      <c r="G9">
        <f t="shared" si="1"/>
        <v>1600</v>
      </c>
      <c r="H9">
        <f t="shared" si="4"/>
        <v>1.1368268355389193</v>
      </c>
    </row>
    <row r="10" spans="1:8" x14ac:dyDescent="0.2">
      <c r="A10" t="s">
        <v>10</v>
      </c>
      <c r="B10" s="1">
        <f t="shared" si="2"/>
        <v>0.625</v>
      </c>
      <c r="C10">
        <v>100</v>
      </c>
      <c r="D10">
        <v>5</v>
      </c>
      <c r="E10">
        <f t="shared" si="3"/>
        <v>235</v>
      </c>
      <c r="F10">
        <f t="shared" si="0"/>
        <v>84.6</v>
      </c>
      <c r="G10">
        <f t="shared" si="1"/>
        <v>500</v>
      </c>
      <c r="H10">
        <f t="shared" si="4"/>
        <v>1.1979029383672966</v>
      </c>
    </row>
    <row r="11" spans="1:8" x14ac:dyDescent="0.2">
      <c r="A11" t="s">
        <v>11</v>
      </c>
      <c r="B11" s="1">
        <f t="shared" si="2"/>
        <v>0.8</v>
      </c>
      <c r="C11">
        <v>80</v>
      </c>
      <c r="D11">
        <v>5</v>
      </c>
      <c r="E11">
        <f t="shared" si="3"/>
        <v>240</v>
      </c>
      <c r="F11">
        <f t="shared" si="0"/>
        <v>86.399999999999991</v>
      </c>
      <c r="G11">
        <f t="shared" si="1"/>
        <v>400</v>
      </c>
      <c r="H11">
        <f t="shared" si="4"/>
        <v>1.1068325942027815</v>
      </c>
    </row>
    <row r="12" spans="1:8" x14ac:dyDescent="0.2">
      <c r="A12" t="s">
        <v>12</v>
      </c>
      <c r="B12" s="1">
        <f t="shared" si="2"/>
        <v>0.5</v>
      </c>
      <c r="C12">
        <v>40</v>
      </c>
      <c r="D12">
        <v>5</v>
      </c>
      <c r="E12">
        <f t="shared" si="3"/>
        <v>245</v>
      </c>
      <c r="F12">
        <f t="shared" si="0"/>
        <v>88.2</v>
      </c>
      <c r="G12">
        <f t="shared" si="1"/>
        <v>200</v>
      </c>
      <c r="H12">
        <f t="shared" si="4"/>
        <v>1.4303884106109657</v>
      </c>
    </row>
    <row r="13" spans="1:8" x14ac:dyDescent="0.2">
      <c r="A13" t="s">
        <v>14</v>
      </c>
      <c r="B13" s="1">
        <f t="shared" si="2"/>
        <v>0.5</v>
      </c>
      <c r="C13">
        <v>20</v>
      </c>
      <c r="D13">
        <v>5</v>
      </c>
      <c r="E13">
        <f t="shared" si="3"/>
        <v>250</v>
      </c>
      <c r="F13">
        <f t="shared" si="0"/>
        <v>90</v>
      </c>
      <c r="G13">
        <f t="shared" si="1"/>
        <v>100</v>
      </c>
      <c r="H13">
        <f t="shared" si="4"/>
        <v>1.2914000242959287</v>
      </c>
    </row>
    <row r="18" spans="1:2" x14ac:dyDescent="0.2">
      <c r="A18" t="s">
        <v>17</v>
      </c>
      <c r="B18">
        <v>1000</v>
      </c>
    </row>
    <row r="19" spans="1:2" x14ac:dyDescent="0.2">
      <c r="A19" t="s">
        <v>16</v>
      </c>
      <c r="B19">
        <f>B18*B18/PI()</f>
        <v>318309.88618379069</v>
      </c>
    </row>
    <row r="20" spans="1:2" x14ac:dyDescent="0.2">
      <c r="A20" t="s">
        <v>254</v>
      </c>
      <c r="B20">
        <f>SUM(G2:G13)*2</f>
        <v>325600</v>
      </c>
    </row>
    <row r="21" spans="1:2" x14ac:dyDescent="0.2">
      <c r="A21" t="s">
        <v>27</v>
      </c>
      <c r="B21">
        <f>SIN(F5*PI()/180)*B19</f>
        <v>288015.39608647348</v>
      </c>
    </row>
    <row r="22" spans="1:2" x14ac:dyDescent="0.2">
      <c r="A22" t="s">
        <v>605</v>
      </c>
      <c r="B22">
        <f>0.4*PI()</f>
        <v>1.2566370614359172</v>
      </c>
    </row>
    <row r="23" spans="1:2" x14ac:dyDescent="0.2">
      <c r="A23" t="s">
        <v>606</v>
      </c>
      <c r="B23">
        <f>4/3</f>
        <v>1.3333333333333333</v>
      </c>
    </row>
    <row r="24" spans="1:2" x14ac:dyDescent="0.2">
      <c r="A24" t="s">
        <v>668</v>
      </c>
      <c r="B24">
        <f>(318309.886183791-SIN(0.36*(250-83)*PI()/180)*B19)/48.96*144</f>
        <v>124449.14700830175</v>
      </c>
    </row>
  </sheetData>
  <phoneticPr fontId="1" type="noConversion"/>
  <pageMargins left="0.7" right="0.7" top="0.75" bottom="0.75" header="0.3" footer="0.3"/>
  <pageSetup paperSize="9"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3"/>
  <sheetViews>
    <sheetView workbookViewId="0">
      <selection sqref="A1:XFD1048576"/>
    </sheetView>
  </sheetViews>
  <sheetFormatPr defaultRowHeight="14.25" x14ac:dyDescent="0.2"/>
  <cols>
    <col min="1" max="1" width="10.5" customWidth="1"/>
    <col min="2" max="2" width="11.875" customWidth="1"/>
    <col min="3" max="3" width="11.125" customWidth="1"/>
    <col min="4" max="4" width="11.25" customWidth="1"/>
    <col min="5" max="5" width="12.375" customWidth="1"/>
    <col min="6" max="6" width="12.875" customWidth="1"/>
    <col min="7" max="7" width="12.125" customWidth="1"/>
  </cols>
  <sheetData>
    <row r="1" spans="1:11" x14ac:dyDescent="0.2">
      <c r="A1" s="24" t="s">
        <v>350</v>
      </c>
      <c r="B1" s="24"/>
      <c r="C1" s="24"/>
      <c r="D1" s="24"/>
      <c r="E1" s="24"/>
      <c r="F1" s="24"/>
      <c r="G1" s="24"/>
    </row>
    <row r="2" spans="1:11" x14ac:dyDescent="0.2">
      <c r="B2" s="24" t="s">
        <v>361</v>
      </c>
      <c r="C2" s="24"/>
      <c r="D2" s="24"/>
      <c r="E2" s="24"/>
      <c r="F2" s="24"/>
      <c r="G2" s="24"/>
      <c r="H2" s="24"/>
    </row>
    <row r="3" spans="1:11" x14ac:dyDescent="0.2">
      <c r="B3" s="24" t="s">
        <v>362</v>
      </c>
      <c r="C3" s="24"/>
      <c r="D3" s="24"/>
      <c r="E3" s="24"/>
      <c r="F3" s="24"/>
      <c r="G3" s="24"/>
      <c r="H3" s="24"/>
    </row>
    <row r="6" spans="1:11" x14ac:dyDescent="0.2">
      <c r="A6" t="s">
        <v>351</v>
      </c>
    </row>
    <row r="7" spans="1:11" x14ac:dyDescent="0.2">
      <c r="B7" s="24" t="s">
        <v>356</v>
      </c>
      <c r="C7" s="24"/>
      <c r="D7" s="24"/>
      <c r="E7" s="24"/>
      <c r="F7" s="24"/>
      <c r="G7" s="24"/>
      <c r="H7" s="24"/>
    </row>
    <row r="8" spans="1:11" x14ac:dyDescent="0.2">
      <c r="B8" s="24" t="s">
        <v>352</v>
      </c>
      <c r="C8" s="24"/>
      <c r="D8" s="24"/>
      <c r="E8" s="24"/>
      <c r="F8" s="24"/>
      <c r="G8" s="24"/>
      <c r="H8" s="24"/>
    </row>
    <row r="9" spans="1:11" x14ac:dyDescent="0.2">
      <c r="B9" s="24" t="s">
        <v>353</v>
      </c>
      <c r="C9" s="24"/>
      <c r="D9" s="24"/>
      <c r="E9" s="24"/>
      <c r="F9" s="24"/>
      <c r="G9" s="24"/>
      <c r="H9" s="24"/>
    </row>
    <row r="11" spans="1:11" x14ac:dyDescent="0.2">
      <c r="B11" s="24" t="s">
        <v>354</v>
      </c>
      <c r="C11" s="24"/>
      <c r="D11" s="24"/>
      <c r="E11" s="24"/>
      <c r="F11" s="24"/>
      <c r="G11" s="24"/>
      <c r="H11" s="24"/>
      <c r="I11" s="24"/>
      <c r="J11" s="24"/>
      <c r="K11" s="24"/>
    </row>
    <row r="12" spans="1:11" x14ac:dyDescent="0.2">
      <c r="C12" s="12" t="s">
        <v>355</v>
      </c>
    </row>
    <row r="13" spans="1:11" x14ac:dyDescent="0.2">
      <c r="B13" s="23" t="s">
        <v>357</v>
      </c>
      <c r="C13" s="23"/>
      <c r="D13" s="23"/>
      <c r="E13" s="23"/>
      <c r="F13" s="23"/>
      <c r="G13" s="23"/>
      <c r="H13" s="23"/>
    </row>
    <row r="17" spans="1:9" x14ac:dyDescent="0.2">
      <c r="A17" s="33" t="s">
        <v>358</v>
      </c>
      <c r="B17" s="33"/>
      <c r="C17" s="33"/>
      <c r="D17" s="33"/>
      <c r="E17" s="33"/>
      <c r="F17" s="33"/>
      <c r="G17" s="33"/>
      <c r="H17" s="33"/>
      <c r="I17" s="33"/>
    </row>
    <row r="18" spans="1:9" x14ac:dyDescent="0.2">
      <c r="A18" s="33"/>
      <c r="B18" s="33"/>
      <c r="C18" s="33"/>
      <c r="D18" s="33"/>
      <c r="E18" s="33"/>
      <c r="F18" s="33"/>
      <c r="G18" s="33"/>
      <c r="H18" s="33"/>
      <c r="I18" s="33"/>
    </row>
    <row r="19" spans="1:9" x14ac:dyDescent="0.2">
      <c r="B19" t="s">
        <v>360</v>
      </c>
      <c r="C19" s="23" t="s">
        <v>363</v>
      </c>
      <c r="D19" s="23"/>
      <c r="E19" s="23" t="s">
        <v>364</v>
      </c>
      <c r="F19" s="23"/>
    </row>
    <row r="20" spans="1:9" x14ac:dyDescent="0.2">
      <c r="A20" t="s">
        <v>359</v>
      </c>
      <c r="B20">
        <v>3.4</v>
      </c>
      <c r="C20" s="32">
        <v>0.87</v>
      </c>
      <c r="D20" s="32"/>
      <c r="E20" s="32">
        <v>0.46</v>
      </c>
      <c r="F20" s="32"/>
    </row>
    <row r="22" spans="1:9" x14ac:dyDescent="0.2">
      <c r="B22" t="s">
        <v>366</v>
      </c>
      <c r="C22" t="s">
        <v>137</v>
      </c>
      <c r="D22" t="s">
        <v>367</v>
      </c>
    </row>
    <row r="23" spans="1:9" x14ac:dyDescent="0.2">
      <c r="A23" t="s">
        <v>365</v>
      </c>
      <c r="B23">
        <v>9</v>
      </c>
      <c r="C23">
        <v>9</v>
      </c>
      <c r="D23">
        <v>4.8</v>
      </c>
    </row>
    <row r="26" spans="1:9" x14ac:dyDescent="0.2">
      <c r="A26" t="s">
        <v>376</v>
      </c>
      <c r="B26" s="23" t="s">
        <v>373</v>
      </c>
      <c r="C26" s="23"/>
      <c r="D26" s="23" t="s">
        <v>375</v>
      </c>
      <c r="E26" s="23"/>
      <c r="F26" t="s">
        <v>469</v>
      </c>
    </row>
    <row r="27" spans="1:9" x14ac:dyDescent="0.2">
      <c r="A27" t="s">
        <v>369</v>
      </c>
      <c r="B27" s="32">
        <f xml:space="preserve"> C20 * ( 8 * B20 - 30/(C20*B23+E20*C23))</f>
        <v>21.48354887218045</v>
      </c>
      <c r="C27" s="32"/>
      <c r="D27" s="32">
        <f xml:space="preserve"> E20 * ( 8 * B20 - 30/(C20*B23+E20*C23))</f>
        <v>11.359117794486215</v>
      </c>
      <c r="E27" s="32"/>
      <c r="G27">
        <f>40*B27</f>
        <v>859.34195488721798</v>
      </c>
      <c r="H27">
        <f>40*D27</f>
        <v>454.36471177944861</v>
      </c>
    </row>
    <row r="28" spans="1:9" x14ac:dyDescent="0.2">
      <c r="A28" t="s">
        <v>371</v>
      </c>
      <c r="B28" s="32">
        <f xml:space="preserve"> C20 * ( 8 * B20 - 30/(C20*B23+E20*D23))</f>
        <v>21.063880454273761</v>
      </c>
      <c r="C28" s="32"/>
      <c r="D28" s="32">
        <f xml:space="preserve"> E20 * ( 8 * B20 - 30/(C20*B23+E20*D23))</f>
        <v>11.137224148236701</v>
      </c>
      <c r="E28" s="32"/>
      <c r="G28">
        <f>40*B28</f>
        <v>842.55521817095041</v>
      </c>
      <c r="H28">
        <f>40*D28</f>
        <v>445.48896592946801</v>
      </c>
    </row>
    <row r="31" spans="1:9" x14ac:dyDescent="0.2">
      <c r="A31" t="s">
        <v>377</v>
      </c>
      <c r="B31" s="23" t="s">
        <v>372</v>
      </c>
      <c r="C31" s="23"/>
      <c r="D31" s="23" t="s">
        <v>374</v>
      </c>
      <c r="E31" s="23"/>
    </row>
    <row r="32" spans="1:9" x14ac:dyDescent="0.2">
      <c r="A32" t="s">
        <v>368</v>
      </c>
      <c r="B32" s="32">
        <f>60*B27</f>
        <v>1289.012932330827</v>
      </c>
      <c r="C32" s="32"/>
      <c r="D32" s="32">
        <f>60*D27</f>
        <v>681.54706766917286</v>
      </c>
      <c r="E32" s="32"/>
      <c r="G32">
        <f>40*B32</f>
        <v>51560.517293233075</v>
      </c>
      <c r="H32">
        <f>40*D32</f>
        <v>27261.882706766915</v>
      </c>
    </row>
    <row r="33" spans="1:8" x14ac:dyDescent="0.2">
      <c r="A33" t="s">
        <v>370</v>
      </c>
      <c r="B33" s="32">
        <f>60*B28</f>
        <v>1263.8328272564256</v>
      </c>
      <c r="C33" s="32"/>
      <c r="D33" s="32">
        <f>60*D28</f>
        <v>668.23344889420207</v>
      </c>
      <c r="E33" s="32"/>
      <c r="G33">
        <f>40*B33</f>
        <v>50553.313090257026</v>
      </c>
      <c r="H33">
        <f>40*D33</f>
        <v>26729.337955768082</v>
      </c>
    </row>
  </sheetData>
  <mergeCells count="25">
    <mergeCell ref="A1:G1"/>
    <mergeCell ref="B7:H7"/>
    <mergeCell ref="B2:H2"/>
    <mergeCell ref="B3:H3"/>
    <mergeCell ref="B27:C27"/>
    <mergeCell ref="D27:E27"/>
    <mergeCell ref="B8:H8"/>
    <mergeCell ref="B9:H9"/>
    <mergeCell ref="B11:K11"/>
    <mergeCell ref="B13:H13"/>
    <mergeCell ref="A17:I18"/>
    <mergeCell ref="E19:F19"/>
    <mergeCell ref="E20:F20"/>
    <mergeCell ref="C19:D19"/>
    <mergeCell ref="C20:D20"/>
    <mergeCell ref="B26:C26"/>
    <mergeCell ref="D26:E26"/>
    <mergeCell ref="B32:C32"/>
    <mergeCell ref="D32:E32"/>
    <mergeCell ref="B33:C33"/>
    <mergeCell ref="D33:E33"/>
    <mergeCell ref="D28:E28"/>
    <mergeCell ref="B28:C28"/>
    <mergeCell ref="B31:C31"/>
    <mergeCell ref="D31:E31"/>
  </mergeCells>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5"/>
  <sheetViews>
    <sheetView workbookViewId="0">
      <selection sqref="A1:XFD1048576"/>
    </sheetView>
  </sheetViews>
  <sheetFormatPr defaultRowHeight="14.25" x14ac:dyDescent="0.2"/>
  <sheetData>
    <row r="1" spans="1:14" x14ac:dyDescent="0.2">
      <c r="B1" t="s">
        <v>379</v>
      </c>
      <c r="C1" t="s">
        <v>380</v>
      </c>
      <c r="D1" t="s">
        <v>389</v>
      </c>
    </row>
    <row r="2" spans="1:14" x14ac:dyDescent="0.2">
      <c r="A2" t="s">
        <v>381</v>
      </c>
      <c r="B2">
        <v>0.52</v>
      </c>
      <c r="C2">
        <v>0.23300000000000001</v>
      </c>
      <c r="D2">
        <f>B2-C2</f>
        <v>0.28700000000000003</v>
      </c>
    </row>
    <row r="3" spans="1:14" x14ac:dyDescent="0.2">
      <c r="A3" t="s">
        <v>382</v>
      </c>
      <c r="B3">
        <v>1E-3</v>
      </c>
      <c r="C3">
        <v>1E-3</v>
      </c>
      <c r="D3">
        <f t="shared" ref="D3:D10" si="0">B3-C3</f>
        <v>0</v>
      </c>
    </row>
    <row r="4" spans="1:14" x14ac:dyDescent="0.2">
      <c r="A4" t="s">
        <v>383</v>
      </c>
      <c r="B4">
        <v>0.76400000000000001</v>
      </c>
      <c r="C4">
        <v>0.501</v>
      </c>
      <c r="D4">
        <f t="shared" si="0"/>
        <v>0.26300000000000001</v>
      </c>
    </row>
    <row r="5" spans="1:14" x14ac:dyDescent="0.2">
      <c r="A5" t="s">
        <v>384</v>
      </c>
      <c r="B5">
        <v>0.17799999999999999</v>
      </c>
      <c r="C5">
        <v>0.251</v>
      </c>
      <c r="D5">
        <f t="shared" si="0"/>
        <v>-7.3000000000000009E-2</v>
      </c>
    </row>
    <row r="6" spans="1:14" x14ac:dyDescent="0.2">
      <c r="A6" t="s">
        <v>385</v>
      </c>
      <c r="B6">
        <v>0.47099999999999997</v>
      </c>
      <c r="C6">
        <v>0.61899999999999999</v>
      </c>
      <c r="D6">
        <f t="shared" si="0"/>
        <v>-0.14800000000000002</v>
      </c>
    </row>
    <row r="7" spans="1:14" x14ac:dyDescent="0.2">
      <c r="A7" t="s">
        <v>386</v>
      </c>
      <c r="B7">
        <v>0.64</v>
      </c>
      <c r="C7">
        <v>0.54500000000000004</v>
      </c>
      <c r="D7">
        <f t="shared" si="0"/>
        <v>9.4999999999999973E-2</v>
      </c>
    </row>
    <row r="8" spans="1:14" x14ac:dyDescent="0.2">
      <c r="A8" t="s">
        <v>387</v>
      </c>
      <c r="B8">
        <v>2.1999999999999999E-2</v>
      </c>
      <c r="C8">
        <v>4.8000000000000001E-2</v>
      </c>
      <c r="D8">
        <f t="shared" si="0"/>
        <v>-2.6000000000000002E-2</v>
      </c>
    </row>
    <row r="9" spans="1:14" x14ac:dyDescent="0.2">
      <c r="A9" t="s">
        <v>388</v>
      </c>
      <c r="B9">
        <v>0.161</v>
      </c>
      <c r="C9">
        <v>0.21</v>
      </c>
      <c r="D9">
        <f t="shared" si="0"/>
        <v>-4.8999999999999988E-2</v>
      </c>
    </row>
    <row r="10" spans="1:14" x14ac:dyDescent="0.2">
      <c r="A10" t="s">
        <v>390</v>
      </c>
      <c r="B10">
        <f>SUM(B2:B9)</f>
        <v>2.7570000000000001</v>
      </c>
      <c r="C10">
        <f>SUM(C2:C9)</f>
        <v>2.4079999999999999</v>
      </c>
      <c r="D10">
        <f t="shared" si="0"/>
        <v>0.3490000000000002</v>
      </c>
    </row>
    <row r="12" spans="1:14" x14ac:dyDescent="0.2">
      <c r="A12" s="23" t="s">
        <v>391</v>
      </c>
      <c r="B12" s="23"/>
      <c r="C12" s="23"/>
      <c r="D12" s="23"/>
      <c r="E12" s="23"/>
      <c r="F12" s="23"/>
      <c r="G12" s="23"/>
    </row>
    <row r="13" spans="1:14" ht="14.25" customHeight="1" x14ac:dyDescent="0.2">
      <c r="B13" s="34" t="s">
        <v>392</v>
      </c>
      <c r="C13" s="34"/>
      <c r="D13" s="34"/>
      <c r="E13" s="34"/>
      <c r="F13" s="34"/>
      <c r="G13" s="34"/>
      <c r="H13" s="34"/>
      <c r="I13" s="34"/>
      <c r="J13" s="34"/>
      <c r="K13" s="34"/>
      <c r="L13" s="34"/>
      <c r="M13" s="34"/>
      <c r="N13" s="34"/>
    </row>
    <row r="14" spans="1:14" x14ac:dyDescent="0.2">
      <c r="B14" s="34"/>
      <c r="C14" s="34"/>
      <c r="D14" s="34"/>
      <c r="E14" s="34"/>
      <c r="F14" s="34"/>
      <c r="G14" s="34"/>
      <c r="H14" s="34"/>
      <c r="I14" s="34"/>
      <c r="J14" s="34"/>
      <c r="K14" s="34"/>
      <c r="L14" s="34"/>
      <c r="M14" s="34"/>
      <c r="N14" s="34"/>
    </row>
    <row r="15" spans="1:14" x14ac:dyDescent="0.2">
      <c r="B15" s="34"/>
      <c r="C15" s="34"/>
      <c r="D15" s="34"/>
      <c r="E15" s="34"/>
      <c r="F15" s="34"/>
      <c r="G15" s="34"/>
      <c r="H15" s="34"/>
      <c r="I15" s="34"/>
      <c r="J15" s="34"/>
      <c r="K15" s="34"/>
      <c r="L15" s="34"/>
      <c r="M15" s="34"/>
      <c r="N15" s="34"/>
    </row>
  </sheetData>
  <mergeCells count="2">
    <mergeCell ref="A12:G12"/>
    <mergeCell ref="B13:N15"/>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3"/>
  <sheetViews>
    <sheetView topLeftCell="A52" workbookViewId="0">
      <selection activeCell="A52" sqref="A1:XFD1048576"/>
    </sheetView>
  </sheetViews>
  <sheetFormatPr defaultRowHeight="14.25" x14ac:dyDescent="0.2"/>
  <cols>
    <col min="1" max="1" width="17.125" customWidth="1"/>
    <col min="2" max="2" width="8.25" customWidth="1"/>
    <col min="3" max="3" width="7.5" customWidth="1"/>
    <col min="4" max="4" width="8.25" customWidth="1"/>
    <col min="15" max="15" width="14.25" customWidth="1"/>
    <col min="16" max="16" width="14.375" customWidth="1"/>
    <col min="17" max="17" width="12.375" customWidth="1"/>
  </cols>
  <sheetData>
    <row r="1" spans="1:17" x14ac:dyDescent="0.2">
      <c r="A1" t="s">
        <v>575</v>
      </c>
      <c r="B1" t="s">
        <v>436</v>
      </c>
      <c r="C1" t="s">
        <v>36</v>
      </c>
      <c r="D1" t="s">
        <v>38</v>
      </c>
      <c r="E1" t="s">
        <v>50</v>
      </c>
      <c r="F1" t="s">
        <v>63</v>
      </c>
      <c r="G1" t="s">
        <v>65</v>
      </c>
      <c r="H1" t="s">
        <v>394</v>
      </c>
      <c r="I1" t="s">
        <v>395</v>
      </c>
      <c r="J1" t="s">
        <v>396</v>
      </c>
      <c r="K1" t="s">
        <v>397</v>
      </c>
      <c r="L1" t="s">
        <v>398</v>
      </c>
      <c r="M1" t="s">
        <v>399</v>
      </c>
      <c r="N1" t="s">
        <v>400</v>
      </c>
      <c r="O1" t="s">
        <v>576</v>
      </c>
    </row>
    <row r="2" spans="1:17" x14ac:dyDescent="0.2">
      <c r="A2" t="s">
        <v>393</v>
      </c>
      <c r="E2">
        <v>10</v>
      </c>
    </row>
    <row r="3" spans="1:17" x14ac:dyDescent="0.2">
      <c r="A3" t="s">
        <v>80</v>
      </c>
      <c r="E3">
        <v>10</v>
      </c>
      <c r="G3">
        <v>10</v>
      </c>
      <c r="O3" t="s">
        <v>393</v>
      </c>
    </row>
    <row r="4" spans="1:17" x14ac:dyDescent="0.2">
      <c r="A4" t="s">
        <v>407</v>
      </c>
      <c r="I4">
        <v>200</v>
      </c>
      <c r="O4" t="s">
        <v>80</v>
      </c>
    </row>
    <row r="5" spans="1:17" x14ac:dyDescent="0.2">
      <c r="A5" t="s">
        <v>408</v>
      </c>
      <c r="I5">
        <v>200</v>
      </c>
      <c r="J5">
        <v>200</v>
      </c>
      <c r="O5" t="s">
        <v>407</v>
      </c>
      <c r="P5" t="s">
        <v>415</v>
      </c>
      <c r="Q5" t="s">
        <v>401</v>
      </c>
    </row>
    <row r="6" spans="1:17" x14ac:dyDescent="0.2">
      <c r="A6" t="s">
        <v>409</v>
      </c>
      <c r="I6">
        <v>300</v>
      </c>
      <c r="J6">
        <v>300</v>
      </c>
      <c r="O6" t="s">
        <v>408</v>
      </c>
      <c r="P6" t="s">
        <v>417</v>
      </c>
    </row>
    <row r="7" spans="1:17" x14ac:dyDescent="0.2">
      <c r="A7" t="s">
        <v>123</v>
      </c>
      <c r="I7">
        <v>600</v>
      </c>
      <c r="J7">
        <v>600</v>
      </c>
      <c r="O7" t="s">
        <v>409</v>
      </c>
    </row>
    <row r="8" spans="1:17" x14ac:dyDescent="0.2">
      <c r="A8" t="s">
        <v>410</v>
      </c>
      <c r="I8">
        <v>2000</v>
      </c>
      <c r="J8">
        <v>2000</v>
      </c>
      <c r="K8">
        <v>2000</v>
      </c>
      <c r="M8">
        <v>2000</v>
      </c>
      <c r="O8" t="s">
        <v>123</v>
      </c>
      <c r="P8" t="s">
        <v>419</v>
      </c>
      <c r="Q8" t="s">
        <v>84</v>
      </c>
    </row>
    <row r="9" spans="1:17" x14ac:dyDescent="0.2">
      <c r="A9" t="s">
        <v>411</v>
      </c>
      <c r="I9">
        <v>3000</v>
      </c>
      <c r="J9">
        <v>3000</v>
      </c>
      <c r="K9">
        <v>750</v>
      </c>
      <c r="L9">
        <v>750</v>
      </c>
      <c r="M9">
        <v>1500</v>
      </c>
      <c r="O9" t="s">
        <v>410</v>
      </c>
    </row>
    <row r="10" spans="1:17" x14ac:dyDescent="0.2">
      <c r="A10" t="s">
        <v>85</v>
      </c>
      <c r="I10">
        <v>2000</v>
      </c>
      <c r="J10">
        <v>2000</v>
      </c>
      <c r="K10">
        <v>2000</v>
      </c>
      <c r="L10">
        <v>2000</v>
      </c>
      <c r="M10">
        <v>2000</v>
      </c>
      <c r="O10" t="s">
        <v>411</v>
      </c>
    </row>
    <row r="11" spans="1:17" x14ac:dyDescent="0.2">
      <c r="A11" t="s">
        <v>430</v>
      </c>
      <c r="I11">
        <v>120</v>
      </c>
      <c r="O11" t="s">
        <v>405</v>
      </c>
    </row>
    <row r="12" spans="1:17" x14ac:dyDescent="0.2">
      <c r="A12" t="s">
        <v>431</v>
      </c>
      <c r="I12">
        <v>200</v>
      </c>
      <c r="J12">
        <v>200</v>
      </c>
      <c r="O12" t="s">
        <v>430</v>
      </c>
    </row>
    <row r="13" spans="1:17" x14ac:dyDescent="0.2">
      <c r="A13" t="s">
        <v>401</v>
      </c>
      <c r="F13">
        <v>10</v>
      </c>
      <c r="G13">
        <v>10</v>
      </c>
      <c r="O13" t="s">
        <v>393</v>
      </c>
    </row>
    <row r="14" spans="1:17" x14ac:dyDescent="0.2">
      <c r="A14" t="s">
        <v>412</v>
      </c>
      <c r="I14">
        <v>200</v>
      </c>
      <c r="O14" t="s">
        <v>401</v>
      </c>
    </row>
    <row r="15" spans="1:17" x14ac:dyDescent="0.2">
      <c r="A15" t="s">
        <v>72</v>
      </c>
      <c r="I15">
        <v>800</v>
      </c>
      <c r="O15" t="s">
        <v>412</v>
      </c>
    </row>
    <row r="16" spans="1:17" x14ac:dyDescent="0.2">
      <c r="A16" t="s">
        <v>432</v>
      </c>
      <c r="C16">
        <v>20</v>
      </c>
      <c r="D16">
        <v>20</v>
      </c>
    </row>
    <row r="17" spans="1:16" x14ac:dyDescent="0.2">
      <c r="A17" t="s">
        <v>433</v>
      </c>
      <c r="I17">
        <v>100</v>
      </c>
      <c r="J17">
        <v>100</v>
      </c>
      <c r="O17" t="s">
        <v>432</v>
      </c>
    </row>
    <row r="18" spans="1:16" x14ac:dyDescent="0.2">
      <c r="A18" t="s">
        <v>434</v>
      </c>
      <c r="B18">
        <v>150</v>
      </c>
      <c r="E18">
        <v>60</v>
      </c>
      <c r="O18" t="s">
        <v>432</v>
      </c>
    </row>
    <row r="19" spans="1:16" x14ac:dyDescent="0.2">
      <c r="A19" t="s">
        <v>435</v>
      </c>
      <c r="I19">
        <v>200</v>
      </c>
      <c r="J19">
        <v>200</v>
      </c>
      <c r="O19" t="s">
        <v>434</v>
      </c>
      <c r="P19" t="s">
        <v>433</v>
      </c>
    </row>
    <row r="20" spans="1:16" x14ac:dyDescent="0.2">
      <c r="A20" t="s">
        <v>402</v>
      </c>
      <c r="I20">
        <v>50</v>
      </c>
      <c r="O20" t="s">
        <v>393</v>
      </c>
    </row>
    <row r="21" spans="1:16" x14ac:dyDescent="0.2">
      <c r="A21" t="s">
        <v>403</v>
      </c>
      <c r="I21">
        <v>50</v>
      </c>
      <c r="O21" t="s">
        <v>393</v>
      </c>
    </row>
    <row r="22" spans="1:16" x14ac:dyDescent="0.2">
      <c r="A22" t="s">
        <v>413</v>
      </c>
      <c r="I22">
        <v>100</v>
      </c>
      <c r="O22" t="s">
        <v>402</v>
      </c>
      <c r="P22" t="s">
        <v>403</v>
      </c>
    </row>
    <row r="23" spans="1:16" x14ac:dyDescent="0.2">
      <c r="A23" t="s">
        <v>81</v>
      </c>
      <c r="I23">
        <v>200</v>
      </c>
      <c r="O23" t="s">
        <v>413</v>
      </c>
    </row>
    <row r="24" spans="1:16" x14ac:dyDescent="0.2">
      <c r="A24" t="s">
        <v>414</v>
      </c>
      <c r="I24">
        <v>200</v>
      </c>
      <c r="O24" t="s">
        <v>413</v>
      </c>
    </row>
    <row r="25" spans="1:16" x14ac:dyDescent="0.2">
      <c r="A25" t="s">
        <v>422</v>
      </c>
      <c r="I25">
        <v>400</v>
      </c>
      <c r="J25">
        <v>400</v>
      </c>
      <c r="O25" t="s">
        <v>414</v>
      </c>
    </row>
    <row r="26" spans="1:16" x14ac:dyDescent="0.2">
      <c r="A26" t="s">
        <v>423</v>
      </c>
      <c r="I26">
        <v>600</v>
      </c>
      <c r="J26">
        <v>600</v>
      </c>
      <c r="O26" t="s">
        <v>422</v>
      </c>
    </row>
    <row r="27" spans="1:16" x14ac:dyDescent="0.2">
      <c r="A27" t="s">
        <v>82</v>
      </c>
      <c r="I27">
        <v>800</v>
      </c>
      <c r="J27">
        <v>800</v>
      </c>
      <c r="O27" t="s">
        <v>416</v>
      </c>
    </row>
    <row r="28" spans="1:16" x14ac:dyDescent="0.2">
      <c r="A28" t="s">
        <v>421</v>
      </c>
      <c r="I28">
        <v>800</v>
      </c>
      <c r="J28">
        <v>800</v>
      </c>
      <c r="K28">
        <v>800</v>
      </c>
      <c r="O28" t="s">
        <v>82</v>
      </c>
    </row>
    <row r="29" spans="1:16" x14ac:dyDescent="0.2">
      <c r="A29" t="s">
        <v>62</v>
      </c>
      <c r="I29">
        <v>1000</v>
      </c>
      <c r="J29">
        <v>1000</v>
      </c>
      <c r="K29">
        <v>1000</v>
      </c>
      <c r="O29" t="s">
        <v>421</v>
      </c>
    </row>
    <row r="30" spans="1:16" x14ac:dyDescent="0.2">
      <c r="A30" t="s">
        <v>419</v>
      </c>
      <c r="I30">
        <v>1200</v>
      </c>
      <c r="J30">
        <v>1200</v>
      </c>
      <c r="K30">
        <v>1200</v>
      </c>
      <c r="O30" t="s">
        <v>62</v>
      </c>
      <c r="P30" t="s">
        <v>420</v>
      </c>
    </row>
    <row r="31" spans="1:16" x14ac:dyDescent="0.2">
      <c r="A31" t="s">
        <v>174</v>
      </c>
      <c r="I31">
        <v>800</v>
      </c>
      <c r="J31">
        <v>800</v>
      </c>
      <c r="K31">
        <v>800</v>
      </c>
      <c r="O31" t="s">
        <v>82</v>
      </c>
    </row>
    <row r="32" spans="1:16" x14ac:dyDescent="0.2">
      <c r="A32" t="s">
        <v>424</v>
      </c>
      <c r="I32">
        <v>400</v>
      </c>
      <c r="O32" t="s">
        <v>414</v>
      </c>
    </row>
    <row r="33" spans="1:17" x14ac:dyDescent="0.2">
      <c r="A33" t="s">
        <v>425</v>
      </c>
      <c r="J33">
        <v>600</v>
      </c>
      <c r="K33">
        <v>150</v>
      </c>
      <c r="O33" t="s">
        <v>424</v>
      </c>
    </row>
    <row r="34" spans="1:17" x14ac:dyDescent="0.2">
      <c r="A34" t="s">
        <v>426</v>
      </c>
      <c r="J34">
        <v>800</v>
      </c>
      <c r="K34">
        <v>400</v>
      </c>
      <c r="O34" t="s">
        <v>425</v>
      </c>
      <c r="Q34" t="s">
        <v>83</v>
      </c>
    </row>
    <row r="35" spans="1:17" x14ac:dyDescent="0.2">
      <c r="A35" t="s">
        <v>428</v>
      </c>
      <c r="I35">
        <v>800</v>
      </c>
      <c r="J35">
        <v>800</v>
      </c>
      <c r="K35">
        <v>200</v>
      </c>
      <c r="O35" t="s">
        <v>425</v>
      </c>
    </row>
    <row r="36" spans="1:17" x14ac:dyDescent="0.2">
      <c r="A36" t="s">
        <v>83</v>
      </c>
      <c r="I36">
        <v>800</v>
      </c>
      <c r="J36">
        <v>800</v>
      </c>
      <c r="O36" t="s">
        <v>428</v>
      </c>
      <c r="P36" t="s">
        <v>72</v>
      </c>
    </row>
    <row r="37" spans="1:17" x14ac:dyDescent="0.2">
      <c r="A37" t="s">
        <v>427</v>
      </c>
      <c r="I37">
        <v>1200</v>
      </c>
      <c r="J37">
        <v>200</v>
      </c>
      <c r="L37">
        <v>200</v>
      </c>
      <c r="O37" t="s">
        <v>426</v>
      </c>
      <c r="P37" t="s">
        <v>174</v>
      </c>
    </row>
    <row r="38" spans="1:17" x14ac:dyDescent="0.2">
      <c r="A38" t="s">
        <v>78</v>
      </c>
      <c r="I38">
        <v>800</v>
      </c>
      <c r="J38">
        <v>800</v>
      </c>
      <c r="L38">
        <v>800</v>
      </c>
      <c r="O38" t="s">
        <v>427</v>
      </c>
      <c r="P38" t="s">
        <v>83</v>
      </c>
    </row>
    <row r="39" spans="1:17" x14ac:dyDescent="0.2">
      <c r="A39" t="s">
        <v>84</v>
      </c>
      <c r="I39">
        <v>1600</v>
      </c>
      <c r="J39">
        <v>1600</v>
      </c>
      <c r="K39">
        <v>1600</v>
      </c>
      <c r="O39" t="s">
        <v>78</v>
      </c>
    </row>
    <row r="40" spans="1:17" x14ac:dyDescent="0.2">
      <c r="A40" t="s">
        <v>404</v>
      </c>
      <c r="I40">
        <v>50</v>
      </c>
      <c r="O40" t="s">
        <v>393</v>
      </c>
    </row>
    <row r="41" spans="1:17" x14ac:dyDescent="0.2">
      <c r="A41" t="s">
        <v>418</v>
      </c>
      <c r="I41">
        <v>400</v>
      </c>
      <c r="J41">
        <v>100</v>
      </c>
      <c r="O41" t="s">
        <v>404</v>
      </c>
    </row>
    <row r="42" spans="1:17" x14ac:dyDescent="0.2">
      <c r="A42" t="s">
        <v>417</v>
      </c>
      <c r="I42">
        <v>1000</v>
      </c>
      <c r="J42">
        <v>250</v>
      </c>
      <c r="O42" t="s">
        <v>418</v>
      </c>
    </row>
    <row r="43" spans="1:17" x14ac:dyDescent="0.2">
      <c r="A43" t="s">
        <v>420</v>
      </c>
      <c r="I43">
        <v>1600</v>
      </c>
      <c r="J43">
        <v>800</v>
      </c>
      <c r="O43" t="s">
        <v>418</v>
      </c>
    </row>
    <row r="44" spans="1:17" x14ac:dyDescent="0.2">
      <c r="A44" t="s">
        <v>405</v>
      </c>
      <c r="E44">
        <v>10</v>
      </c>
      <c r="G44">
        <v>10</v>
      </c>
      <c r="O44" t="s">
        <v>393</v>
      </c>
    </row>
    <row r="45" spans="1:17" x14ac:dyDescent="0.2">
      <c r="A45" t="s">
        <v>415</v>
      </c>
      <c r="I45">
        <v>100</v>
      </c>
      <c r="O45" t="s">
        <v>405</v>
      </c>
    </row>
    <row r="46" spans="1:17" x14ac:dyDescent="0.2">
      <c r="A46" t="s">
        <v>416</v>
      </c>
      <c r="I46">
        <v>500</v>
      </c>
      <c r="J46">
        <v>500</v>
      </c>
      <c r="O46" t="s">
        <v>415</v>
      </c>
    </row>
    <row r="47" spans="1:17" x14ac:dyDescent="0.2">
      <c r="A47" t="s">
        <v>429</v>
      </c>
      <c r="N47">
        <v>4000</v>
      </c>
      <c r="O47" t="s">
        <v>85</v>
      </c>
    </row>
    <row r="48" spans="1:17" x14ac:dyDescent="0.2">
      <c r="A48" t="s">
        <v>440</v>
      </c>
      <c r="I48">
        <v>800</v>
      </c>
      <c r="J48">
        <v>800</v>
      </c>
      <c r="K48">
        <v>80</v>
      </c>
      <c r="O48" t="s">
        <v>431</v>
      </c>
    </row>
    <row r="50" spans="1:16" x14ac:dyDescent="0.2">
      <c r="A50" t="s">
        <v>442</v>
      </c>
      <c r="B50">
        <f t="shared" ref="B50:N50" si="0">SUM(B2:B48)</f>
        <v>150</v>
      </c>
      <c r="C50">
        <f t="shared" si="0"/>
        <v>20</v>
      </c>
      <c r="D50">
        <f t="shared" si="0"/>
        <v>20</v>
      </c>
      <c r="E50">
        <f t="shared" si="0"/>
        <v>90</v>
      </c>
      <c r="F50">
        <f t="shared" si="0"/>
        <v>10</v>
      </c>
      <c r="G50">
        <f t="shared" si="0"/>
        <v>30</v>
      </c>
      <c r="H50">
        <f t="shared" si="0"/>
        <v>0</v>
      </c>
      <c r="I50">
        <f t="shared" si="0"/>
        <v>26170</v>
      </c>
      <c r="J50">
        <f t="shared" si="0"/>
        <v>22250</v>
      </c>
      <c r="K50">
        <f t="shared" si="0"/>
        <v>10980</v>
      </c>
      <c r="L50">
        <f t="shared" si="0"/>
        <v>3750</v>
      </c>
      <c r="M50">
        <f t="shared" si="0"/>
        <v>5500</v>
      </c>
      <c r="N50">
        <f t="shared" si="0"/>
        <v>4000</v>
      </c>
    </row>
    <row r="51" spans="1:16" x14ac:dyDescent="0.2">
      <c r="B51" t="s">
        <v>436</v>
      </c>
      <c r="C51" t="s">
        <v>36</v>
      </c>
      <c r="D51" t="s">
        <v>38</v>
      </c>
      <c r="E51" t="s">
        <v>50</v>
      </c>
      <c r="F51" t="s">
        <v>63</v>
      </c>
      <c r="G51" t="s">
        <v>65</v>
      </c>
      <c r="H51" t="s">
        <v>394</v>
      </c>
      <c r="I51" t="s">
        <v>395</v>
      </c>
      <c r="J51" t="s">
        <v>396</v>
      </c>
      <c r="K51" t="s">
        <v>397</v>
      </c>
      <c r="L51" t="s">
        <v>398</v>
      </c>
      <c r="M51" t="s">
        <v>399</v>
      </c>
      <c r="N51" t="s">
        <v>400</v>
      </c>
    </row>
    <row r="54" spans="1:16" x14ac:dyDescent="0.2">
      <c r="A54" s="23" t="s">
        <v>464</v>
      </c>
      <c r="B54" s="23"/>
      <c r="C54" s="23"/>
      <c r="D54" s="23"/>
      <c r="E54" s="23"/>
      <c r="F54" s="23"/>
      <c r="G54" s="23"/>
      <c r="H54" s="23"/>
      <c r="I54" s="23"/>
      <c r="J54" s="23"/>
      <c r="K54" s="23"/>
      <c r="L54" s="23"/>
      <c r="M54" s="23"/>
      <c r="N54" s="23"/>
      <c r="O54" s="23"/>
      <c r="P54" s="23"/>
    </row>
    <row r="55" spans="1:16" x14ac:dyDescent="0.2">
      <c r="A55" s="23"/>
      <c r="B55" s="23"/>
      <c r="C55" s="23"/>
      <c r="D55" s="23"/>
      <c r="E55" s="23"/>
      <c r="F55" s="23"/>
      <c r="G55" s="23"/>
      <c r="H55" s="23"/>
      <c r="I55" s="23"/>
      <c r="J55" s="23"/>
      <c r="K55" s="23"/>
      <c r="L55" s="23"/>
      <c r="M55" s="23"/>
      <c r="N55" s="23"/>
      <c r="O55" s="23"/>
      <c r="P55" s="23"/>
    </row>
    <row r="56" spans="1:16" x14ac:dyDescent="0.2">
      <c r="A56" t="s">
        <v>406</v>
      </c>
      <c r="F56">
        <v>10</v>
      </c>
      <c r="G56">
        <v>10</v>
      </c>
      <c r="O56" t="s">
        <v>393</v>
      </c>
    </row>
    <row r="57" spans="1:16" x14ac:dyDescent="0.2">
      <c r="A57" t="s">
        <v>437</v>
      </c>
      <c r="G57">
        <v>100</v>
      </c>
      <c r="O57" t="s">
        <v>393</v>
      </c>
    </row>
    <row r="58" spans="1:16" x14ac:dyDescent="0.2">
      <c r="A58" t="s">
        <v>46</v>
      </c>
      <c r="I58">
        <v>200</v>
      </c>
      <c r="O58" t="s">
        <v>402</v>
      </c>
    </row>
    <row r="59" spans="1:16" x14ac:dyDescent="0.2">
      <c r="A59" t="s">
        <v>47</v>
      </c>
      <c r="I59">
        <v>800</v>
      </c>
      <c r="J59">
        <v>600</v>
      </c>
      <c r="O59" t="s">
        <v>46</v>
      </c>
      <c r="P59" t="s">
        <v>416</v>
      </c>
    </row>
    <row r="60" spans="1:16" x14ac:dyDescent="0.2">
      <c r="A60" t="s">
        <v>48</v>
      </c>
      <c r="I60">
        <v>800</v>
      </c>
      <c r="J60">
        <v>600</v>
      </c>
      <c r="K60">
        <v>400</v>
      </c>
      <c r="O60" t="s">
        <v>47</v>
      </c>
      <c r="P60" t="s">
        <v>425</v>
      </c>
    </row>
    <row r="61" spans="1:16" s="13" customFormat="1" x14ac:dyDescent="0.2">
      <c r="A61" t="s">
        <v>438</v>
      </c>
      <c r="B61"/>
      <c r="C61"/>
      <c r="D61"/>
      <c r="E61"/>
      <c r="F61"/>
      <c r="G61"/>
      <c r="H61"/>
      <c r="I61">
        <v>30</v>
      </c>
      <c r="J61"/>
      <c r="K61"/>
      <c r="L61"/>
      <c r="M61"/>
      <c r="N61"/>
      <c r="O61" t="s">
        <v>401</v>
      </c>
      <c r="P61"/>
    </row>
    <row r="62" spans="1:16" x14ac:dyDescent="0.2">
      <c r="A62" t="s">
        <v>439</v>
      </c>
      <c r="I62">
        <v>200</v>
      </c>
      <c r="J62">
        <v>300</v>
      </c>
      <c r="O62" t="s">
        <v>438</v>
      </c>
      <c r="P62" t="s">
        <v>402</v>
      </c>
    </row>
    <row r="63" spans="1:16" x14ac:dyDescent="0.2">
      <c r="A63" s="13" t="s">
        <v>441</v>
      </c>
      <c r="B63" s="13"/>
      <c r="C63" s="13"/>
      <c r="D63" s="13"/>
      <c r="E63" s="13"/>
      <c r="F63" s="13"/>
      <c r="G63" s="13"/>
      <c r="H63" s="13"/>
      <c r="I63" s="13">
        <v>1000</v>
      </c>
      <c r="J63" s="13">
        <v>500</v>
      </c>
      <c r="K63" s="13">
        <v>250</v>
      </c>
      <c r="L63" s="13"/>
      <c r="M63" s="13"/>
      <c r="N63" s="13"/>
      <c r="O63" s="13" t="s">
        <v>439</v>
      </c>
      <c r="P63" s="13" t="s">
        <v>440</v>
      </c>
    </row>
    <row r="64" spans="1:16" x14ac:dyDescent="0.2">
      <c r="A64" t="s">
        <v>443</v>
      </c>
      <c r="I64">
        <v>100</v>
      </c>
      <c r="O64" t="s">
        <v>406</v>
      </c>
    </row>
    <row r="65" spans="1:16" x14ac:dyDescent="0.2">
      <c r="A65" t="s">
        <v>444</v>
      </c>
      <c r="I65">
        <v>400</v>
      </c>
      <c r="J65">
        <v>100</v>
      </c>
      <c r="O65" t="s">
        <v>443</v>
      </c>
    </row>
    <row r="66" spans="1:16" x14ac:dyDescent="0.2">
      <c r="A66" t="s">
        <v>445</v>
      </c>
      <c r="J66">
        <v>400</v>
      </c>
      <c r="O66" t="s">
        <v>81</v>
      </c>
    </row>
    <row r="67" spans="1:16" x14ac:dyDescent="0.2">
      <c r="A67" t="s">
        <v>60</v>
      </c>
      <c r="J67">
        <v>1000</v>
      </c>
      <c r="O67" t="s">
        <v>445</v>
      </c>
    </row>
    <row r="68" spans="1:16" x14ac:dyDescent="0.2">
      <c r="A68" t="s">
        <v>448</v>
      </c>
      <c r="J68">
        <v>400</v>
      </c>
    </row>
    <row r="69" spans="1:16" x14ac:dyDescent="0.2">
      <c r="A69" t="s">
        <v>446</v>
      </c>
      <c r="I69">
        <v>800</v>
      </c>
      <c r="J69">
        <v>400</v>
      </c>
      <c r="O69" t="s">
        <v>448</v>
      </c>
      <c r="P69" t="s">
        <v>60</v>
      </c>
    </row>
    <row r="70" spans="1:16" x14ac:dyDescent="0.2">
      <c r="A70" t="s">
        <v>61</v>
      </c>
      <c r="J70">
        <v>1600</v>
      </c>
      <c r="O70" t="s">
        <v>60</v>
      </c>
    </row>
    <row r="71" spans="1:16" x14ac:dyDescent="0.2">
      <c r="A71" t="s">
        <v>447</v>
      </c>
      <c r="I71">
        <v>1200</v>
      </c>
      <c r="J71">
        <v>1200</v>
      </c>
      <c r="K71">
        <v>120</v>
      </c>
      <c r="O71" t="s">
        <v>61</v>
      </c>
    </row>
    <row r="72" spans="1:16" x14ac:dyDescent="0.2">
      <c r="A72" t="s">
        <v>449</v>
      </c>
      <c r="I72">
        <v>600</v>
      </c>
      <c r="J72">
        <v>600</v>
      </c>
      <c r="O72" t="s">
        <v>407</v>
      </c>
      <c r="P72" t="s">
        <v>416</v>
      </c>
    </row>
    <row r="73" spans="1:16" x14ac:dyDescent="0.2">
      <c r="A73" t="s">
        <v>450</v>
      </c>
      <c r="I73">
        <v>1200</v>
      </c>
      <c r="J73">
        <v>1200</v>
      </c>
      <c r="K73">
        <v>120</v>
      </c>
      <c r="O73" t="s">
        <v>451</v>
      </c>
      <c r="P73" t="s">
        <v>449</v>
      </c>
    </row>
    <row r="74" spans="1:16" x14ac:dyDescent="0.2">
      <c r="A74" t="s">
        <v>452</v>
      </c>
      <c r="I74">
        <v>1200</v>
      </c>
      <c r="J74">
        <v>1200</v>
      </c>
      <c r="K74">
        <v>1200</v>
      </c>
      <c r="O74" t="s">
        <v>450</v>
      </c>
      <c r="P74" t="s">
        <v>447</v>
      </c>
    </row>
    <row r="75" spans="1:16" s="13" customFormat="1" x14ac:dyDescent="0.2">
      <c r="A75" s="13" t="s">
        <v>453</v>
      </c>
      <c r="I75" s="13">
        <v>300</v>
      </c>
      <c r="J75" s="13">
        <v>300</v>
      </c>
      <c r="K75" s="13">
        <v>300</v>
      </c>
      <c r="O75" s="13" t="s">
        <v>433</v>
      </c>
    </row>
    <row r="76" spans="1:16" s="13" customFormat="1" x14ac:dyDescent="0.2">
      <c r="A76" s="13" t="s">
        <v>454</v>
      </c>
      <c r="I76" s="13">
        <v>500</v>
      </c>
      <c r="J76" s="13">
        <v>500</v>
      </c>
      <c r="K76" s="13">
        <v>500</v>
      </c>
      <c r="L76" s="13">
        <v>500</v>
      </c>
      <c r="O76" s="13" t="s">
        <v>453</v>
      </c>
    </row>
    <row r="77" spans="1:16" s="16" customFormat="1" x14ac:dyDescent="0.2">
      <c r="A77" s="13" t="s">
        <v>455</v>
      </c>
      <c r="B77" s="13"/>
      <c r="C77" s="13"/>
      <c r="D77" s="13"/>
      <c r="E77" s="13"/>
      <c r="F77" s="13"/>
      <c r="G77" s="13"/>
      <c r="H77" s="13"/>
      <c r="I77" s="13">
        <v>1000</v>
      </c>
      <c r="J77" s="13">
        <v>1000</v>
      </c>
      <c r="K77" s="13">
        <v>1000</v>
      </c>
      <c r="L77" s="13"/>
      <c r="M77" s="13"/>
      <c r="N77" s="13"/>
      <c r="O77" s="13" t="s">
        <v>453</v>
      </c>
      <c r="P77" s="13"/>
    </row>
    <row r="78" spans="1:16" s="16" customFormat="1" x14ac:dyDescent="0.2">
      <c r="A78" s="13" t="s">
        <v>456</v>
      </c>
      <c r="B78" s="13"/>
      <c r="C78" s="13"/>
      <c r="D78" s="13"/>
      <c r="E78" s="13"/>
      <c r="F78" s="13"/>
      <c r="G78" s="13"/>
      <c r="H78" s="13"/>
      <c r="I78" s="13">
        <v>2000</v>
      </c>
      <c r="J78" s="13">
        <v>2000</v>
      </c>
      <c r="K78" s="13">
        <v>2000</v>
      </c>
      <c r="L78" s="13"/>
      <c r="M78" s="13"/>
      <c r="N78" s="13"/>
      <c r="O78" s="13" t="s">
        <v>455</v>
      </c>
      <c r="P78" s="13" t="s">
        <v>453</v>
      </c>
    </row>
    <row r="79" spans="1:16" s="13" customFormat="1" x14ac:dyDescent="0.2">
      <c r="A79" s="13" t="s">
        <v>457</v>
      </c>
      <c r="I79" s="13">
        <v>600</v>
      </c>
      <c r="J79" s="13">
        <v>600</v>
      </c>
      <c r="K79" s="13">
        <v>600</v>
      </c>
    </row>
    <row r="80" spans="1:16" x14ac:dyDescent="0.2">
      <c r="A80" s="13" t="s">
        <v>458</v>
      </c>
      <c r="B80" s="13"/>
      <c r="C80" s="13"/>
      <c r="D80" s="13"/>
      <c r="E80" s="13"/>
      <c r="F80" s="13"/>
      <c r="G80" s="13"/>
      <c r="H80" s="13"/>
      <c r="I80" s="13">
        <v>800</v>
      </c>
      <c r="J80" s="13">
        <v>800</v>
      </c>
      <c r="K80" s="13">
        <v>800</v>
      </c>
      <c r="L80" s="13"/>
      <c r="M80" s="13"/>
      <c r="N80" s="13"/>
      <c r="O80" s="13" t="s">
        <v>457</v>
      </c>
      <c r="P80" s="13"/>
    </row>
    <row r="81" spans="1:16" x14ac:dyDescent="0.2">
      <c r="A81" s="13" t="s">
        <v>459</v>
      </c>
      <c r="B81" s="13"/>
      <c r="C81" s="13"/>
      <c r="D81" s="13"/>
      <c r="E81" s="13"/>
      <c r="F81" s="13"/>
      <c r="G81" s="13"/>
      <c r="H81" s="13"/>
      <c r="I81" s="13">
        <v>1000</v>
      </c>
      <c r="J81" s="13">
        <v>1000</v>
      </c>
      <c r="K81" s="13">
        <v>1000</v>
      </c>
      <c r="L81" s="13"/>
      <c r="M81" s="13"/>
      <c r="N81" s="13"/>
      <c r="O81" s="13" t="s">
        <v>458</v>
      </c>
      <c r="P81" s="13"/>
    </row>
    <row r="82" spans="1:16" x14ac:dyDescent="0.2">
      <c r="B82">
        <f t="shared" ref="B82:N82" si="1">B50+SUM(B56:B81)</f>
        <v>150</v>
      </c>
      <c r="C82">
        <f t="shared" si="1"/>
        <v>20</v>
      </c>
      <c r="D82">
        <f t="shared" si="1"/>
        <v>20</v>
      </c>
      <c r="E82">
        <f t="shared" si="1"/>
        <v>90</v>
      </c>
      <c r="F82">
        <f t="shared" si="1"/>
        <v>20</v>
      </c>
      <c r="G82">
        <f t="shared" si="1"/>
        <v>140</v>
      </c>
      <c r="H82">
        <f t="shared" si="1"/>
        <v>0</v>
      </c>
      <c r="I82">
        <f t="shared" si="1"/>
        <v>40900</v>
      </c>
      <c r="J82">
        <f t="shared" si="1"/>
        <v>38550</v>
      </c>
      <c r="K82">
        <f t="shared" si="1"/>
        <v>19270</v>
      </c>
      <c r="L82">
        <f t="shared" si="1"/>
        <v>4250</v>
      </c>
      <c r="M82">
        <f t="shared" si="1"/>
        <v>5500</v>
      </c>
      <c r="N82">
        <f t="shared" si="1"/>
        <v>4000</v>
      </c>
    </row>
    <row r="83" spans="1:16" x14ac:dyDescent="0.2">
      <c r="A83" t="s">
        <v>442</v>
      </c>
      <c r="B83" t="s">
        <v>436</v>
      </c>
      <c r="C83" t="s">
        <v>36</v>
      </c>
      <c r="D83" t="s">
        <v>38</v>
      </c>
      <c r="E83" t="s">
        <v>50</v>
      </c>
      <c r="F83" t="s">
        <v>63</v>
      </c>
      <c r="G83" t="s">
        <v>65</v>
      </c>
      <c r="H83" t="s">
        <v>394</v>
      </c>
      <c r="I83" t="s">
        <v>395</v>
      </c>
      <c r="J83" t="s">
        <v>396</v>
      </c>
      <c r="K83" t="s">
        <v>397</v>
      </c>
      <c r="L83" t="s">
        <v>398</v>
      </c>
      <c r="M83" t="s">
        <v>399</v>
      </c>
      <c r="N83" t="s">
        <v>400</v>
      </c>
    </row>
  </sheetData>
  <mergeCells count="1">
    <mergeCell ref="A54:P55"/>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2"/>
  <sheetViews>
    <sheetView workbookViewId="0">
      <selection sqref="A1:XFD1048576"/>
    </sheetView>
  </sheetViews>
  <sheetFormatPr defaultRowHeight="14.25" x14ac:dyDescent="0.2"/>
  <cols>
    <col min="1" max="1" width="18.125" customWidth="1"/>
    <col min="2" max="2" width="21.75" customWidth="1"/>
  </cols>
  <sheetData>
    <row r="1" spans="1:9" x14ac:dyDescent="0.2">
      <c r="A1" s="24" t="s">
        <v>496</v>
      </c>
      <c r="B1" s="24"/>
      <c r="C1" s="24"/>
      <c r="D1" s="24"/>
      <c r="E1" s="24"/>
      <c r="F1" s="24"/>
      <c r="G1" s="24"/>
      <c r="H1" s="24"/>
      <c r="I1" s="24"/>
    </row>
    <row r="2" spans="1:9" x14ac:dyDescent="0.2">
      <c r="A2" s="24" t="s">
        <v>497</v>
      </c>
      <c r="B2" s="24"/>
      <c r="C2" s="24"/>
      <c r="D2" s="24"/>
      <c r="E2" s="24"/>
      <c r="F2" s="24"/>
      <c r="G2" s="24"/>
      <c r="H2" s="24"/>
      <c r="I2" s="24"/>
    </row>
    <row r="3" spans="1:9" x14ac:dyDescent="0.2">
      <c r="A3" s="24" t="s">
        <v>498</v>
      </c>
      <c r="B3" s="24"/>
      <c r="C3" s="24"/>
      <c r="D3" s="24"/>
      <c r="E3" s="24"/>
      <c r="F3" s="24"/>
      <c r="G3" s="24"/>
      <c r="H3" s="24"/>
      <c r="I3" s="24"/>
    </row>
    <row r="4" spans="1:9" x14ac:dyDescent="0.2">
      <c r="A4" s="24" t="s">
        <v>499</v>
      </c>
      <c r="B4" s="24"/>
      <c r="C4" s="24"/>
      <c r="D4" s="24"/>
    </row>
    <row r="5" spans="1:9" x14ac:dyDescent="0.2">
      <c r="A5" t="s">
        <v>500</v>
      </c>
      <c r="B5" t="s">
        <v>501</v>
      </c>
    </row>
    <row r="6" spans="1:9" x14ac:dyDescent="0.2">
      <c r="A6">
        <v>1</v>
      </c>
      <c r="B6">
        <f>POWER((A6-0.5),4/3)*4000</f>
        <v>1587.4010519681997</v>
      </c>
    </row>
    <row r="7" spans="1:9" x14ac:dyDescent="0.2">
      <c r="A7">
        <v>2</v>
      </c>
      <c r="B7">
        <f t="shared" ref="B7:B62" si="0">POWER((A7-0.5),4/3)*4000</f>
        <v>6868.2854553199904</v>
      </c>
    </row>
    <row r="8" spans="1:9" x14ac:dyDescent="0.2">
      <c r="A8">
        <v>3</v>
      </c>
      <c r="B8">
        <f t="shared" si="0"/>
        <v>13572.088082974533</v>
      </c>
    </row>
    <row r="9" spans="1:9" x14ac:dyDescent="0.2">
      <c r="A9">
        <v>4</v>
      </c>
      <c r="B9">
        <f t="shared" si="0"/>
        <v>21256.122803129638</v>
      </c>
    </row>
    <row r="10" spans="1:9" x14ac:dyDescent="0.2">
      <c r="A10">
        <v>5</v>
      </c>
      <c r="B10">
        <f t="shared" si="0"/>
        <v>29717.345240051643</v>
      </c>
    </row>
    <row r="11" spans="1:9" x14ac:dyDescent="0.2">
      <c r="A11">
        <v>6</v>
      </c>
      <c r="B11">
        <f t="shared" si="0"/>
        <v>38833.831688586688</v>
      </c>
    </row>
    <row r="12" spans="1:9" x14ac:dyDescent="0.2">
      <c r="A12">
        <v>7</v>
      </c>
      <c r="B12">
        <f t="shared" si="0"/>
        <v>48522.645038624221</v>
      </c>
    </row>
    <row r="13" spans="1:9" x14ac:dyDescent="0.2">
      <c r="A13">
        <v>8</v>
      </c>
      <c r="B13">
        <f t="shared" si="0"/>
        <v>58723.014617532943</v>
      </c>
    </row>
    <row r="14" spans="1:9" x14ac:dyDescent="0.2">
      <c r="A14">
        <v>9</v>
      </c>
      <c r="B14">
        <f t="shared" si="0"/>
        <v>69388.136732594896</v>
      </c>
    </row>
    <row r="15" spans="1:9" x14ac:dyDescent="0.2">
      <c r="A15">
        <v>10</v>
      </c>
      <c r="B15">
        <f t="shared" si="0"/>
        <v>80480.648100842969</v>
      </c>
    </row>
    <row r="16" spans="1:9" x14ac:dyDescent="0.2">
      <c r="A16">
        <v>11</v>
      </c>
      <c r="B16">
        <f t="shared" si="0"/>
        <v>91969.901937645656</v>
      </c>
    </row>
    <row r="17" spans="1:2" x14ac:dyDescent="0.2">
      <c r="A17">
        <v>12</v>
      </c>
      <c r="B17">
        <f t="shared" si="0"/>
        <v>103830.22101590202</v>
      </c>
    </row>
    <row r="18" spans="1:2" x14ac:dyDescent="0.2">
      <c r="A18">
        <v>13</v>
      </c>
      <c r="B18">
        <f t="shared" si="0"/>
        <v>116039.72084031951</v>
      </c>
    </row>
    <row r="19" spans="1:2" x14ac:dyDescent="0.2">
      <c r="A19">
        <v>14</v>
      </c>
      <c r="B19">
        <f t="shared" si="0"/>
        <v>128579.48520942412</v>
      </c>
    </row>
    <row r="20" spans="1:2" x14ac:dyDescent="0.2">
      <c r="A20">
        <v>15</v>
      </c>
      <c r="B20">
        <f t="shared" si="0"/>
        <v>141432.96987112606</v>
      </c>
    </row>
    <row r="21" spans="1:2" x14ac:dyDescent="0.2">
      <c r="A21">
        <v>16</v>
      </c>
      <c r="B21">
        <f t="shared" si="0"/>
        <v>154585.55951939797</v>
      </c>
    </row>
    <row r="22" spans="1:2" x14ac:dyDescent="0.2">
      <c r="A22">
        <v>17</v>
      </c>
      <c r="B22">
        <f t="shared" si="0"/>
        <v>168024.2311987631</v>
      </c>
    </row>
    <row r="23" spans="1:2" x14ac:dyDescent="0.2">
      <c r="A23">
        <v>18</v>
      </c>
      <c r="B23">
        <f t="shared" si="0"/>
        <v>181737.29356478871</v>
      </c>
    </row>
    <row r="24" spans="1:2" x14ac:dyDescent="0.2">
      <c r="A24">
        <v>19</v>
      </c>
      <c r="B24">
        <f t="shared" si="0"/>
        <v>195714.18148968558</v>
      </c>
    </row>
    <row r="25" spans="1:2" x14ac:dyDescent="0.2">
      <c r="A25">
        <v>20</v>
      </c>
      <c r="B25">
        <f t="shared" si="0"/>
        <v>209945.29187140396</v>
      </c>
    </row>
    <row r="26" spans="1:2" x14ac:dyDescent="0.2">
      <c r="A26">
        <v>21</v>
      </c>
      <c r="B26">
        <f>POWER((A26-0.5),4/3)*4000</f>
        <v>224421.8506667355</v>
      </c>
    </row>
    <row r="27" spans="1:2" x14ac:dyDescent="0.2">
      <c r="A27">
        <v>22</v>
      </c>
      <c r="B27">
        <f t="shared" si="0"/>
        <v>239135.80396041309</v>
      </c>
    </row>
    <row r="28" spans="1:2" x14ac:dyDescent="0.2">
      <c r="A28">
        <v>23</v>
      </c>
      <c r="B28">
        <f t="shared" si="0"/>
        <v>254079.7277978776</v>
      </c>
    </row>
    <row r="29" spans="1:2" x14ac:dyDescent="0.2">
      <c r="A29">
        <v>24</v>
      </c>
      <c r="B29">
        <f t="shared" si="0"/>
        <v>269246.75285117462</v>
      </c>
    </row>
    <row r="30" spans="1:2" x14ac:dyDescent="0.2">
      <c r="A30">
        <v>25</v>
      </c>
      <c r="B30">
        <f t="shared" si="0"/>
        <v>284630.50094462157</v>
      </c>
    </row>
    <row r="31" spans="1:2" x14ac:dyDescent="0.2">
      <c r="A31">
        <v>26</v>
      </c>
      <c r="B31">
        <f t="shared" si="0"/>
        <v>300225.0311610499</v>
      </c>
    </row>
    <row r="32" spans="1:2" x14ac:dyDescent="0.2">
      <c r="A32">
        <v>27</v>
      </c>
      <c r="B32">
        <f t="shared" si="0"/>
        <v>316024.79376041569</v>
      </c>
    </row>
    <row r="33" spans="1:2" x14ac:dyDescent="0.2">
      <c r="A33">
        <v>28</v>
      </c>
      <c r="B33">
        <f t="shared" si="0"/>
        <v>332024.59052387282</v>
      </c>
    </row>
    <row r="34" spans="1:2" x14ac:dyDescent="0.2">
      <c r="A34">
        <v>29</v>
      </c>
      <c r="B34">
        <f t="shared" si="0"/>
        <v>348219.54042450758</v>
      </c>
    </row>
    <row r="35" spans="1:2" x14ac:dyDescent="0.2">
      <c r="A35">
        <v>30</v>
      </c>
      <c r="B35">
        <f t="shared" si="0"/>
        <v>364605.04974607297</v>
      </c>
    </row>
    <row r="36" spans="1:2" x14ac:dyDescent="0.2">
      <c r="A36">
        <v>31</v>
      </c>
      <c r="B36">
        <f t="shared" si="0"/>
        <v>381176.78594110068</v>
      </c>
    </row>
    <row r="37" spans="1:2" x14ac:dyDescent="0.2">
      <c r="A37">
        <v>32</v>
      </c>
      <c r="B37">
        <f t="shared" si="0"/>
        <v>397930.6546523518</v>
      </c>
    </row>
    <row r="38" spans="1:2" x14ac:dyDescent="0.2">
      <c r="A38">
        <v>33</v>
      </c>
      <c r="B38">
        <f t="shared" si="0"/>
        <v>414862.77942589379</v>
      </c>
    </row>
    <row r="39" spans="1:2" x14ac:dyDescent="0.2">
      <c r="A39">
        <v>34</v>
      </c>
      <c r="B39">
        <f t="shared" si="0"/>
        <v>431969.48372688325</v>
      </c>
    </row>
    <row r="40" spans="1:2" x14ac:dyDescent="0.2">
      <c r="A40">
        <v>35</v>
      </c>
      <c r="B40">
        <f t="shared" si="0"/>
        <v>449247.27493532398</v>
      </c>
    </row>
    <row r="41" spans="1:2" x14ac:dyDescent="0.2">
      <c r="A41">
        <v>36</v>
      </c>
      <c r="B41">
        <f>POWER((A41-0.5),4/3)*4000</f>
        <v>466692.83005241223</v>
      </c>
    </row>
    <row r="42" spans="1:2" x14ac:dyDescent="0.2">
      <c r="A42">
        <v>37</v>
      </c>
      <c r="B42">
        <f t="shared" si="0"/>
        <v>484302.98289132741</v>
      </c>
    </row>
    <row r="43" spans="1:2" x14ac:dyDescent="0.2">
      <c r="A43">
        <v>38</v>
      </c>
      <c r="B43">
        <f t="shared" si="0"/>
        <v>502074.71256162698</v>
      </c>
    </row>
    <row r="44" spans="1:2" x14ac:dyDescent="0.2">
      <c r="A44">
        <v>39</v>
      </c>
      <c r="B44">
        <f t="shared" si="0"/>
        <v>520005.13308542431</v>
      </c>
    </row>
    <row r="45" spans="1:2" x14ac:dyDescent="0.2">
      <c r="A45">
        <v>40</v>
      </c>
      <c r="B45">
        <f t="shared" si="0"/>
        <v>538091.48400743725</v>
      </c>
    </row>
    <row r="46" spans="1:2" x14ac:dyDescent="0.2">
      <c r="A46">
        <v>41</v>
      </c>
      <c r="B46">
        <f t="shared" si="0"/>
        <v>556331.12188091886</v>
      </c>
    </row>
    <row r="47" spans="1:2" x14ac:dyDescent="0.2">
      <c r="A47">
        <v>42</v>
      </c>
      <c r="B47">
        <f t="shared" si="0"/>
        <v>574721.51252804417</v>
      </c>
    </row>
    <row r="48" spans="1:2" x14ac:dyDescent="0.2">
      <c r="A48">
        <v>43</v>
      </c>
      <c r="B48">
        <f t="shared" si="0"/>
        <v>593260.22398725559</v>
      </c>
    </row>
    <row r="49" spans="1:2" x14ac:dyDescent="0.2">
      <c r="A49">
        <v>44</v>
      </c>
      <c r="B49">
        <f t="shared" si="0"/>
        <v>611944.92007179616</v>
      </c>
    </row>
    <row r="50" spans="1:2" x14ac:dyDescent="0.2">
      <c r="A50">
        <v>45</v>
      </c>
      <c r="B50">
        <f t="shared" si="0"/>
        <v>630773.35447356722</v>
      </c>
    </row>
    <row r="51" spans="1:2" x14ac:dyDescent="0.2">
      <c r="A51">
        <v>46</v>
      </c>
      <c r="B51">
        <f t="shared" si="0"/>
        <v>649743.36535486137</v>
      </c>
    </row>
    <row r="52" spans="1:2" x14ac:dyDescent="0.2">
      <c r="A52">
        <v>47</v>
      </c>
      <c r="B52">
        <f t="shared" si="0"/>
        <v>668852.87037774571</v>
      </c>
    </row>
    <row r="53" spans="1:2" x14ac:dyDescent="0.2">
      <c r="A53">
        <v>48</v>
      </c>
      <c r="B53">
        <f t="shared" si="0"/>
        <v>688099.86212696484</v>
      </c>
    </row>
    <row r="54" spans="1:2" x14ac:dyDescent="0.2">
      <c r="A54">
        <v>49</v>
      </c>
      <c r="B54">
        <f t="shared" si="0"/>
        <v>707482.40388756141</v>
      </c>
    </row>
    <row r="55" spans="1:2" x14ac:dyDescent="0.2">
      <c r="A55">
        <v>50</v>
      </c>
      <c r="B55">
        <f t="shared" si="0"/>
        <v>726998.62574294605</v>
      </c>
    </row>
    <row r="56" spans="1:2" x14ac:dyDescent="0.2">
      <c r="A56">
        <v>51</v>
      </c>
      <c r="B56">
        <f t="shared" si="0"/>
        <v>746646.72096308519</v>
      </c>
    </row>
    <row r="57" spans="1:2" x14ac:dyDescent="0.2">
      <c r="A57">
        <v>52</v>
      </c>
      <c r="B57">
        <f t="shared" si="0"/>
        <v>766424.94265590084</v>
      </c>
    </row>
    <row r="58" spans="1:2" x14ac:dyDescent="0.2">
      <c r="A58">
        <v>53</v>
      </c>
      <c r="B58">
        <f t="shared" si="0"/>
        <v>786331.60065794317</v>
      </c>
    </row>
    <row r="59" spans="1:2" x14ac:dyDescent="0.2">
      <c r="A59">
        <v>54</v>
      </c>
      <c r="B59">
        <f t="shared" si="0"/>
        <v>806365.05864298239</v>
      </c>
    </row>
    <row r="60" spans="1:2" x14ac:dyDescent="0.2">
      <c r="A60">
        <v>55</v>
      </c>
      <c r="B60">
        <f t="shared" si="0"/>
        <v>826523.73142945988</v>
      </c>
    </row>
    <row r="61" spans="1:2" x14ac:dyDescent="0.2">
      <c r="A61">
        <v>56</v>
      </c>
      <c r="B61">
        <f>POWER((A61-0.5),4/3)*4000</f>
        <v>846806.08246969501</v>
      </c>
    </row>
    <row r="62" spans="1:2" x14ac:dyDescent="0.2">
      <c r="A62">
        <v>57</v>
      </c>
      <c r="B62">
        <f t="shared" si="0"/>
        <v>867210.62150552799</v>
      </c>
    </row>
  </sheetData>
  <mergeCells count="4">
    <mergeCell ref="A1:I1"/>
    <mergeCell ref="A2:I2"/>
    <mergeCell ref="A3:I3"/>
    <mergeCell ref="A4:D4"/>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
  <sheetViews>
    <sheetView workbookViewId="0">
      <selection activeCell="K10" sqref="K10"/>
    </sheetView>
  </sheetViews>
  <sheetFormatPr defaultRowHeight="14.25" x14ac:dyDescent="0.2"/>
  <sheetData>
    <row r="1" spans="1:17" x14ac:dyDescent="0.2">
      <c r="A1" s="24" t="s">
        <v>502</v>
      </c>
      <c r="B1" s="24"/>
      <c r="C1" s="24"/>
      <c r="D1" s="24"/>
      <c r="E1" s="24"/>
    </row>
    <row r="2" spans="1:17" x14ac:dyDescent="0.2">
      <c r="A2" s="24" t="s">
        <v>535</v>
      </c>
      <c r="B2" s="24"/>
      <c r="C2" s="24"/>
    </row>
    <row r="3" spans="1:17" x14ac:dyDescent="0.2">
      <c r="A3" s="23" t="s">
        <v>755</v>
      </c>
      <c r="B3" s="23"/>
      <c r="C3" s="23"/>
      <c r="D3" s="23"/>
      <c r="E3" s="23"/>
      <c r="F3" s="23"/>
      <c r="G3" s="23"/>
      <c r="H3" s="23"/>
      <c r="I3" s="23"/>
      <c r="J3" s="23"/>
      <c r="K3" s="23"/>
      <c r="L3" s="23"/>
      <c r="M3" s="23"/>
      <c r="N3" s="23"/>
      <c r="O3" s="23"/>
      <c r="P3" s="23"/>
      <c r="Q3" s="23"/>
    </row>
    <row r="4" spans="1:17" x14ac:dyDescent="0.2">
      <c r="A4" s="23"/>
      <c r="B4" s="23"/>
      <c r="C4" s="23"/>
      <c r="D4" s="23"/>
      <c r="E4" s="23"/>
      <c r="F4" s="23"/>
      <c r="G4" s="23"/>
      <c r="H4" s="23"/>
      <c r="I4" s="23"/>
      <c r="J4" s="23"/>
      <c r="K4" s="23"/>
      <c r="L4" s="23"/>
      <c r="M4" s="23"/>
      <c r="N4" s="23"/>
      <c r="O4" s="23"/>
      <c r="P4" s="23"/>
      <c r="Q4" s="23"/>
    </row>
  </sheetData>
  <mergeCells count="3">
    <mergeCell ref="A1:E1"/>
    <mergeCell ref="A2:C2"/>
    <mergeCell ref="A3:Q4"/>
  </mergeCells>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47"/>
  <sheetViews>
    <sheetView workbookViewId="0">
      <selection sqref="A1:XFD1048576"/>
    </sheetView>
  </sheetViews>
  <sheetFormatPr defaultRowHeight="14.25" x14ac:dyDescent="0.2"/>
  <cols>
    <col min="1" max="1" width="20.75" customWidth="1"/>
    <col min="2" max="2" width="13.25" customWidth="1"/>
    <col min="3" max="3" width="13" bestFit="1" customWidth="1"/>
  </cols>
  <sheetData>
    <row r="1" spans="1:13" x14ac:dyDescent="0.2">
      <c r="A1" s="24" t="s">
        <v>503</v>
      </c>
      <c r="B1" s="24"/>
      <c r="C1" s="24"/>
      <c r="D1" s="24"/>
      <c r="E1" s="24"/>
      <c r="F1" s="24"/>
      <c r="G1" s="24"/>
      <c r="H1" s="24"/>
    </row>
    <row r="2" spans="1:13" x14ac:dyDescent="0.2">
      <c r="A2" s="23" t="s">
        <v>506</v>
      </c>
      <c r="B2" s="23"/>
      <c r="C2" s="23"/>
      <c r="D2" s="23"/>
      <c r="E2" s="23"/>
      <c r="F2" s="23"/>
      <c r="G2" s="23"/>
      <c r="H2" s="23"/>
      <c r="I2" s="23"/>
      <c r="J2" s="23"/>
      <c r="K2" s="23"/>
      <c r="L2" s="23"/>
      <c r="M2" s="23"/>
    </row>
    <row r="5" spans="1:13" x14ac:dyDescent="0.2">
      <c r="A5" t="s">
        <v>504</v>
      </c>
      <c r="B5" t="s">
        <v>505</v>
      </c>
    </row>
    <row r="6" spans="1:13" x14ac:dyDescent="0.2">
      <c r="A6">
        <f>90-ACOS((1-0.857244491577148)/2.5)/PI()*180</f>
        <v>3.2734958606008036</v>
      </c>
      <c r="B6">
        <f>90-ACOS((-0.857244491577148)/2.5)/PI()*180</f>
        <v>-20.053522169347318</v>
      </c>
      <c r="C6" t="s">
        <v>533</v>
      </c>
    </row>
    <row r="7" spans="1:13" x14ac:dyDescent="0.2">
      <c r="A7">
        <f>A6*PI()/180</f>
        <v>5.7133280817889341E-2</v>
      </c>
      <c r="B7">
        <f>B6*PI()/180</f>
        <v>-0.34999998847678654</v>
      </c>
      <c r="C7" t="s">
        <v>534</v>
      </c>
    </row>
    <row r="9" spans="1:13" x14ac:dyDescent="0.2">
      <c r="A9" s="24" t="s">
        <v>746</v>
      </c>
      <c r="B9" s="24"/>
      <c r="C9" s="24"/>
      <c r="D9" s="24"/>
      <c r="E9" s="24"/>
      <c r="F9" s="24"/>
      <c r="G9" s="24"/>
      <c r="H9" s="24"/>
      <c r="I9" s="24"/>
      <c r="J9" s="24"/>
      <c r="K9" s="24"/>
      <c r="L9" s="24"/>
    </row>
    <row r="10" spans="1:13" x14ac:dyDescent="0.2">
      <c r="A10" t="s">
        <v>574</v>
      </c>
      <c r="B10">
        <f>(1-SIN($A$7)+0.625*(COS(2*$B$7)-COS(2*$A$7))+0.857244491577148*(SIN($A$7)-SIN($B$7)))/2</f>
        <v>0.57144889831542955</v>
      </c>
    </row>
    <row r="12" spans="1:13" ht="14.25" customHeight="1" x14ac:dyDescent="0.2">
      <c r="B12" s="20" t="s">
        <v>721</v>
      </c>
      <c r="C12" s="20"/>
      <c r="D12" s="20"/>
    </row>
    <row r="13" spans="1:13" x14ac:dyDescent="0.2">
      <c r="B13" s="20"/>
      <c r="C13" s="20"/>
      <c r="D13" s="20"/>
    </row>
    <row r="14" spans="1:13" x14ac:dyDescent="0.2">
      <c r="B14" s="20"/>
      <c r="C14" s="20"/>
      <c r="D14" s="20"/>
    </row>
    <row r="27" spans="1:20" x14ac:dyDescent="0.2">
      <c r="A27" s="36" t="s">
        <v>741</v>
      </c>
      <c r="B27" s="36"/>
      <c r="C27" s="36"/>
      <c r="D27" s="36"/>
      <c r="E27" s="36"/>
      <c r="F27" s="36"/>
      <c r="G27" s="36"/>
      <c r="H27" s="36"/>
      <c r="I27" s="36"/>
      <c r="J27" s="36"/>
      <c r="K27" s="36"/>
      <c r="L27" s="36"/>
      <c r="M27" s="36"/>
      <c r="N27" s="36"/>
      <c r="O27" s="36"/>
      <c r="P27" s="36"/>
      <c r="Q27" s="36"/>
      <c r="R27" s="36"/>
      <c r="S27" s="36"/>
      <c r="T27" s="36"/>
    </row>
    <row r="28" spans="1:20" x14ac:dyDescent="0.2">
      <c r="A28" s="36"/>
      <c r="B28" s="36"/>
      <c r="C28" s="36"/>
      <c r="D28" s="36"/>
      <c r="E28" s="36"/>
      <c r="F28" s="36"/>
      <c r="G28" s="36"/>
      <c r="H28" s="36"/>
      <c r="I28" s="36"/>
      <c r="J28" s="36"/>
      <c r="K28" s="36"/>
      <c r="L28" s="36"/>
      <c r="M28" s="36"/>
      <c r="N28" s="36"/>
      <c r="O28" s="36"/>
      <c r="P28" s="36"/>
      <c r="Q28" s="36"/>
      <c r="R28" s="36"/>
      <c r="S28" s="36"/>
      <c r="T28" s="36"/>
    </row>
    <row r="29" spans="1:20" x14ac:dyDescent="0.2">
      <c r="A29" t="s">
        <v>742</v>
      </c>
      <c r="B29">
        <v>90</v>
      </c>
      <c r="C29">
        <v>85</v>
      </c>
      <c r="D29">
        <v>80</v>
      </c>
      <c r="E29">
        <v>75</v>
      </c>
      <c r="F29">
        <v>70</v>
      </c>
      <c r="G29">
        <v>65</v>
      </c>
      <c r="H29">
        <v>60</v>
      </c>
      <c r="I29">
        <v>55</v>
      </c>
      <c r="J29">
        <v>50</v>
      </c>
      <c r="K29">
        <v>45</v>
      </c>
      <c r="L29">
        <v>40</v>
      </c>
      <c r="M29">
        <v>35</v>
      </c>
      <c r="N29">
        <v>30</v>
      </c>
      <c r="O29">
        <v>25</v>
      </c>
      <c r="P29">
        <v>20</v>
      </c>
      <c r="Q29">
        <v>15</v>
      </c>
      <c r="R29">
        <v>10</v>
      </c>
      <c r="S29">
        <v>5</v>
      </c>
      <c r="T29">
        <v>0</v>
      </c>
    </row>
    <row r="30" spans="1:20" x14ac:dyDescent="0.2">
      <c r="A30" t="s">
        <v>722</v>
      </c>
      <c r="B30">
        <v>0.85724449999708396</v>
      </c>
      <c r="C30">
        <v>0.84376195682410304</v>
      </c>
      <c r="D30">
        <v>0.782895928125103</v>
      </c>
      <c r="E30">
        <v>0.71762661398175398</v>
      </c>
      <c r="F30">
        <v>0.65264783028910001</v>
      </c>
      <c r="G30">
        <v>0.61546960806318596</v>
      </c>
      <c r="H30">
        <v>0.59530264094654695</v>
      </c>
      <c r="I30">
        <v>0.58204103262116502</v>
      </c>
      <c r="J30">
        <v>0.57266158850138504</v>
      </c>
      <c r="K30">
        <v>0.56572265885024298</v>
      </c>
      <c r="L30">
        <v>0.56046458444023195</v>
      </c>
      <c r="M30">
        <v>0.55640779830900999</v>
      </c>
      <c r="N30">
        <v>0.55326585545261497</v>
      </c>
      <c r="O30">
        <v>0.55083699971329603</v>
      </c>
      <c r="P30">
        <v>0.54898411033025896</v>
      </c>
      <c r="Q30">
        <v>0.54761310185080903</v>
      </c>
      <c r="R30">
        <v>0.54668372749474403</v>
      </c>
      <c r="S30">
        <v>0.54612759501422303</v>
      </c>
      <c r="T30">
        <v>0.54595341156446997</v>
      </c>
    </row>
    <row r="31" spans="1:20" x14ac:dyDescent="0.2">
      <c r="A31" t="s">
        <v>726</v>
      </c>
      <c r="B31">
        <v>0.84376195682419797</v>
      </c>
      <c r="C31">
        <v>0.82151071583296498</v>
      </c>
      <c r="D31">
        <v>0.77393442828839898</v>
      </c>
      <c r="E31">
        <v>0.71236010277783601</v>
      </c>
      <c r="F31">
        <v>0.65728494094629897</v>
      </c>
      <c r="G31">
        <v>0.61815911240244903</v>
      </c>
      <c r="H31">
        <v>0.59637646809747402</v>
      </c>
      <c r="I31">
        <v>0.58265162967580797</v>
      </c>
      <c r="J31">
        <v>0.57305527196289396</v>
      </c>
      <c r="K31">
        <v>0.56600783188510495</v>
      </c>
      <c r="L31">
        <v>0.56067904072865105</v>
      </c>
      <c r="M31">
        <v>0.55658058432317004</v>
      </c>
      <c r="N31">
        <v>0.55340608805440095</v>
      </c>
      <c r="O31">
        <v>0.55095578240584797</v>
      </c>
      <c r="P31">
        <v>0.54908982234760095</v>
      </c>
      <c r="Q31">
        <v>0.54771807940107897</v>
      </c>
      <c r="R31">
        <v>0.546779245872415</v>
      </c>
      <c r="S31">
        <v>0.54623542955551996</v>
      </c>
      <c r="T31">
        <v>0.54604046178410603</v>
      </c>
    </row>
    <row r="32" spans="1:20" x14ac:dyDescent="0.2">
      <c r="A32" t="s">
        <v>727</v>
      </c>
      <c r="B32">
        <v>0.78289592812530495</v>
      </c>
      <c r="C32">
        <v>0.77393440067570896</v>
      </c>
      <c r="D32">
        <v>0.74325688667946399</v>
      </c>
      <c r="E32">
        <v>0.70227478708360402</v>
      </c>
      <c r="F32">
        <v>0.66144381888072101</v>
      </c>
      <c r="G32">
        <v>0.62676217659596301</v>
      </c>
      <c r="H32">
        <v>0.60032975912438802</v>
      </c>
      <c r="I32">
        <v>0.58463815649031203</v>
      </c>
      <c r="J32">
        <v>0.57430932420035896</v>
      </c>
      <c r="K32">
        <v>0.56688750617508599</v>
      </c>
      <c r="L32">
        <v>0.56134080580071599</v>
      </c>
      <c r="M32">
        <v>0.557105945558939</v>
      </c>
      <c r="N32">
        <v>0.55384094209757895</v>
      </c>
      <c r="O32">
        <v>0.55132857481948205</v>
      </c>
      <c r="P32">
        <v>0.54942230558246796</v>
      </c>
      <c r="Q32">
        <v>0.54802271383839196</v>
      </c>
      <c r="R32">
        <v>0.54706445155197503</v>
      </c>
      <c r="S32">
        <v>0.54650433518738695</v>
      </c>
      <c r="T32">
        <v>0.546313579548524</v>
      </c>
    </row>
    <row r="33" spans="1:20" x14ac:dyDescent="0.2">
      <c r="A33" t="s">
        <v>728</v>
      </c>
      <c r="B33">
        <v>0.717626613981447</v>
      </c>
      <c r="C33">
        <v>0.712360108972244</v>
      </c>
      <c r="D33">
        <v>0.70227472934754198</v>
      </c>
      <c r="E33">
        <v>0.68553093440544299</v>
      </c>
      <c r="F33">
        <v>0.66145898916795498</v>
      </c>
      <c r="G33">
        <v>0.63383996507929097</v>
      </c>
      <c r="H33">
        <v>0.60876047541018496</v>
      </c>
      <c r="I33">
        <v>0.58883630095071104</v>
      </c>
      <c r="J33">
        <v>0.57665444743480498</v>
      </c>
      <c r="K33">
        <v>0.56846601599896796</v>
      </c>
      <c r="L33">
        <v>0.56250362795745701</v>
      </c>
      <c r="M33">
        <v>0.558016428646951</v>
      </c>
      <c r="N33">
        <v>0.55458944517708697</v>
      </c>
      <c r="O33">
        <v>0.55196731302501401</v>
      </c>
      <c r="P33">
        <v>0.54998584942663997</v>
      </c>
      <c r="Q33">
        <v>0.54853523676664995</v>
      </c>
      <c r="R33">
        <v>0.54754662537227805</v>
      </c>
      <c r="S33">
        <v>0.54696648220800503</v>
      </c>
      <c r="T33">
        <v>0.54677382082383996</v>
      </c>
    </row>
    <row r="34" spans="1:20" x14ac:dyDescent="0.2">
      <c r="A34" t="s">
        <v>729</v>
      </c>
      <c r="B34">
        <v>0.65264783028942297</v>
      </c>
      <c r="C34">
        <v>0.65728504927081</v>
      </c>
      <c r="D34">
        <v>0.66144383725092704</v>
      </c>
      <c r="E34">
        <v>0.66145906154047795</v>
      </c>
      <c r="F34">
        <v>0.65301719773995803</v>
      </c>
      <c r="G34">
        <v>0.636803831859305</v>
      </c>
      <c r="H34">
        <v>0.61628765064788404</v>
      </c>
      <c r="I34">
        <v>0.59679055882081899</v>
      </c>
      <c r="J34">
        <v>0.58086533282905095</v>
      </c>
      <c r="K34">
        <v>0.57098439166168202</v>
      </c>
      <c r="L34">
        <v>0.56427957783926597</v>
      </c>
      <c r="M34">
        <v>0.55937486033799999</v>
      </c>
      <c r="N34">
        <v>0.55568840292670396</v>
      </c>
      <c r="O34">
        <v>0.55289767433965897</v>
      </c>
      <c r="P34">
        <v>0.550802499527145</v>
      </c>
      <c r="Q34">
        <v>0.549276555364409</v>
      </c>
      <c r="R34">
        <v>0.54823812726905197</v>
      </c>
      <c r="S34">
        <v>0.54763081404682201</v>
      </c>
      <c r="T34">
        <v>0.54743202655182099</v>
      </c>
    </row>
    <row r="35" spans="1:20" x14ac:dyDescent="0.2">
      <c r="A35" t="s">
        <v>730</v>
      </c>
      <c r="B35">
        <v>0.61546960806304596</v>
      </c>
      <c r="C35">
        <v>0.61815882919324106</v>
      </c>
      <c r="D35">
        <v>0.62676206767613696</v>
      </c>
      <c r="E35">
        <v>0.63383996217420102</v>
      </c>
      <c r="F35">
        <v>0.63680379996121295</v>
      </c>
      <c r="G35">
        <v>0.63218697145582203</v>
      </c>
      <c r="H35">
        <v>0.62037747188208503</v>
      </c>
      <c r="I35">
        <v>0.60423689438527906</v>
      </c>
      <c r="J35">
        <v>0.58836991393593696</v>
      </c>
      <c r="K35">
        <v>0.57515209527498201</v>
      </c>
      <c r="L35">
        <v>0.56690197411277798</v>
      </c>
      <c r="M35">
        <v>0.56129537160831</v>
      </c>
      <c r="N35">
        <v>0.55720544156243801</v>
      </c>
      <c r="O35">
        <v>0.55416093652565501</v>
      </c>
      <c r="P35">
        <v>0.55190101706657302</v>
      </c>
      <c r="Q35">
        <v>0.55026611299180594</v>
      </c>
      <c r="R35">
        <v>0.54915821426011402</v>
      </c>
      <c r="S35">
        <v>0.54851523786681999</v>
      </c>
      <c r="T35">
        <v>0.54830429421485105</v>
      </c>
    </row>
    <row r="36" spans="1:20" x14ac:dyDescent="0.2">
      <c r="A36" t="s">
        <v>723</v>
      </c>
      <c r="B36">
        <v>0.595302640946346</v>
      </c>
      <c r="C36">
        <v>0.59637656118966598</v>
      </c>
      <c r="D36">
        <v>0.60032996897941804</v>
      </c>
      <c r="E36">
        <v>0.60876046173641296</v>
      </c>
      <c r="F36">
        <v>0.61628784009002202</v>
      </c>
      <c r="G36">
        <v>0.620377680274392</v>
      </c>
      <c r="H36">
        <v>0.61785716644863398</v>
      </c>
      <c r="I36">
        <v>0.60881653506751499</v>
      </c>
      <c r="J36">
        <v>0.59561689484607505</v>
      </c>
      <c r="K36">
        <v>0.58229060305355795</v>
      </c>
      <c r="L36">
        <v>0.57102806565012798</v>
      </c>
      <c r="M36">
        <v>0.56400256436240104</v>
      </c>
      <c r="N36">
        <v>0.55925321279000095</v>
      </c>
      <c r="O36">
        <v>0.55582629333437295</v>
      </c>
      <c r="P36">
        <v>0.55332594700795601</v>
      </c>
      <c r="Q36">
        <v>0.55153795254528903</v>
      </c>
      <c r="R36">
        <v>0.55033364739174195</v>
      </c>
      <c r="S36">
        <v>0.54963660362100597</v>
      </c>
      <c r="T36">
        <v>0.54940963961675604</v>
      </c>
    </row>
    <row r="37" spans="1:20" x14ac:dyDescent="0.2">
      <c r="A37" t="s">
        <v>731</v>
      </c>
      <c r="B37">
        <v>0.58204103262079099</v>
      </c>
      <c r="C37">
        <v>0.58265135945249302</v>
      </c>
      <c r="D37">
        <v>0.584638272286507</v>
      </c>
      <c r="E37">
        <v>0.58883653391825497</v>
      </c>
      <c r="F37">
        <v>0.59679049352463398</v>
      </c>
      <c r="G37">
        <v>0.60423684296629798</v>
      </c>
      <c r="H37">
        <v>0.60881655023079795</v>
      </c>
      <c r="I37">
        <v>0.60758717079826197</v>
      </c>
      <c r="J37">
        <v>0.600433897541091</v>
      </c>
      <c r="K37">
        <v>0.58933949284788301</v>
      </c>
      <c r="L37">
        <v>0.57788904018675802</v>
      </c>
      <c r="M37">
        <v>0.568110808112959</v>
      </c>
      <c r="N37">
        <v>0.56205049077255798</v>
      </c>
      <c r="O37">
        <v>0.55800715167848403</v>
      </c>
      <c r="P37">
        <v>0.55514948536537101</v>
      </c>
      <c r="Q37">
        <v>0.55314102014066402</v>
      </c>
      <c r="R37">
        <v>0.551803713441684</v>
      </c>
      <c r="S37">
        <v>0.551033870231463</v>
      </c>
      <c r="T37">
        <v>0.55078194475502196</v>
      </c>
    </row>
    <row r="38" spans="1:20" x14ac:dyDescent="0.2">
      <c r="A38" t="s">
        <v>732</v>
      </c>
      <c r="B38">
        <v>0.57266158850159798</v>
      </c>
      <c r="C38">
        <v>0.57305503275542502</v>
      </c>
      <c r="D38">
        <v>0.57430928660015701</v>
      </c>
      <c r="E38">
        <v>0.57665422379429998</v>
      </c>
      <c r="F38">
        <v>0.58086535479106804</v>
      </c>
      <c r="G38">
        <v>0.58836989224370495</v>
      </c>
      <c r="H38">
        <v>0.59561700950072605</v>
      </c>
      <c r="I38">
        <v>0.60043414768834902</v>
      </c>
      <c r="J38">
        <v>0.600076545687246</v>
      </c>
      <c r="K38">
        <v>0.59429374190578299</v>
      </c>
      <c r="L38">
        <v>0.58478285042203204</v>
      </c>
      <c r="M38">
        <v>0.57478033999176203</v>
      </c>
      <c r="N38">
        <v>0.56617763272462096</v>
      </c>
      <c r="O38">
        <v>0.56091557552927696</v>
      </c>
      <c r="P38">
        <v>0.557485220587421</v>
      </c>
      <c r="Q38">
        <v>0.55515027356230195</v>
      </c>
      <c r="R38">
        <v>0.55362158522082505</v>
      </c>
      <c r="S38">
        <v>0.55275066015354402</v>
      </c>
      <c r="T38">
        <v>0.55246727522607997</v>
      </c>
    </row>
    <row r="39" spans="1:20" x14ac:dyDescent="0.2">
      <c r="A39" t="s">
        <v>733</v>
      </c>
      <c r="B39">
        <v>0.56572265885036999</v>
      </c>
      <c r="C39">
        <v>0.56600760840244202</v>
      </c>
      <c r="D39">
        <v>0.56688784447829099</v>
      </c>
      <c r="E39">
        <v>0.56846627238108904</v>
      </c>
      <c r="F39">
        <v>0.57098417294937898</v>
      </c>
      <c r="G39">
        <v>0.57515213083348204</v>
      </c>
      <c r="H39">
        <v>0.58229039138644201</v>
      </c>
      <c r="I39">
        <v>0.58933968243100998</v>
      </c>
      <c r="J39">
        <v>0.59429380253727104</v>
      </c>
      <c r="K39">
        <v>0.59457595727495205</v>
      </c>
      <c r="L39">
        <v>0.58984406676642998</v>
      </c>
      <c r="M39">
        <v>0.58157739350076598</v>
      </c>
      <c r="N39">
        <v>0.57273933821987499</v>
      </c>
      <c r="O39">
        <v>0.56510915399156703</v>
      </c>
      <c r="P39">
        <v>0.56054377698546898</v>
      </c>
      <c r="Q39">
        <v>0.55768286975081505</v>
      </c>
      <c r="R39">
        <v>0.55586850893637596</v>
      </c>
      <c r="S39">
        <v>0.554851018369653</v>
      </c>
      <c r="T39">
        <v>0.55452201741797802</v>
      </c>
    </row>
    <row r="40" spans="1:20" x14ac:dyDescent="0.2">
      <c r="A40" t="s">
        <v>734</v>
      </c>
      <c r="B40">
        <v>0.56046458444013203</v>
      </c>
      <c r="C40">
        <v>0.56067994684593703</v>
      </c>
      <c r="D40">
        <v>0.56134150656796999</v>
      </c>
      <c r="E40">
        <v>0.56250367833999204</v>
      </c>
      <c r="F40">
        <v>0.56427935321116396</v>
      </c>
      <c r="G40">
        <v>0.56690205768928004</v>
      </c>
      <c r="H40">
        <v>0.57102792221037801</v>
      </c>
      <c r="I40">
        <v>0.57788903408646897</v>
      </c>
      <c r="J40">
        <v>0.58478297415904001</v>
      </c>
      <c r="K40">
        <v>0.58984379674853105</v>
      </c>
      <c r="L40">
        <v>0.59063614025192601</v>
      </c>
      <c r="M40">
        <v>0.58675456292535499</v>
      </c>
      <c r="N40">
        <v>0.57950974496112295</v>
      </c>
      <c r="O40">
        <v>0.57165040679831203</v>
      </c>
      <c r="P40">
        <v>0.56486675894683303</v>
      </c>
      <c r="Q40">
        <v>0.56095333342701903</v>
      </c>
      <c r="R40">
        <v>0.55867178764755998</v>
      </c>
      <c r="S40">
        <v>0.55743062230455898</v>
      </c>
      <c r="T40">
        <v>0.55703468497347597</v>
      </c>
    </row>
    <row r="41" spans="1:20" x14ac:dyDescent="0.2">
      <c r="A41" t="s">
        <v>735</v>
      </c>
      <c r="B41">
        <v>0.55640779830904297</v>
      </c>
      <c r="C41">
        <v>0.55658081194366504</v>
      </c>
      <c r="D41">
        <v>0.55710559005001303</v>
      </c>
      <c r="E41">
        <v>0.55801662862142298</v>
      </c>
      <c r="F41">
        <v>0.559374940569903</v>
      </c>
      <c r="G41">
        <v>0.56129542773001495</v>
      </c>
      <c r="H41">
        <v>0.56400220768929199</v>
      </c>
      <c r="I41">
        <v>0.56811083208625002</v>
      </c>
      <c r="J41">
        <v>0.57478030437705296</v>
      </c>
      <c r="K41">
        <v>0.581577386358898</v>
      </c>
      <c r="L41">
        <v>0.58675479809208198</v>
      </c>
      <c r="M41">
        <v>0.58799192718737303</v>
      </c>
      <c r="N41">
        <v>0.58483997439898505</v>
      </c>
      <c r="O41">
        <v>0.57847828984813898</v>
      </c>
      <c r="P41">
        <v>0.57148903907573001</v>
      </c>
      <c r="Q41">
        <v>0.56549586601861501</v>
      </c>
      <c r="R41">
        <v>0.56225530050179495</v>
      </c>
      <c r="S41">
        <v>0.56063672412862497</v>
      </c>
      <c r="T41">
        <v>0.56013172164208003</v>
      </c>
    </row>
    <row r="42" spans="1:20" x14ac:dyDescent="0.2">
      <c r="A42" t="s">
        <v>724</v>
      </c>
      <c r="B42">
        <v>0.55326585545276197</v>
      </c>
      <c r="C42">
        <v>0.55340661210072795</v>
      </c>
      <c r="D42">
        <v>0.55384102615268604</v>
      </c>
      <c r="E42">
        <v>0.55458923676230998</v>
      </c>
      <c r="F42">
        <v>0.55568860850556101</v>
      </c>
      <c r="G42">
        <v>0.55720555563906204</v>
      </c>
      <c r="H42">
        <v>0.55925339240104699</v>
      </c>
      <c r="I42">
        <v>0.56205019278030999</v>
      </c>
      <c r="J42">
        <v>0.56617695765493403</v>
      </c>
      <c r="K42">
        <v>0.57273942301733305</v>
      </c>
      <c r="L42">
        <v>0.579509865044743</v>
      </c>
      <c r="M42">
        <v>0.58483990326941904</v>
      </c>
      <c r="N42">
        <v>0.58650552795003497</v>
      </c>
      <c r="O42">
        <v>0.58402667270946496</v>
      </c>
      <c r="P42">
        <v>0.57848414796528602</v>
      </c>
      <c r="Q42">
        <v>0.57233453640004694</v>
      </c>
      <c r="R42">
        <v>0.56716475388210197</v>
      </c>
      <c r="S42">
        <v>0.56472522454833596</v>
      </c>
      <c r="T42">
        <v>0.56402392845972704</v>
      </c>
    </row>
    <row r="43" spans="1:20" x14ac:dyDescent="0.2">
      <c r="A43" t="s">
        <v>736</v>
      </c>
      <c r="B43">
        <v>0.55083699971297295</v>
      </c>
      <c r="C43">
        <v>0.55095441772652898</v>
      </c>
      <c r="D43">
        <v>0.55132887270289599</v>
      </c>
      <c r="E43">
        <v>0.55196772757402002</v>
      </c>
      <c r="F43">
        <v>0.55289715953614404</v>
      </c>
      <c r="G43">
        <v>0.55416084744500205</v>
      </c>
      <c r="H43">
        <v>0.555826124961046</v>
      </c>
      <c r="I43">
        <v>0.55800692829181298</v>
      </c>
      <c r="J43">
        <v>0.56091563506263098</v>
      </c>
      <c r="K43">
        <v>0.56510911952457998</v>
      </c>
      <c r="L43">
        <v>0.57165044860134795</v>
      </c>
      <c r="M43">
        <v>0.57847847822750997</v>
      </c>
      <c r="N43">
        <v>0.58402690164705096</v>
      </c>
      <c r="O43">
        <v>0.58615370299497904</v>
      </c>
      <c r="P43">
        <v>0.584361013755199</v>
      </c>
      <c r="Q43">
        <v>0.57966223871192302</v>
      </c>
      <c r="R43">
        <v>0.57443952862388903</v>
      </c>
      <c r="S43">
        <v>0.570296589018911</v>
      </c>
      <c r="T43">
        <v>0.56909159805182696</v>
      </c>
    </row>
    <row r="44" spans="1:20" x14ac:dyDescent="0.2">
      <c r="A44" t="s">
        <v>737</v>
      </c>
      <c r="B44">
        <v>0.54898411032988303</v>
      </c>
      <c r="C44">
        <v>0.54908985656115805</v>
      </c>
      <c r="D44">
        <v>0.54942138826533704</v>
      </c>
      <c r="E44">
        <v>0.54998648742326695</v>
      </c>
      <c r="F44">
        <v>0.55080203596056099</v>
      </c>
      <c r="G44">
        <v>0.551900768901743</v>
      </c>
      <c r="H44">
        <v>0.55332600901340001</v>
      </c>
      <c r="I44">
        <v>0.55514924959538603</v>
      </c>
      <c r="J44">
        <v>0.55748548715995005</v>
      </c>
      <c r="K44">
        <v>0.560543834317207</v>
      </c>
      <c r="L44">
        <v>0.56486735411502897</v>
      </c>
      <c r="M44">
        <v>0.57148915694650204</v>
      </c>
      <c r="N44">
        <v>0.57848422663143695</v>
      </c>
      <c r="O44">
        <v>0.58436123562752096</v>
      </c>
      <c r="P44">
        <v>0.58705381251840805</v>
      </c>
      <c r="Q44">
        <v>0.58606960782105999</v>
      </c>
      <c r="R44">
        <v>0.58241178597509802</v>
      </c>
      <c r="S44">
        <v>0.57850495376363698</v>
      </c>
      <c r="T44">
        <v>0.57631777224955305</v>
      </c>
    </row>
    <row r="45" spans="1:20" x14ac:dyDescent="0.2">
      <c r="A45" t="s">
        <v>738</v>
      </c>
      <c r="B45">
        <v>0.54761310185061496</v>
      </c>
      <c r="C45">
        <v>0.54771846203862296</v>
      </c>
      <c r="D45">
        <v>0.54802239016613696</v>
      </c>
      <c r="E45">
        <v>0.54853685174933098</v>
      </c>
      <c r="F45">
        <v>0.54927672010560702</v>
      </c>
      <c r="G45">
        <v>0.55026585330387301</v>
      </c>
      <c r="H45">
        <v>0.55153781077294695</v>
      </c>
      <c r="I45">
        <v>0.55314124684510901</v>
      </c>
      <c r="J45">
        <v>0.55515046791356004</v>
      </c>
      <c r="K45">
        <v>0.55768256873077005</v>
      </c>
      <c r="L45">
        <v>0.56095358457184297</v>
      </c>
      <c r="M45">
        <v>0.56549623444073005</v>
      </c>
      <c r="N45">
        <v>0.57233453449345495</v>
      </c>
      <c r="O45">
        <v>0.57966228613793203</v>
      </c>
      <c r="P45">
        <v>0.586069487783201</v>
      </c>
      <c r="Q45">
        <v>0.58959067472214299</v>
      </c>
      <c r="R45">
        <v>0.58983240915822499</v>
      </c>
      <c r="S45">
        <v>0.58812625745094604</v>
      </c>
      <c r="T45">
        <v>0.58762252470348497</v>
      </c>
    </row>
    <row r="46" spans="1:20" x14ac:dyDescent="0.2">
      <c r="A46" t="s">
        <v>739</v>
      </c>
      <c r="B46">
        <v>0.54668372749489003</v>
      </c>
      <c r="C46">
        <v>0.54677937583200997</v>
      </c>
      <c r="D46">
        <v>0.54706390266313998</v>
      </c>
      <c r="E46">
        <v>0.54754579089239797</v>
      </c>
      <c r="F46">
        <v>0.54823749855002701</v>
      </c>
      <c r="G46">
        <v>0.54915769133548897</v>
      </c>
      <c r="H46">
        <v>0.55033329097118899</v>
      </c>
      <c r="I46">
        <v>0.55180281271736698</v>
      </c>
      <c r="J46">
        <v>0.55362113667548496</v>
      </c>
      <c r="K46">
        <v>0.55586731960022995</v>
      </c>
      <c r="L46">
        <v>0.55867131559190697</v>
      </c>
      <c r="M46">
        <v>0.56225510795078204</v>
      </c>
      <c r="N46">
        <v>0.56716440529916501</v>
      </c>
      <c r="O46">
        <v>0.57443986421606796</v>
      </c>
      <c r="P46">
        <v>0.58241152094125703</v>
      </c>
      <c r="Q46">
        <v>0.58983163071853395</v>
      </c>
      <c r="R46">
        <v>0.59514522508989198</v>
      </c>
      <c r="S46">
        <v>0.59870480248132696</v>
      </c>
      <c r="T46">
        <v>0.59966021637037303</v>
      </c>
    </row>
    <row r="47" spans="1:20" x14ac:dyDescent="0.2">
      <c r="A47" t="s">
        <v>740</v>
      </c>
      <c r="B47">
        <v>0.54612759501422803</v>
      </c>
      <c r="C47">
        <v>0.54623005284408299</v>
      </c>
      <c r="D47">
        <v>0.54650448249200601</v>
      </c>
      <c r="E47">
        <v>0.54696836628686796</v>
      </c>
      <c r="F47">
        <v>0.54763305287914099</v>
      </c>
      <c r="G47">
        <v>0.54851501226229304</v>
      </c>
      <c r="H47">
        <v>0.54963799263276802</v>
      </c>
      <c r="I47">
        <v>0.55103486080721198</v>
      </c>
      <c r="J47">
        <v>0.55275119367425896</v>
      </c>
      <c r="K47">
        <v>0.55485125972157301</v>
      </c>
      <c r="L47">
        <v>0.55743070447996601</v>
      </c>
      <c r="M47">
        <v>0.56063686904241805</v>
      </c>
      <c r="N47">
        <v>0.56472559005368095</v>
      </c>
      <c r="O47">
        <v>0.57029640291142403</v>
      </c>
      <c r="P47">
        <v>0.57850511945518301</v>
      </c>
      <c r="Q47">
        <v>0.58812640666431804</v>
      </c>
      <c r="R47">
        <v>0.59870550296504599</v>
      </c>
      <c r="S47">
        <v>0.60655430609157701</v>
      </c>
      <c r="T47">
        <v>0.60961636760792304</v>
      </c>
    </row>
    <row r="48" spans="1:20" x14ac:dyDescent="0.2">
      <c r="A48" t="s">
        <v>725</v>
      </c>
      <c r="B48">
        <v>0.54595341156436505</v>
      </c>
      <c r="C48">
        <v>0.54604997339335004</v>
      </c>
      <c r="D48">
        <v>0.54632093214451505</v>
      </c>
      <c r="E48">
        <v>0.54677904153324797</v>
      </c>
      <c r="F48">
        <v>0.54743499688427399</v>
      </c>
      <c r="G48">
        <v>0.54830461273822895</v>
      </c>
      <c r="H48">
        <v>0.54941070863910602</v>
      </c>
      <c r="I48">
        <v>0.55078455711735397</v>
      </c>
      <c r="J48">
        <v>0.55246874258076495</v>
      </c>
      <c r="K48">
        <v>0.55452361117545901</v>
      </c>
      <c r="L48">
        <v>0.557034912642975</v>
      </c>
      <c r="M48">
        <v>0.560132697921638</v>
      </c>
      <c r="N48">
        <v>0.56402460248332598</v>
      </c>
      <c r="O48">
        <v>0.569091892040539</v>
      </c>
      <c r="P48">
        <v>0.576316612406086</v>
      </c>
      <c r="Q48">
        <v>0.587622677829578</v>
      </c>
      <c r="R48">
        <v>0.59966033192330503</v>
      </c>
      <c r="S48">
        <v>0.60961600400250904</v>
      </c>
      <c r="T48">
        <v>0.61339393763984396</v>
      </c>
    </row>
    <row r="52" spans="1:20" x14ac:dyDescent="0.2">
      <c r="A52" s="35" t="s">
        <v>743</v>
      </c>
      <c r="B52" s="35"/>
      <c r="C52" s="35"/>
      <c r="D52" s="35"/>
      <c r="E52" s="35"/>
      <c r="F52" s="35"/>
      <c r="G52" s="35"/>
      <c r="H52" s="35"/>
      <c r="I52" s="35"/>
      <c r="J52" s="35"/>
      <c r="K52" s="35"/>
      <c r="L52" s="35"/>
      <c r="M52" s="35"/>
      <c r="N52" s="35"/>
      <c r="O52" s="35"/>
      <c r="P52" s="35"/>
      <c r="Q52" s="35"/>
      <c r="R52" s="35"/>
      <c r="S52" s="35"/>
      <c r="T52" s="35"/>
    </row>
    <row r="53" spans="1:20" x14ac:dyDescent="0.2">
      <c r="A53" s="35"/>
      <c r="B53" s="35"/>
      <c r="C53" s="35"/>
      <c r="D53" s="35"/>
      <c r="E53" s="35"/>
      <c r="F53" s="35"/>
      <c r="G53" s="35"/>
      <c r="H53" s="35"/>
      <c r="I53" s="35"/>
      <c r="J53" s="35"/>
      <c r="K53" s="35"/>
      <c r="L53" s="35"/>
      <c r="M53" s="35"/>
      <c r="N53" s="35"/>
      <c r="O53" s="35"/>
      <c r="P53" s="35"/>
      <c r="Q53" s="35"/>
      <c r="R53" s="35"/>
      <c r="S53" s="35"/>
      <c r="T53" s="35"/>
    </row>
    <row r="54" spans="1:20" x14ac:dyDescent="0.2">
      <c r="A54" t="s">
        <v>742</v>
      </c>
      <c r="B54">
        <v>90</v>
      </c>
      <c r="C54">
        <v>85</v>
      </c>
      <c r="D54">
        <v>80</v>
      </c>
      <c r="E54">
        <v>75</v>
      </c>
      <c r="F54">
        <v>70</v>
      </c>
      <c r="G54">
        <v>65</v>
      </c>
      <c r="H54">
        <v>60</v>
      </c>
      <c r="I54">
        <v>55</v>
      </c>
      <c r="J54">
        <v>50</v>
      </c>
      <c r="K54">
        <v>45</v>
      </c>
      <c r="L54">
        <v>40</v>
      </c>
      <c r="M54">
        <v>35</v>
      </c>
      <c r="N54">
        <v>30</v>
      </c>
      <c r="O54">
        <v>25</v>
      </c>
      <c r="P54">
        <v>20</v>
      </c>
      <c r="Q54">
        <v>15</v>
      </c>
      <c r="R54">
        <v>10</v>
      </c>
      <c r="S54">
        <v>5</v>
      </c>
      <c r="T54">
        <v>0</v>
      </c>
    </row>
    <row r="55" spans="1:20" x14ac:dyDescent="0.2">
      <c r="A55" t="s">
        <v>722</v>
      </c>
      <c r="B55">
        <f>B30</f>
        <v>0.85724449999708396</v>
      </c>
      <c r="C55">
        <f>((1-SIN(C$54*PI()/180))*C30+(1-SIN(B$54*PI()/180))*(B55-C30))/(1-SIN(C$54*PI()/180))</f>
        <v>0.84376195682410304</v>
      </c>
      <c r="D55">
        <f t="shared" ref="D55:T55" si="0">((1-SIN(D$54*PI()/180))*D30+(1-SIN(C$54*PI()/180))*(C55-D30))/(1-SIN(D$54*PI()/180))</f>
        <v>0.79814144219173788</v>
      </c>
      <c r="E55">
        <f t="shared" si="0"/>
        <v>0.7535248038167518</v>
      </c>
      <c r="F55">
        <f t="shared" si="0"/>
        <v>0.70964416414091314</v>
      </c>
      <c r="G55">
        <f t="shared" si="0"/>
        <v>0.67608745970812334</v>
      </c>
      <c r="H55">
        <f t="shared" si="0"/>
        <v>0.65179774268536539</v>
      </c>
      <c r="I55">
        <f t="shared" si="0"/>
        <v>0.63371774097783218</v>
      </c>
      <c r="J55">
        <f t="shared" si="0"/>
        <v>0.61985807533054993</v>
      </c>
      <c r="K55">
        <f t="shared" si="0"/>
        <v>0.60896463475171636</v>
      </c>
      <c r="L55">
        <f t="shared" si="0"/>
        <v>0.60023178242538477</v>
      </c>
      <c r="M55">
        <f t="shared" si="0"/>
        <v>0.59311887962288568</v>
      </c>
      <c r="N55">
        <f t="shared" si="0"/>
        <v>0.58725439263036439</v>
      </c>
      <c r="O55">
        <f t="shared" si="0"/>
        <v>0.58237366818055658</v>
      </c>
      <c r="P55">
        <f t="shared" si="0"/>
        <v>0.57828367133620673</v>
      </c>
      <c r="Q55">
        <f t="shared" si="0"/>
        <v>0.57484075358791209</v>
      </c>
      <c r="R55">
        <f t="shared" si="0"/>
        <v>0.57193865030460245</v>
      </c>
      <c r="S55">
        <f t="shared" si="0"/>
        <v>0.56949304033097936</v>
      </c>
      <c r="T55">
        <f t="shared" si="0"/>
        <v>0.56744142650183005</v>
      </c>
    </row>
    <row r="56" spans="1:20" x14ac:dyDescent="0.2">
      <c r="A56" t="s">
        <v>726</v>
      </c>
      <c r="B56">
        <f t="shared" ref="B56:B73" si="1">B31</f>
        <v>0.84376195682419797</v>
      </c>
      <c r="C56">
        <f t="shared" ref="C56:T56" si="2">((1-SIN(C$54*PI()/180))*C31+(1-SIN(B$54*PI()/180))*(B56-C31))/(1-SIN(C$54*PI()/180))</f>
        <v>0.82151071583296498</v>
      </c>
      <c r="D56">
        <f t="shared" si="2"/>
        <v>0.78585117358134216</v>
      </c>
      <c r="E56">
        <f t="shared" si="2"/>
        <v>0.74512669334921577</v>
      </c>
      <c r="F56">
        <f t="shared" si="2"/>
        <v>0.70691626582652611</v>
      </c>
      <c r="G56">
        <f t="shared" si="2"/>
        <v>0.67528991484814405</v>
      </c>
      <c r="H56">
        <f t="shared" si="2"/>
        <v>0.65156286661992002</v>
      </c>
      <c r="I56">
        <f t="shared" si="2"/>
        <v>0.63370200018182254</v>
      </c>
      <c r="J56">
        <f t="shared" si="2"/>
        <v>0.61993527329807085</v>
      </c>
      <c r="K56">
        <f t="shared" si="2"/>
        <v>0.60908368266120239</v>
      </c>
      <c r="L56">
        <f t="shared" si="2"/>
        <v>0.60036800943630608</v>
      </c>
      <c r="M56">
        <f t="shared" si="2"/>
        <v>0.59326104038542338</v>
      </c>
      <c r="N56">
        <f t="shared" si="2"/>
        <v>0.58739626965850844</v>
      </c>
      <c r="O56">
        <f t="shared" si="2"/>
        <v>0.58251245006433838</v>
      </c>
      <c r="P56">
        <f t="shared" si="2"/>
        <v>0.57841840238319731</v>
      </c>
      <c r="Q56">
        <f t="shared" si="2"/>
        <v>0.57497214466294744</v>
      </c>
      <c r="R56">
        <f t="shared" si="2"/>
        <v>0.57206634403346002</v>
      </c>
      <c r="S56">
        <f t="shared" si="2"/>
        <v>0.56961885239220955</v>
      </c>
      <c r="T56">
        <f t="shared" si="2"/>
        <v>0.56756386024596583</v>
      </c>
    </row>
    <row r="57" spans="1:20" x14ac:dyDescent="0.2">
      <c r="A57" t="s">
        <v>727</v>
      </c>
      <c r="B57">
        <f t="shared" si="1"/>
        <v>0.78289592812530495</v>
      </c>
      <c r="C57">
        <f t="shared" ref="C57:T57" si="3">((1-SIN(C$54*PI()/180))*C32+(1-SIN(B$54*PI()/180))*(B57-C32))/(1-SIN(C$54*PI()/180))</f>
        <v>0.77393440067570896</v>
      </c>
      <c r="D57">
        <f t="shared" si="3"/>
        <v>0.75094088514553814</v>
      </c>
      <c r="E57">
        <f t="shared" si="3"/>
        <v>0.7239729620110803</v>
      </c>
      <c r="F57">
        <f t="shared" si="3"/>
        <v>0.69677330778880009</v>
      </c>
      <c r="G57">
        <f t="shared" si="3"/>
        <v>0.67182662437142071</v>
      </c>
      <c r="H57">
        <f t="shared" si="3"/>
        <v>0.65032953306779229</v>
      </c>
      <c r="I57">
        <f t="shared" si="3"/>
        <v>0.63330321116129817</v>
      </c>
      <c r="J57">
        <f t="shared" si="3"/>
        <v>0.61991167705132311</v>
      </c>
      <c r="K57">
        <f t="shared" si="3"/>
        <v>0.60924184771894274</v>
      </c>
      <c r="L57">
        <f t="shared" si="3"/>
        <v>0.60061685201970638</v>
      </c>
      <c r="M57">
        <f t="shared" si="3"/>
        <v>0.59355476365087578</v>
      </c>
      <c r="N57">
        <f t="shared" si="3"/>
        <v>0.58771076072332984</v>
      </c>
      <c r="O57">
        <f t="shared" si="3"/>
        <v>0.58283475478070956</v>
      </c>
      <c r="P57">
        <f t="shared" si="3"/>
        <v>0.5787419538998021</v>
      </c>
      <c r="Q57">
        <f t="shared" si="3"/>
        <v>0.57529357264715186</v>
      </c>
      <c r="R57">
        <f t="shared" si="3"/>
        <v>0.57238403863797838</v>
      </c>
      <c r="S57">
        <f t="shared" si="3"/>
        <v>0.5699319242179699</v>
      </c>
      <c r="T57">
        <f t="shared" si="3"/>
        <v>0.5678734498458341</v>
      </c>
    </row>
    <row r="58" spans="1:20" x14ac:dyDescent="0.2">
      <c r="A58" t="s">
        <v>728</v>
      </c>
      <c r="B58">
        <f t="shared" si="1"/>
        <v>0.717626613981447</v>
      </c>
      <c r="C58">
        <f t="shared" ref="C58:T58" si="4">((1-SIN(C$54*PI()/180))*C33+(1-SIN(B$54*PI()/180))*(B58-C33))/(1-SIN(C$54*PI()/180))</f>
        <v>0.712360108972244</v>
      </c>
      <c r="D58">
        <f t="shared" si="4"/>
        <v>0.70480088063788027</v>
      </c>
      <c r="E58">
        <f t="shared" si="4"/>
        <v>0.69412259638052809</v>
      </c>
      <c r="F58">
        <f t="shared" si="4"/>
        <v>0.67991420046532791</v>
      </c>
      <c r="G58">
        <f t="shared" si="4"/>
        <v>0.66349682019607614</v>
      </c>
      <c r="H58">
        <f t="shared" si="4"/>
        <v>0.64703914478018754</v>
      </c>
      <c r="I58">
        <f t="shared" si="4"/>
        <v>0.63195374991492326</v>
      </c>
      <c r="J58">
        <f t="shared" si="4"/>
        <v>0.61940088158280848</v>
      </c>
      <c r="K58">
        <f t="shared" si="4"/>
        <v>0.60915147430559125</v>
      </c>
      <c r="L58">
        <f t="shared" si="4"/>
        <v>0.60075212727639438</v>
      </c>
      <c r="M58">
        <f t="shared" si="4"/>
        <v>0.59381585991784203</v>
      </c>
      <c r="N58">
        <f t="shared" si="4"/>
        <v>0.58804358030293624</v>
      </c>
      <c r="O58">
        <f t="shared" si="4"/>
        <v>0.58320857412437399</v>
      </c>
      <c r="P58">
        <f t="shared" si="4"/>
        <v>0.57913901322202066</v>
      </c>
      <c r="Q58">
        <f t="shared" si="4"/>
        <v>0.57570359331000365</v>
      </c>
      <c r="R58">
        <f t="shared" si="4"/>
        <v>0.57280149602068997</v>
      </c>
      <c r="S58">
        <f t="shared" si="4"/>
        <v>0.57035361596548972</v>
      </c>
      <c r="T58">
        <f t="shared" si="4"/>
        <v>0.56829850140608162</v>
      </c>
    </row>
    <row r="59" spans="1:20" x14ac:dyDescent="0.2">
      <c r="A59" t="s">
        <v>729</v>
      </c>
      <c r="B59">
        <f t="shared" si="1"/>
        <v>0.65264783028942297</v>
      </c>
      <c r="C59">
        <f t="shared" ref="C59:T59" si="5">((1-SIN(C$54*PI()/180))*C34+(1-SIN(B$54*PI()/180))*(B59-C34))/(1-SIN(C$54*PI()/180))</f>
        <v>0.65728504927081</v>
      </c>
      <c r="D59">
        <f t="shared" si="5"/>
        <v>0.66040215830445637</v>
      </c>
      <c r="E59">
        <f t="shared" si="5"/>
        <v>0.66098783265199335</v>
      </c>
      <c r="F59">
        <f t="shared" si="5"/>
        <v>0.65752067313747031</v>
      </c>
      <c r="G59">
        <f t="shared" si="5"/>
        <v>0.65013875440584779</v>
      </c>
      <c r="H59">
        <f t="shared" si="5"/>
        <v>0.63996068204282552</v>
      </c>
      <c r="I59">
        <f t="shared" si="5"/>
        <v>0.62877156631689823</v>
      </c>
      <c r="J59">
        <f t="shared" si="5"/>
        <v>0.61789691484228504</v>
      </c>
      <c r="K59">
        <f t="shared" si="5"/>
        <v>0.60845690649106166</v>
      </c>
      <c r="L59">
        <f t="shared" si="5"/>
        <v>0.60050239747900402</v>
      </c>
      <c r="M59">
        <f t="shared" si="5"/>
        <v>0.59382714464454467</v>
      </c>
      <c r="N59">
        <f t="shared" si="5"/>
        <v>0.58821491923952129</v>
      </c>
      <c r="O59">
        <f t="shared" si="5"/>
        <v>0.58348163860421753</v>
      </c>
      <c r="P59">
        <f t="shared" si="5"/>
        <v>0.57947866329377606</v>
      </c>
      <c r="Q59">
        <f t="shared" si="5"/>
        <v>0.57608833259008851</v>
      </c>
      <c r="R59">
        <f t="shared" si="5"/>
        <v>0.57321785287267835</v>
      </c>
      <c r="S59">
        <f t="shared" si="5"/>
        <v>0.57079346856742608</v>
      </c>
      <c r="T59">
        <f t="shared" si="5"/>
        <v>0.56875738473689963</v>
      </c>
    </row>
    <row r="60" spans="1:20" x14ac:dyDescent="0.2">
      <c r="A60" t="s">
        <v>730</v>
      </c>
      <c r="B60">
        <f t="shared" si="1"/>
        <v>0.61546960806304596</v>
      </c>
      <c r="C60">
        <f t="shared" ref="C60:T60" si="6">((1-SIN(C$54*PI()/180))*C35+(1-SIN(B$54*PI()/180))*(B60-C35))/(1-SIN(C$54*PI()/180))</f>
        <v>0.61815882919324106</v>
      </c>
      <c r="D60">
        <f t="shared" si="6"/>
        <v>0.62460715801448918</v>
      </c>
      <c r="E60">
        <f t="shared" si="6"/>
        <v>0.62972344148101533</v>
      </c>
      <c r="F60">
        <f t="shared" si="6"/>
        <v>0.63280333819461121</v>
      </c>
      <c r="G60">
        <f t="shared" si="6"/>
        <v>0.63258371160610172</v>
      </c>
      <c r="H60">
        <f t="shared" si="6"/>
        <v>0.62891363951392631</v>
      </c>
      <c r="I60">
        <f t="shared" si="6"/>
        <v>0.62251775883589999</v>
      </c>
      <c r="J60">
        <f t="shared" si="6"/>
        <v>0.61476624332611896</v>
      </c>
      <c r="K60">
        <f t="shared" si="6"/>
        <v>0.60679485609142103</v>
      </c>
      <c r="L60">
        <f t="shared" si="6"/>
        <v>0.59961179865222547</v>
      </c>
      <c r="M60">
        <f t="shared" si="6"/>
        <v>0.59339280631737323</v>
      </c>
      <c r="N60">
        <f t="shared" si="6"/>
        <v>0.58806773163816606</v>
      </c>
      <c r="O60">
        <f t="shared" si="6"/>
        <v>0.58352348201829018</v>
      </c>
      <c r="P60">
        <f t="shared" si="6"/>
        <v>0.57964994219955501</v>
      </c>
      <c r="Q60">
        <f t="shared" si="6"/>
        <v>0.5763514671862241</v>
      </c>
      <c r="R60">
        <f t="shared" si="6"/>
        <v>0.57354869858631563</v>
      </c>
      <c r="S60">
        <f t="shared" si="6"/>
        <v>0.57117676607440782</v>
      </c>
      <c r="T60">
        <f t="shared" si="6"/>
        <v>0.56918329880101326</v>
      </c>
    </row>
    <row r="61" spans="1:20" x14ac:dyDescent="0.2">
      <c r="A61" t="s">
        <v>723</v>
      </c>
      <c r="B61">
        <f t="shared" si="1"/>
        <v>0.595302640946346</v>
      </c>
      <c r="C61">
        <f t="shared" ref="C61:T61" si="7">((1-SIN(C$54*PI()/180))*C36+(1-SIN(B$54*PI()/180))*(B61-C36))/(1-SIN(C$54*PI()/180))</f>
        <v>0.59637656118966598</v>
      </c>
      <c r="D61">
        <f t="shared" si="7"/>
        <v>0.59933973295846998</v>
      </c>
      <c r="E61">
        <f t="shared" si="7"/>
        <v>0.60456015332648105</v>
      </c>
      <c r="F61">
        <f t="shared" si="7"/>
        <v>0.60966159896968297</v>
      </c>
      <c r="G61">
        <f t="shared" si="7"/>
        <v>0.61348000160407468</v>
      </c>
      <c r="H61">
        <f t="shared" si="7"/>
        <v>0.6147960916450772</v>
      </c>
      <c r="I61">
        <f t="shared" si="7"/>
        <v>0.61324627094634987</v>
      </c>
      <c r="J61">
        <f t="shared" si="7"/>
        <v>0.60924442594941441</v>
      </c>
      <c r="K61">
        <f t="shared" si="7"/>
        <v>0.60382062232549238</v>
      </c>
      <c r="L61">
        <f t="shared" si="7"/>
        <v>0.59791603969084295</v>
      </c>
      <c r="M61">
        <f t="shared" si="7"/>
        <v>0.59241167356416691</v>
      </c>
      <c r="N61">
        <f t="shared" si="7"/>
        <v>0.58753231080686874</v>
      </c>
      <c r="O61">
        <f t="shared" si="7"/>
        <v>0.58328301336164956</v>
      </c>
      <c r="P61">
        <f t="shared" si="7"/>
        <v>0.57961347369892247</v>
      </c>
      <c r="Q61">
        <f t="shared" si="7"/>
        <v>0.57646186250635933</v>
      </c>
      <c r="R61">
        <f t="shared" si="7"/>
        <v>0.573768865787876</v>
      </c>
      <c r="S61">
        <f t="shared" si="7"/>
        <v>0.57148232227474116</v>
      </c>
      <c r="T61">
        <f t="shared" si="7"/>
        <v>0.5695585612232511</v>
      </c>
    </row>
    <row r="62" spans="1:20" x14ac:dyDescent="0.2">
      <c r="A62" t="s">
        <v>731</v>
      </c>
      <c r="B62">
        <f t="shared" si="1"/>
        <v>0.58204103262079099</v>
      </c>
      <c r="C62">
        <f t="shared" ref="C62:T62" si="8">((1-SIN(C$54*PI()/180))*C37+(1-SIN(B$54*PI()/180))*(B62-C37))/(1-SIN(C$54*PI()/180))</f>
        <v>0.58265135945249302</v>
      </c>
      <c r="D62">
        <f t="shared" si="8"/>
        <v>0.58414059717597966</v>
      </c>
      <c r="E62">
        <f t="shared" si="8"/>
        <v>0.58674281239670256</v>
      </c>
      <c r="F62">
        <f t="shared" si="8"/>
        <v>0.59111346964120859</v>
      </c>
      <c r="G62">
        <f t="shared" si="8"/>
        <v>0.59578964947334612</v>
      </c>
      <c r="H62">
        <f t="shared" si="8"/>
        <v>0.59970647119718912</v>
      </c>
      <c r="I62">
        <f t="shared" si="8"/>
        <v>0.60174904261595041</v>
      </c>
      <c r="J62">
        <f t="shared" si="8"/>
        <v>0.60145050642793474</v>
      </c>
      <c r="K62">
        <f t="shared" si="8"/>
        <v>0.59901345845894516</v>
      </c>
      <c r="L62">
        <f t="shared" si="8"/>
        <v>0.59520982477061091</v>
      </c>
      <c r="M62">
        <f t="shared" si="8"/>
        <v>0.59081148729820476</v>
      </c>
      <c r="N62">
        <f t="shared" si="8"/>
        <v>0.58657922403768092</v>
      </c>
      <c r="O62">
        <f t="shared" si="8"/>
        <v>0.58274994354902054</v>
      </c>
      <c r="P62">
        <f t="shared" si="8"/>
        <v>0.57936907257792647</v>
      </c>
      <c r="Q62">
        <f t="shared" si="8"/>
        <v>0.57642484856270415</v>
      </c>
      <c r="R62">
        <f t="shared" si="8"/>
        <v>0.57388718436347053</v>
      </c>
      <c r="S62">
        <f t="shared" si="8"/>
        <v>0.57172182179526865</v>
      </c>
      <c r="T62">
        <f t="shared" si="8"/>
        <v>0.56989679125878134</v>
      </c>
    </row>
    <row r="63" spans="1:20" x14ac:dyDescent="0.2">
      <c r="A63" t="s">
        <v>732</v>
      </c>
      <c r="B63">
        <f t="shared" si="1"/>
        <v>0.57266158850159798</v>
      </c>
      <c r="C63">
        <f t="shared" ref="C63:T63" si="9">((1-SIN(C$54*PI()/180))*C38+(1-SIN(B$54*PI()/180))*(B63-C38))/(1-SIN(C$54*PI()/180))</f>
        <v>0.57305503275542502</v>
      </c>
      <c r="D63">
        <f t="shared" si="9"/>
        <v>0.57399512539986641</v>
      </c>
      <c r="E63">
        <f t="shared" si="9"/>
        <v>0.5754686431866588</v>
      </c>
      <c r="F63">
        <f t="shared" si="9"/>
        <v>0.57781616759253907</v>
      </c>
      <c r="G63">
        <f t="shared" si="9"/>
        <v>0.58157671856866389</v>
      </c>
      <c r="H63">
        <f t="shared" si="9"/>
        <v>0.58579823814232901</v>
      </c>
      <c r="I63">
        <f t="shared" si="9"/>
        <v>0.58959166918774097</v>
      </c>
      <c r="J63">
        <f t="shared" si="9"/>
        <v>0.59197172224942451</v>
      </c>
      <c r="K63">
        <f t="shared" si="9"/>
        <v>0.59243897243043353</v>
      </c>
      <c r="L63">
        <f t="shared" si="9"/>
        <v>0.59106042163590133</v>
      </c>
      <c r="M63">
        <f t="shared" si="9"/>
        <v>0.5884180640162926</v>
      </c>
      <c r="N63">
        <f t="shared" si="9"/>
        <v>0.58514532066158964</v>
      </c>
      <c r="O63">
        <f t="shared" si="9"/>
        <v>0.58189800667211233</v>
      </c>
      <c r="P63">
        <f t="shared" si="9"/>
        <v>0.57890760414878917</v>
      </c>
      <c r="Q63">
        <f t="shared" si="9"/>
        <v>0.57624073044866897</v>
      </c>
      <c r="R63">
        <f t="shared" si="9"/>
        <v>0.57390940840442406</v>
      </c>
      <c r="S63">
        <f t="shared" si="9"/>
        <v>0.57190460677312394</v>
      </c>
      <c r="T63">
        <f t="shared" si="9"/>
        <v>0.57021053170510883</v>
      </c>
    </row>
    <row r="64" spans="1:20" x14ac:dyDescent="0.2">
      <c r="A64" t="s">
        <v>733</v>
      </c>
      <c r="B64">
        <f t="shared" si="1"/>
        <v>0.56572265885036999</v>
      </c>
      <c r="C64">
        <f t="shared" ref="C64:T64" si="10">((1-SIN(C$54*PI()/180))*C39+(1-SIN(B$54*PI()/180))*(B64-C39))/(1-SIN(C$54*PI()/180))</f>
        <v>0.56600760840244202</v>
      </c>
      <c r="D64">
        <f t="shared" si="10"/>
        <v>0.56666736596567635</v>
      </c>
      <c r="E64">
        <f t="shared" si="10"/>
        <v>0.56766421535095457</v>
      </c>
      <c r="F64">
        <f t="shared" si="10"/>
        <v>0.56910836913571883</v>
      </c>
      <c r="G64">
        <f t="shared" si="10"/>
        <v>0.57126190968213419</v>
      </c>
      <c r="H64">
        <f t="shared" si="10"/>
        <v>0.57457786314832815</v>
      </c>
      <c r="I64">
        <f t="shared" si="10"/>
        <v>0.57840392830523635</v>
      </c>
      <c r="J64">
        <f t="shared" si="10"/>
        <v>0.58201090868478655</v>
      </c>
      <c r="K64">
        <f t="shared" si="10"/>
        <v>0.58453932019588883</v>
      </c>
      <c r="L64">
        <f t="shared" si="10"/>
        <v>0.58549448556441175</v>
      </c>
      <c r="M64">
        <f t="shared" si="10"/>
        <v>0.58485871737311346</v>
      </c>
      <c r="N64">
        <f t="shared" si="10"/>
        <v>0.58307531591534856</v>
      </c>
      <c r="O64">
        <f t="shared" si="10"/>
        <v>0.58066745860468683</v>
      </c>
      <c r="P64">
        <f t="shared" si="10"/>
        <v>0.57820244260512432</v>
      </c>
      <c r="Q64">
        <f t="shared" si="10"/>
        <v>0.57589902265717841</v>
      </c>
      <c r="R64">
        <f t="shared" si="10"/>
        <v>0.57383450705659</v>
      </c>
      <c r="S64">
        <f t="shared" si="10"/>
        <v>0.57203581232115086</v>
      </c>
      <c r="T64">
        <f t="shared" si="10"/>
        <v>0.57050938451803468</v>
      </c>
    </row>
    <row r="65" spans="1:20" x14ac:dyDescent="0.2">
      <c r="A65" t="s">
        <v>734</v>
      </c>
      <c r="B65">
        <f t="shared" si="1"/>
        <v>0.56046458444013203</v>
      </c>
      <c r="C65">
        <f t="shared" ref="C65:T65" si="11">((1-SIN(C$54*PI()/180))*C40+(1-SIN(B$54*PI()/180))*(B65-C40))/(1-SIN(C$54*PI()/180))</f>
        <v>0.56067994684593703</v>
      </c>
      <c r="D65">
        <f t="shared" si="11"/>
        <v>0.56117580135828637</v>
      </c>
      <c r="E65">
        <f t="shared" si="11"/>
        <v>0.56191163360703333</v>
      </c>
      <c r="F65">
        <f t="shared" si="11"/>
        <v>0.562941571829494</v>
      </c>
      <c r="G65">
        <f t="shared" si="11"/>
        <v>0.56435279009207218</v>
      </c>
      <c r="H65">
        <f t="shared" si="11"/>
        <v>0.56635981409396663</v>
      </c>
      <c r="I65">
        <f t="shared" si="11"/>
        <v>0.56934803296150105</v>
      </c>
      <c r="J65">
        <f t="shared" si="11"/>
        <v>0.57285174414549467</v>
      </c>
      <c r="K65">
        <f t="shared" si="11"/>
        <v>0.57627098292443579</v>
      </c>
      <c r="L65">
        <f t="shared" si="11"/>
        <v>0.57885755338734912</v>
      </c>
      <c r="M65">
        <f t="shared" si="11"/>
        <v>0.58013928672143122</v>
      </c>
      <c r="N65">
        <f t="shared" si="11"/>
        <v>0.58004664784291593</v>
      </c>
      <c r="O65">
        <f t="shared" si="11"/>
        <v>0.57892136852799625</v>
      </c>
      <c r="P65">
        <f t="shared" si="11"/>
        <v>0.57719977313900506</v>
      </c>
      <c r="Q65">
        <f t="shared" si="11"/>
        <v>0.57537603277260507</v>
      </c>
      <c r="R65">
        <f t="shared" si="11"/>
        <v>0.57365435078594229</v>
      </c>
      <c r="S65">
        <f t="shared" si="11"/>
        <v>0.57211714466488095</v>
      </c>
      <c r="T65">
        <f t="shared" si="11"/>
        <v>0.57080262168801499</v>
      </c>
    </row>
    <row r="66" spans="1:20" x14ac:dyDescent="0.2">
      <c r="A66" t="s">
        <v>735</v>
      </c>
      <c r="B66">
        <f t="shared" si="1"/>
        <v>0.55640779830904297</v>
      </c>
      <c r="C66">
        <f t="shared" ref="C66:T66" si="12">((1-SIN(C$54*PI()/180))*C41+(1-SIN(B$54*PI()/180))*(B66-C41))/(1-SIN(C$54*PI()/180))</f>
        <v>0.55658081194366504</v>
      </c>
      <c r="D66">
        <f t="shared" si="12"/>
        <v>0.55697414543019463</v>
      </c>
      <c r="E66">
        <f t="shared" si="12"/>
        <v>0.55755182902698175</v>
      </c>
      <c r="F66">
        <f t="shared" si="12"/>
        <v>0.55834486729831589</v>
      </c>
      <c r="G66">
        <f t="shared" si="12"/>
        <v>0.55939622435739134</v>
      </c>
      <c r="H66">
        <f t="shared" si="12"/>
        <v>0.5607811136652896</v>
      </c>
      <c r="I66">
        <f t="shared" si="12"/>
        <v>0.56268087816743906</v>
      </c>
      <c r="J66">
        <f t="shared" si="12"/>
        <v>0.56542743187230771</v>
      </c>
      <c r="K66">
        <f t="shared" si="12"/>
        <v>0.56867721881381084</v>
      </c>
      <c r="L66">
        <f t="shared" si="12"/>
        <v>0.57193224286514277</v>
      </c>
      <c r="M66">
        <f t="shared" si="12"/>
        <v>0.57453882864062822</v>
      </c>
      <c r="N66">
        <f t="shared" si="12"/>
        <v>0.57605467183109338</v>
      </c>
      <c r="O66">
        <f t="shared" si="12"/>
        <v>0.57637948947357887</v>
      </c>
      <c r="P66">
        <f t="shared" si="12"/>
        <v>0.57578044210720369</v>
      </c>
      <c r="Q66">
        <f t="shared" si="12"/>
        <v>0.57462594937546796</v>
      </c>
      <c r="R66">
        <f t="shared" si="12"/>
        <v>0.57335092478323424</v>
      </c>
      <c r="S66">
        <f t="shared" si="12"/>
        <v>0.57214624812132542</v>
      </c>
      <c r="T66">
        <f t="shared" si="12"/>
        <v>0.57109911314226536</v>
      </c>
    </row>
    <row r="67" spans="1:20" x14ac:dyDescent="0.2">
      <c r="A67" t="s">
        <v>724</v>
      </c>
      <c r="B67">
        <f t="shared" si="1"/>
        <v>0.55326585545276197</v>
      </c>
      <c r="C67">
        <f t="shared" ref="C67:T67" si="13">((1-SIN(C$54*PI()/180))*C42+(1-SIN(B$54*PI()/180))*(B67-C42))/(1-SIN(C$54*PI()/180))</f>
        <v>0.55340661210072795</v>
      </c>
      <c r="D67">
        <f t="shared" si="13"/>
        <v>0.55373221561121588</v>
      </c>
      <c r="E67">
        <f t="shared" si="13"/>
        <v>0.55420712692417751</v>
      </c>
      <c r="F67">
        <f t="shared" si="13"/>
        <v>0.55485155901988537</v>
      </c>
      <c r="G67">
        <f t="shared" si="13"/>
        <v>0.55569034575884602</v>
      </c>
      <c r="H67">
        <f t="shared" si="13"/>
        <v>0.55676165341299055</v>
      </c>
      <c r="I67">
        <f t="shared" si="13"/>
        <v>0.5581323717382024</v>
      </c>
      <c r="J67">
        <f t="shared" si="13"/>
        <v>0.55995848207359811</v>
      </c>
      <c r="K67">
        <f t="shared" si="13"/>
        <v>0.56253033668864127</v>
      </c>
      <c r="L67">
        <f t="shared" si="13"/>
        <v>0.56558764720177046</v>
      </c>
      <c r="M67">
        <f t="shared" si="13"/>
        <v>0.56871240705414638</v>
      </c>
      <c r="N67">
        <f t="shared" si="13"/>
        <v>0.57133071590831197</v>
      </c>
      <c r="O67">
        <f t="shared" si="13"/>
        <v>0.57303225085657705</v>
      </c>
      <c r="P67">
        <f t="shared" si="13"/>
        <v>0.57370007167859316</v>
      </c>
      <c r="Q67">
        <f t="shared" si="13"/>
        <v>0.57354678382886259</v>
      </c>
      <c r="R67">
        <f t="shared" si="13"/>
        <v>0.57288899738503185</v>
      </c>
      <c r="S67">
        <f t="shared" si="13"/>
        <v>0.57211547595992152</v>
      </c>
      <c r="T67">
        <f t="shared" si="13"/>
        <v>0.57141025112756416</v>
      </c>
    </row>
    <row r="68" spans="1:20" x14ac:dyDescent="0.2">
      <c r="A68" t="s">
        <v>736</v>
      </c>
      <c r="B68">
        <f t="shared" si="1"/>
        <v>0.55083699971297295</v>
      </c>
      <c r="C68">
        <f t="shared" ref="C68:T68" si="14">((1-SIN(C$54*PI()/180))*C43+(1-SIN(B$54*PI()/180))*(B68-C43))/(1-SIN(C$54*PI()/180))</f>
        <v>0.55095441772652898</v>
      </c>
      <c r="D68">
        <f t="shared" si="14"/>
        <v>0.55123508050498948</v>
      </c>
      <c r="E68">
        <f t="shared" si="14"/>
        <v>0.55164107093013415</v>
      </c>
      <c r="F68">
        <f t="shared" si="14"/>
        <v>0.55218745896690591</v>
      </c>
      <c r="G68">
        <f t="shared" si="14"/>
        <v>0.55289062568888003</v>
      </c>
      <c r="H68">
        <f t="shared" si="14"/>
        <v>0.55377324754450197</v>
      </c>
      <c r="I68">
        <f t="shared" si="14"/>
        <v>0.55487056069287277</v>
      </c>
      <c r="J68">
        <f t="shared" si="14"/>
        <v>0.55624278455860232</v>
      </c>
      <c r="K68">
        <f t="shared" si="14"/>
        <v>0.55802691959225537</v>
      </c>
      <c r="L68">
        <f t="shared" si="14"/>
        <v>0.56047995348058788</v>
      </c>
      <c r="M68">
        <f t="shared" si="14"/>
        <v>0.56340122501019763</v>
      </c>
      <c r="N68">
        <f t="shared" si="14"/>
        <v>0.56643635257873504</v>
      </c>
      <c r="O68">
        <f t="shared" si="14"/>
        <v>0.56907890731847555</v>
      </c>
      <c r="P68">
        <f t="shared" si="14"/>
        <v>0.57095086283766683</v>
      </c>
      <c r="Q68">
        <f t="shared" si="14"/>
        <v>0.57192875633989937</v>
      </c>
      <c r="R68">
        <f t="shared" si="14"/>
        <v>0.57218753794790367</v>
      </c>
      <c r="S68">
        <f t="shared" si="14"/>
        <v>0.57200836962222579</v>
      </c>
      <c r="T68">
        <f t="shared" si="14"/>
        <v>0.57175415622958248</v>
      </c>
    </row>
    <row r="69" spans="1:20" x14ac:dyDescent="0.2">
      <c r="A69" t="s">
        <v>737</v>
      </c>
      <c r="B69">
        <f t="shared" si="1"/>
        <v>0.54898411032988303</v>
      </c>
      <c r="C69">
        <f t="shared" ref="C69:T69" si="15">((1-SIN(C$54*PI()/180))*C44+(1-SIN(B$54*PI()/180))*(B69-C44))/(1-SIN(C$54*PI()/180))</f>
        <v>0.54908985656115816</v>
      </c>
      <c r="D69">
        <f t="shared" si="15"/>
        <v>0.54933834734139919</v>
      </c>
      <c r="E69">
        <f t="shared" si="15"/>
        <v>0.54969750890569646</v>
      </c>
      <c r="F69">
        <f t="shared" si="15"/>
        <v>0.55017796893549142</v>
      </c>
      <c r="G69">
        <f t="shared" si="15"/>
        <v>0.55079184482375798</v>
      </c>
      <c r="H69">
        <f t="shared" si="15"/>
        <v>0.55155379653695402</v>
      </c>
      <c r="I69">
        <f t="shared" si="15"/>
        <v>0.55248568964624734</v>
      </c>
      <c r="J69">
        <f t="shared" si="15"/>
        <v>0.5536206370517649</v>
      </c>
      <c r="K69">
        <f t="shared" si="15"/>
        <v>0.55501376271570202</v>
      </c>
      <c r="L69">
        <f t="shared" si="15"/>
        <v>0.55678798682519659</v>
      </c>
      <c r="M69">
        <f t="shared" si="15"/>
        <v>0.55917407737045988</v>
      </c>
      <c r="N69">
        <f t="shared" si="15"/>
        <v>0.56201562130651883</v>
      </c>
      <c r="O69">
        <f t="shared" si="15"/>
        <v>0.56501042069841534</v>
      </c>
      <c r="P69">
        <f t="shared" si="15"/>
        <v>0.56771058831928523</v>
      </c>
      <c r="Q69">
        <f t="shared" si="15"/>
        <v>0.56977147584581256</v>
      </c>
      <c r="R69">
        <f t="shared" si="15"/>
        <v>0.57107429402720966</v>
      </c>
      <c r="S69">
        <f t="shared" si="15"/>
        <v>0.57177835263146126</v>
      </c>
      <c r="T69">
        <f t="shared" si="15"/>
        <v>0.57217398911991935</v>
      </c>
    </row>
    <row r="70" spans="1:20" x14ac:dyDescent="0.2">
      <c r="A70" t="s">
        <v>738</v>
      </c>
      <c r="B70">
        <f t="shared" si="1"/>
        <v>0.54761310185061496</v>
      </c>
      <c r="C70">
        <f t="shared" ref="C70:T70" si="16">((1-SIN(C$54*PI()/180))*C45+(1-SIN(B$54*PI()/180))*(B70-C45))/(1-SIN(C$54*PI()/180))</f>
        <v>0.54771846203862296</v>
      </c>
      <c r="D70">
        <f t="shared" si="16"/>
        <v>0.54794626329138763</v>
      </c>
      <c r="E70">
        <f t="shared" si="16"/>
        <v>0.54827353309053295</v>
      </c>
      <c r="F70">
        <f t="shared" si="16"/>
        <v>0.54870991105070122</v>
      </c>
      <c r="G70">
        <f t="shared" si="16"/>
        <v>0.54926433144277698</v>
      </c>
      <c r="H70">
        <f t="shared" si="16"/>
        <v>0.54994790256954884</v>
      </c>
      <c r="I70">
        <f t="shared" si="16"/>
        <v>0.55077557448672687</v>
      </c>
      <c r="J70">
        <f t="shared" si="16"/>
        <v>0.55176866949319314</v>
      </c>
      <c r="K70">
        <f t="shared" si="16"/>
        <v>0.5529586983896585</v>
      </c>
      <c r="L70">
        <f t="shared" si="16"/>
        <v>0.55439824659520576</v>
      </c>
      <c r="M70">
        <f t="shared" si="16"/>
        <v>0.55619951844303472</v>
      </c>
      <c r="N70">
        <f t="shared" si="16"/>
        <v>0.55857383240594838</v>
      </c>
      <c r="O70">
        <f t="shared" si="16"/>
        <v>0.5614001448762761</v>
      </c>
      <c r="P70">
        <f t="shared" si="16"/>
        <v>0.56442197388922333</v>
      </c>
      <c r="Q70">
        <f t="shared" si="16"/>
        <v>0.56724728063288943</v>
      </c>
      <c r="R70">
        <f t="shared" si="16"/>
        <v>0.56957509662561778</v>
      </c>
      <c r="S70">
        <f t="shared" si="16"/>
        <v>0.57133282808705155</v>
      </c>
      <c r="T70">
        <f t="shared" si="16"/>
        <v>0.57275256869479085</v>
      </c>
    </row>
    <row r="71" spans="1:20" x14ac:dyDescent="0.2">
      <c r="A71" t="s">
        <v>739</v>
      </c>
      <c r="B71">
        <f t="shared" si="1"/>
        <v>0.54668372749489003</v>
      </c>
      <c r="C71">
        <f t="shared" ref="C71:T71" si="17">((1-SIN(C$54*PI()/180))*C46+(1-SIN(B$54*PI()/180))*(B71-C46))/(1-SIN(C$54*PI()/180))</f>
        <v>0.54677937583200997</v>
      </c>
      <c r="D71">
        <f t="shared" si="17"/>
        <v>0.54699263535855236</v>
      </c>
      <c r="E71">
        <f t="shared" si="17"/>
        <v>0.54729916200671636</v>
      </c>
      <c r="F71">
        <f t="shared" si="17"/>
        <v>0.54770733055412435</v>
      </c>
      <c r="G71">
        <f t="shared" si="17"/>
        <v>0.54822412967788126</v>
      </c>
      <c r="H71">
        <f t="shared" si="17"/>
        <v>0.54885829500442607</v>
      </c>
      <c r="I71">
        <f t="shared" si="17"/>
        <v>0.54962147442084119</v>
      </c>
      <c r="J71">
        <f t="shared" si="17"/>
        <v>0.55052939244880406</v>
      </c>
      <c r="K71">
        <f t="shared" si="17"/>
        <v>0.55160352092178533</v>
      </c>
      <c r="L71">
        <f t="shared" si="17"/>
        <v>0.55287613830528504</v>
      </c>
      <c r="M71">
        <f t="shared" si="17"/>
        <v>0.55439840290128473</v>
      </c>
      <c r="N71">
        <f t="shared" si="17"/>
        <v>0.55627695682705458</v>
      </c>
      <c r="O71">
        <f t="shared" si="17"/>
        <v>0.55871118231856698</v>
      </c>
      <c r="P71">
        <f t="shared" si="17"/>
        <v>0.56161431480721602</v>
      </c>
      <c r="Q71">
        <f t="shared" si="17"/>
        <v>0.56478184313780555</v>
      </c>
      <c r="R71">
        <f t="shared" si="17"/>
        <v>0.56791135227573664</v>
      </c>
      <c r="S71">
        <f t="shared" si="17"/>
        <v>0.57082904657757039</v>
      </c>
      <c r="T71">
        <f t="shared" si="17"/>
        <v>0.57334184859514592</v>
      </c>
    </row>
    <row r="72" spans="1:20" x14ac:dyDescent="0.2">
      <c r="A72" t="s">
        <v>740</v>
      </c>
      <c r="B72">
        <f t="shared" si="1"/>
        <v>0.54612759501422803</v>
      </c>
      <c r="C72">
        <f t="shared" ref="C72:T72" si="18">((1-SIN(C$54*PI()/180))*C47+(1-SIN(B$54*PI()/180))*(B72-C47))/(1-SIN(C$54*PI()/180))</f>
        <v>0.54623005284408299</v>
      </c>
      <c r="D72">
        <f t="shared" si="18"/>
        <v>0.54643574429522956</v>
      </c>
      <c r="E72">
        <f t="shared" si="18"/>
        <v>0.54673089244768569</v>
      </c>
      <c r="F72">
        <f t="shared" si="18"/>
        <v>0.54712332468904001</v>
      </c>
      <c r="G72">
        <f t="shared" si="18"/>
        <v>0.54761921710949268</v>
      </c>
      <c r="H72">
        <f t="shared" si="18"/>
        <v>0.54822620598369631</v>
      </c>
      <c r="I72">
        <f t="shared" si="18"/>
        <v>0.54895417156519077</v>
      </c>
      <c r="J72">
        <f t="shared" si="18"/>
        <v>0.54981609054882352</v>
      </c>
      <c r="K72">
        <f t="shared" si="18"/>
        <v>0.5508292963160254</v>
      </c>
      <c r="L72">
        <f t="shared" si="18"/>
        <v>0.55201793678693811</v>
      </c>
      <c r="M72">
        <f t="shared" si="18"/>
        <v>0.5534168426288113</v>
      </c>
      <c r="N72">
        <f t="shared" si="18"/>
        <v>0.55508095729904328</v>
      </c>
      <c r="O72">
        <f t="shared" si="18"/>
        <v>0.55712015866593356</v>
      </c>
      <c r="P72">
        <f t="shared" si="18"/>
        <v>0.55973967290259175</v>
      </c>
      <c r="Q72">
        <f t="shared" si="18"/>
        <v>0.56292621919515051</v>
      </c>
      <c r="R72">
        <f t="shared" si="18"/>
        <v>0.56661393737105104</v>
      </c>
      <c r="S72">
        <f t="shared" si="18"/>
        <v>0.57039830662655799</v>
      </c>
      <c r="T72">
        <f t="shared" si="18"/>
        <v>0.57381638586051187</v>
      </c>
    </row>
    <row r="73" spans="1:20" x14ac:dyDescent="0.2">
      <c r="A73" t="s">
        <v>725</v>
      </c>
      <c r="B73">
        <f t="shared" si="1"/>
        <v>0.54595341156436505</v>
      </c>
      <c r="C73">
        <f>((1-SIN(C$54*PI()/180))*C48+(1-SIN(B$54*PI()/180))*(B73-C48))/(1-SIN(C$54*PI()/180))</f>
        <v>0.54604997339335004</v>
      </c>
      <c r="D73">
        <f>((1-SIN(D$54*PI()/180))*D48+(1-SIN(C$54*PI()/180))*(C73-D48))/(1-SIN(D$54*PI()/180))</f>
        <v>0.54625306332605172</v>
      </c>
      <c r="E73">
        <f t="shared" ref="E73:T73" si="19">((1-SIN(E$54*PI()/180))*E48+(1-SIN(D$54*PI()/180))*(D73-E48))/(1-SIN(E$54*PI()/180))</f>
        <v>0.54654452987929825</v>
      </c>
      <c r="F73">
        <f t="shared" si="19"/>
        <v>0.5469318755779462</v>
      </c>
      <c r="G73">
        <f t="shared" si="19"/>
        <v>0.54742101550140387</v>
      </c>
      <c r="H73">
        <f t="shared" si="19"/>
        <v>0.54801926012233371</v>
      </c>
      <c r="I73">
        <f t="shared" si="19"/>
        <v>0.54873598793741829</v>
      </c>
      <c r="J73">
        <f t="shared" si="19"/>
        <v>0.54958331829155549</v>
      </c>
      <c r="K73">
        <f t="shared" si="19"/>
        <v>0.55057743250498203</v>
      </c>
      <c r="L73">
        <f t="shared" si="19"/>
        <v>0.55174015749357774</v>
      </c>
      <c r="M73">
        <f t="shared" si="19"/>
        <v>0.55310231854612646</v>
      </c>
      <c r="N73">
        <f t="shared" si="19"/>
        <v>0.55470956400395333</v>
      </c>
      <c r="O73">
        <f t="shared" si="19"/>
        <v>0.55663710945601719</v>
      </c>
      <c r="P73">
        <f t="shared" si="19"/>
        <v>0.55904771654836116</v>
      </c>
      <c r="Q73">
        <f t="shared" si="19"/>
        <v>0.56225539227798105</v>
      </c>
      <c r="R73">
        <f t="shared" si="19"/>
        <v>0.56611066441494262</v>
      </c>
      <c r="S73">
        <f t="shared" si="19"/>
        <v>0.57023281638448531</v>
      </c>
      <c r="T73">
        <f t="shared" si="19"/>
        <v>0.57399455596531779</v>
      </c>
    </row>
    <row r="77" spans="1:20" x14ac:dyDescent="0.2">
      <c r="A77" s="35" t="s">
        <v>744</v>
      </c>
      <c r="B77" s="35"/>
      <c r="C77" s="35"/>
      <c r="D77" s="35"/>
      <c r="E77" s="35"/>
      <c r="F77" s="35"/>
      <c r="G77" s="35"/>
      <c r="H77" s="35"/>
      <c r="I77" s="35"/>
      <c r="J77" s="35"/>
      <c r="K77" s="35"/>
      <c r="L77" s="35"/>
      <c r="M77" s="35"/>
      <c r="N77" s="35"/>
      <c r="O77" s="35"/>
      <c r="P77" s="35"/>
      <c r="Q77" s="35"/>
      <c r="R77" s="35"/>
      <c r="S77" s="35"/>
      <c r="T77" s="35"/>
    </row>
    <row r="78" spans="1:20" x14ac:dyDescent="0.2">
      <c r="A78" s="35"/>
      <c r="B78" s="35"/>
      <c r="C78" s="35"/>
      <c r="D78" s="35"/>
      <c r="E78" s="35"/>
      <c r="F78" s="35"/>
      <c r="G78" s="35"/>
      <c r="H78" s="35"/>
      <c r="I78" s="35"/>
      <c r="J78" s="35"/>
      <c r="K78" s="35"/>
      <c r="L78" s="35"/>
      <c r="M78" s="35"/>
      <c r="N78" s="35"/>
      <c r="O78" s="35"/>
      <c r="P78" s="35"/>
      <c r="Q78" s="35"/>
      <c r="R78" s="35"/>
      <c r="S78" s="35"/>
      <c r="T78" s="35"/>
    </row>
    <row r="79" spans="1:20" x14ac:dyDescent="0.2">
      <c r="A79" t="s">
        <v>742</v>
      </c>
      <c r="B79">
        <v>90</v>
      </c>
      <c r="C79">
        <v>85</v>
      </c>
      <c r="D79">
        <v>80</v>
      </c>
      <c r="E79">
        <v>75</v>
      </c>
      <c r="F79">
        <v>70</v>
      </c>
      <c r="G79">
        <v>65</v>
      </c>
      <c r="H79">
        <v>60</v>
      </c>
      <c r="I79">
        <v>55</v>
      </c>
      <c r="J79">
        <v>50</v>
      </c>
      <c r="K79">
        <v>45</v>
      </c>
      <c r="L79">
        <v>40</v>
      </c>
      <c r="M79">
        <v>35</v>
      </c>
      <c r="N79">
        <v>30</v>
      </c>
      <c r="O79">
        <v>25</v>
      </c>
      <c r="P79">
        <v>20</v>
      </c>
      <c r="Q79">
        <v>15</v>
      </c>
      <c r="R79">
        <v>10</v>
      </c>
      <c r="S79">
        <v>5</v>
      </c>
      <c r="T79">
        <v>0</v>
      </c>
    </row>
    <row r="80" spans="1:20" x14ac:dyDescent="0.2">
      <c r="A80" t="s">
        <v>722</v>
      </c>
      <c r="B80">
        <f>B55</f>
        <v>0.85724449999708396</v>
      </c>
      <c r="C80">
        <f>((1-SIN(C$54*PI()/180))*B30+(1-SIN(B$54*PI()/180))*(B80-B30))/(1-SIN(C$54*PI()/180))</f>
        <v>0.85724449999708396</v>
      </c>
      <c r="D80">
        <f t="shared" ref="D80:T80" si="20">((1-SIN(D$54*PI()/180))*C30+(1-SIN(C$54*PI()/180))*(C80-C30))/(1-SIN(D$54*PI()/180))</f>
        <v>0.84713901798599001</v>
      </c>
      <c r="E80">
        <f t="shared" si="20"/>
        <v>0.8115392313114218</v>
      </c>
      <c r="F80">
        <f t="shared" si="20"/>
        <v>0.77068802832674399</v>
      </c>
      <c r="G80">
        <f t="shared" si="20"/>
        <v>0.72862741023932831</v>
      </c>
      <c r="H80">
        <f t="shared" si="20"/>
        <v>0.6946040499606142</v>
      </c>
      <c r="I80">
        <f t="shared" si="20"/>
        <v>0.66886645937065625</v>
      </c>
      <c r="J80">
        <f t="shared" si="20"/>
        <v>0.64915720263531318</v>
      </c>
      <c r="K80">
        <f t="shared" si="20"/>
        <v>0.63376431418469115</v>
      </c>
      <c r="L80">
        <f t="shared" si="20"/>
        <v>0.62151282734583746</v>
      </c>
      <c r="M80">
        <f t="shared" si="20"/>
        <v>0.61160432115210961</v>
      </c>
      <c r="N80">
        <f t="shared" si="20"/>
        <v>0.60348199425258087</v>
      </c>
      <c r="O80">
        <f t="shared" si="20"/>
        <v>0.59675193707978791</v>
      </c>
      <c r="P80">
        <f t="shared" si="20"/>
        <v>0.59112766527063598</v>
      </c>
      <c r="Q80">
        <f t="shared" si="20"/>
        <v>0.58639685016954912</v>
      </c>
      <c r="R80">
        <f t="shared" si="20"/>
        <v>0.58239946624972605</v>
      </c>
      <c r="S80">
        <f t="shared" si="20"/>
        <v>0.57901538272691655</v>
      </c>
      <c r="T80">
        <f t="shared" si="20"/>
        <v>0.57614902316148942</v>
      </c>
    </row>
    <row r="81" spans="1:20" x14ac:dyDescent="0.2">
      <c r="A81" t="s">
        <v>726</v>
      </c>
      <c r="B81">
        <f t="shared" ref="B81:B98" si="21">B56</f>
        <v>0.84376195682419797</v>
      </c>
      <c r="C81">
        <f t="shared" ref="C81:T81" si="22">((1-SIN(C$54*PI()/180))*B31+(1-SIN(B$54*PI()/180))*(B81-B31))/(1-SIN(C$54*PI()/180))</f>
        <v>0.84376195682419797</v>
      </c>
      <c r="D81">
        <f t="shared" si="22"/>
        <v>0.82708413034320893</v>
      </c>
      <c r="E81">
        <f t="shared" si="22"/>
        <v>0.79763165445723716</v>
      </c>
      <c r="F81">
        <f t="shared" si="22"/>
        <v>0.76053924275024054</v>
      </c>
      <c r="G81">
        <f t="shared" si="22"/>
        <v>0.72374720218899602</v>
      </c>
      <c r="H81">
        <f t="shared" si="22"/>
        <v>0.69199984097428424</v>
      </c>
      <c r="I81">
        <f t="shared" si="22"/>
        <v>0.66721554791772164</v>
      </c>
      <c r="J81">
        <f t="shared" si="22"/>
        <v>0.64801965061467492</v>
      </c>
      <c r="K81">
        <f t="shared" si="22"/>
        <v>0.63293488619489024</v>
      </c>
      <c r="L81">
        <f t="shared" si="22"/>
        <v>0.62088409288292257</v>
      </c>
      <c r="M81">
        <f t="shared" si="22"/>
        <v>0.61111244174651402</v>
      </c>
      <c r="N81">
        <f t="shared" si="22"/>
        <v>0.6030879222728881</v>
      </c>
      <c r="O81">
        <f t="shared" si="22"/>
        <v>0.59642947356038234</v>
      </c>
      <c r="P81">
        <f t="shared" si="22"/>
        <v>0.59085925145211537</v>
      </c>
      <c r="Q81">
        <f t="shared" si="22"/>
        <v>0.58617043376098865</v>
      </c>
      <c r="R81">
        <f t="shared" si="22"/>
        <v>0.58220720612929089</v>
      </c>
      <c r="S81">
        <f t="shared" si="22"/>
        <v>0.57885038975837588</v>
      </c>
      <c r="T81">
        <f t="shared" si="22"/>
        <v>0.57600780867721069</v>
      </c>
    </row>
    <row r="82" spans="1:20" x14ac:dyDescent="0.2">
      <c r="A82" t="s">
        <v>727</v>
      </c>
      <c r="B82">
        <f t="shared" si="21"/>
        <v>0.78289592812530495</v>
      </c>
      <c r="C82">
        <f t="shared" ref="C82:T82" si="23">((1-SIN(C$54*PI()/180))*B32+(1-SIN(B$54*PI()/180))*(B82-B32))/(1-SIN(C$54*PI()/180))</f>
        <v>0.78289592812530495</v>
      </c>
      <c r="D82">
        <f t="shared" si="23"/>
        <v>0.77617905332861969</v>
      </c>
      <c r="E82">
        <f t="shared" si="23"/>
        <v>0.75793550196593706</v>
      </c>
      <c r="F82">
        <f t="shared" si="23"/>
        <v>0.73372355657899757</v>
      </c>
      <c r="G82">
        <f t="shared" si="23"/>
        <v>0.70796851301480213</v>
      </c>
      <c r="H82">
        <f t="shared" si="23"/>
        <v>0.68355205751850456</v>
      </c>
      <c r="I82">
        <f t="shared" si="23"/>
        <v>0.66198195629547296</v>
      </c>
      <c r="J82">
        <f t="shared" si="23"/>
        <v>0.64442501630317028</v>
      </c>
      <c r="K82">
        <f t="shared" si="23"/>
        <v>0.63031593254201335</v>
      </c>
      <c r="L82">
        <f t="shared" si="23"/>
        <v>0.61889509736356374</v>
      </c>
      <c r="M82">
        <f t="shared" si="23"/>
        <v>0.609553681013418</v>
      </c>
      <c r="N82">
        <f t="shared" si="23"/>
        <v>0.60183584607457208</v>
      </c>
      <c r="O82">
        <f t="shared" si="23"/>
        <v>0.59540348278486221</v>
      </c>
      <c r="P82">
        <f t="shared" si="23"/>
        <v>0.59000460223359408</v>
      </c>
      <c r="Q82">
        <f t="shared" si="23"/>
        <v>0.58544904582394741</v>
      </c>
      <c r="R82">
        <f t="shared" si="23"/>
        <v>0.5815915688099289</v>
      </c>
      <c r="S82">
        <f t="shared" si="23"/>
        <v>0.5783201077489013</v>
      </c>
      <c r="T82">
        <f t="shared" si="23"/>
        <v>0.57554718046021192</v>
      </c>
    </row>
    <row r="83" spans="1:20" x14ac:dyDescent="0.2">
      <c r="A83" t="s">
        <v>728</v>
      </c>
      <c r="B83">
        <f t="shared" si="21"/>
        <v>0.717626613981447</v>
      </c>
      <c r="C83">
        <f t="shared" ref="C83:T83" si="24">((1-SIN(C$54*PI()/180))*B33+(1-SIN(B$54*PI()/180))*(B83-B33))/(1-SIN(C$54*PI()/180))</f>
        <v>0.717626613981447</v>
      </c>
      <c r="D83">
        <f t="shared" si="24"/>
        <v>0.71367924508011893</v>
      </c>
      <c r="E83">
        <f t="shared" si="24"/>
        <v>0.70735952527701407</v>
      </c>
      <c r="F83">
        <f t="shared" si="24"/>
        <v>0.69786427083815905</v>
      </c>
      <c r="G83">
        <f t="shared" si="24"/>
        <v>0.68489217595733787</v>
      </c>
      <c r="H83">
        <f t="shared" si="24"/>
        <v>0.66954221572194128</v>
      </c>
      <c r="I83">
        <f t="shared" si="24"/>
        <v>0.65378840554924267</v>
      </c>
      <c r="J83">
        <f t="shared" si="24"/>
        <v>0.63904436393656117</v>
      </c>
      <c r="K83">
        <f t="shared" si="24"/>
        <v>0.62648990527866011</v>
      </c>
      <c r="L83">
        <f t="shared" si="24"/>
        <v>0.61604220361186446</v>
      </c>
      <c r="M83">
        <f t="shared" si="24"/>
        <v>0.60735256271105564</v>
      </c>
      <c r="N83">
        <f t="shared" si="24"/>
        <v>0.60009260885550708</v>
      </c>
      <c r="O83">
        <f t="shared" si="24"/>
        <v>0.59399419307888568</v>
      </c>
      <c r="P83">
        <f t="shared" si="24"/>
        <v>0.58884618220767637</v>
      </c>
      <c r="Q83">
        <f t="shared" si="24"/>
        <v>0.58448392445761521</v>
      </c>
      <c r="R83">
        <f t="shared" si="24"/>
        <v>0.58077874606862567</v>
      </c>
      <c r="S83">
        <f t="shared" si="24"/>
        <v>0.57762998655820275</v>
      </c>
      <c r="T83">
        <f t="shared" si="24"/>
        <v>0.57495748606131525</v>
      </c>
    </row>
    <row r="84" spans="1:20" x14ac:dyDescent="0.2">
      <c r="A84" t="s">
        <v>729</v>
      </c>
      <c r="B84">
        <f t="shared" si="21"/>
        <v>0.65264783028942297</v>
      </c>
      <c r="C84">
        <f t="shared" ref="C84:T84" si="25">((1-SIN(C$54*PI()/180))*B34+(1-SIN(B$54*PI()/180))*(B84-B34))/(1-SIN(C$54*PI()/180))</f>
        <v>0.65264783028942297</v>
      </c>
      <c r="D84">
        <f t="shared" si="25"/>
        <v>0.65612353456840644</v>
      </c>
      <c r="E84">
        <f t="shared" si="25"/>
        <v>0.65907173710586231</v>
      </c>
      <c r="F84">
        <f t="shared" si="25"/>
        <v>0.66011020326559477</v>
      </c>
      <c r="G84">
        <f t="shared" si="25"/>
        <v>0.65758279140535203</v>
      </c>
      <c r="H84">
        <f t="shared" si="25"/>
        <v>0.65133514419715066</v>
      </c>
      <c r="I84">
        <f t="shared" si="25"/>
        <v>0.64225130491298277</v>
      </c>
      <c r="J84">
        <f t="shared" si="25"/>
        <v>0.63193177583429683</v>
      </c>
      <c r="K84">
        <f t="shared" si="25"/>
        <v>0.62165589178983938</v>
      </c>
      <c r="L84">
        <f t="shared" si="25"/>
        <v>0.61253205119728416</v>
      </c>
      <c r="M84">
        <f t="shared" si="25"/>
        <v>0.60470037728866943</v>
      </c>
      <c r="N84">
        <f t="shared" si="25"/>
        <v>0.59803059726267105</v>
      </c>
      <c r="O84">
        <f t="shared" si="25"/>
        <v>0.59235582027836886</v>
      </c>
      <c r="P84">
        <f t="shared" si="25"/>
        <v>0.58752246210403225</v>
      </c>
      <c r="Q84">
        <f t="shared" si="25"/>
        <v>0.58340047112069338</v>
      </c>
      <c r="R84">
        <f t="shared" si="25"/>
        <v>0.57988336929225415</v>
      </c>
      <c r="S84">
        <f t="shared" si="25"/>
        <v>0.5768849673036881</v>
      </c>
      <c r="T84">
        <f t="shared" si="25"/>
        <v>0.57433529984813214</v>
      </c>
    </row>
    <row r="85" spans="1:20" x14ac:dyDescent="0.2">
      <c r="A85" t="s">
        <v>730</v>
      </c>
      <c r="B85">
        <f t="shared" si="21"/>
        <v>0.61546960806304596</v>
      </c>
      <c r="C85">
        <f t="shared" ref="C85:T85" si="26">((1-SIN(C$54*PI()/180))*B35+(1-SIN(B$54*PI()/180))*(B85-B35))/(1-SIN(C$54*PI()/180))</f>
        <v>0.61546960806304596</v>
      </c>
      <c r="D85">
        <f t="shared" si="26"/>
        <v>0.61748524230996604</v>
      </c>
      <c r="E85">
        <f t="shared" si="26"/>
        <v>0.6226259197706554</v>
      </c>
      <c r="F85">
        <f t="shared" si="26"/>
        <v>0.62750393441375607</v>
      </c>
      <c r="G85">
        <f t="shared" si="26"/>
        <v>0.63081770463405984</v>
      </c>
      <c r="H85">
        <f t="shared" si="26"/>
        <v>0.63122940455663334</v>
      </c>
      <c r="I85">
        <f t="shared" si="26"/>
        <v>0.62841672945906513</v>
      </c>
      <c r="J85">
        <f t="shared" si="26"/>
        <v>0.62292793896152454</v>
      </c>
      <c r="K85">
        <f t="shared" si="26"/>
        <v>0.6159739739490816</v>
      </c>
      <c r="L85">
        <f t="shared" si="26"/>
        <v>0.60862364264313806</v>
      </c>
      <c r="M85">
        <f t="shared" si="26"/>
        <v>0.60185195862129082</v>
      </c>
      <c r="N85">
        <f t="shared" si="26"/>
        <v>0.59588394033533831</v>
      </c>
      <c r="O85">
        <f t="shared" si="26"/>
        <v>0.59070017841496547</v>
      </c>
      <c r="P85">
        <f t="shared" si="26"/>
        <v>0.58622436640534681</v>
      </c>
      <c r="Q85">
        <f t="shared" si="26"/>
        <v>0.58237140669178034</v>
      </c>
      <c r="R85">
        <f t="shared" si="26"/>
        <v>0.57906236127093158</v>
      </c>
      <c r="S85">
        <f t="shared" si="26"/>
        <v>0.5762289288769602</v>
      </c>
      <c r="T85">
        <f t="shared" si="26"/>
        <v>0.57381352155269238</v>
      </c>
    </row>
    <row r="86" spans="1:20" x14ac:dyDescent="0.2">
      <c r="A86" t="s">
        <v>723</v>
      </c>
      <c r="B86">
        <f t="shared" si="21"/>
        <v>0.595302640946346</v>
      </c>
      <c r="C86">
        <f t="shared" ref="C86:T86" si="27">((1-SIN(C$54*PI()/180))*B36+(1-SIN(B$54*PI()/180))*(B86-B36))/(1-SIN(C$54*PI()/180))</f>
        <v>0.595302640946346</v>
      </c>
      <c r="D86">
        <f t="shared" si="27"/>
        <v>0.59610756933121989</v>
      </c>
      <c r="E86">
        <f t="shared" si="27"/>
        <v>0.59844737781577628</v>
      </c>
      <c r="F86">
        <f t="shared" si="27"/>
        <v>0.60293348305508632</v>
      </c>
      <c r="G86">
        <f t="shared" si="27"/>
        <v>0.60769196804907355</v>
      </c>
      <c r="H86">
        <f t="shared" si="27"/>
        <v>0.61150620400217426</v>
      </c>
      <c r="I86">
        <f t="shared" si="27"/>
        <v>0.61315228811036671</v>
      </c>
      <c r="J86">
        <f t="shared" si="27"/>
        <v>0.61216807791916128</v>
      </c>
      <c r="K86">
        <f t="shared" si="27"/>
        <v>0.6088375534485192</v>
      </c>
      <c r="L86">
        <f t="shared" si="27"/>
        <v>0.60405754608719175</v>
      </c>
      <c r="M86">
        <f t="shared" si="27"/>
        <v>0.59869665778132686</v>
      </c>
      <c r="N86">
        <f t="shared" si="27"/>
        <v>0.59359132226893718</v>
      </c>
      <c r="O86">
        <f t="shared" si="27"/>
        <v>0.58898926712249444</v>
      </c>
      <c r="P86">
        <f t="shared" si="27"/>
        <v>0.58492702530573237</v>
      </c>
      <c r="Q86">
        <f t="shared" si="27"/>
        <v>0.58137965350396448</v>
      </c>
      <c r="R86">
        <f t="shared" si="27"/>
        <v>0.57830391325905528</v>
      </c>
      <c r="S86">
        <f t="shared" si="27"/>
        <v>0.57565371703885315</v>
      </c>
      <c r="T86">
        <f t="shared" si="27"/>
        <v>0.57338617619477061</v>
      </c>
    </row>
    <row r="87" spans="1:20" x14ac:dyDescent="0.2">
      <c r="A87" t="s">
        <v>731</v>
      </c>
      <c r="B87">
        <f t="shared" si="21"/>
        <v>0.58204103262079099</v>
      </c>
      <c r="C87">
        <f t="shared" ref="C87:T87" si="28">((1-SIN(C$54*PI()/180))*B37+(1-SIN(B$54*PI()/180))*(B87-B37))/(1-SIN(C$54*PI()/180))</f>
        <v>0.58204103262079099</v>
      </c>
      <c r="D87">
        <f t="shared" si="28"/>
        <v>0.58249848688142436</v>
      </c>
      <c r="E87">
        <f t="shared" si="28"/>
        <v>0.58368423159132621</v>
      </c>
      <c r="F87">
        <f t="shared" si="28"/>
        <v>0.58592544000592017</v>
      </c>
      <c r="G87">
        <f t="shared" si="28"/>
        <v>0.58979692509445092</v>
      </c>
      <c r="H87">
        <f t="shared" si="28"/>
        <v>0.5941386012201868</v>
      </c>
      <c r="I87">
        <f t="shared" si="28"/>
        <v>0.59794292832980389</v>
      </c>
      <c r="J87">
        <f t="shared" si="28"/>
        <v>0.6001321585811813</v>
      </c>
      <c r="K87">
        <f t="shared" si="28"/>
        <v>0.6001928762341302</v>
      </c>
      <c r="L87">
        <f t="shared" si="28"/>
        <v>0.5982386309551162</v>
      </c>
      <c r="M87">
        <f t="shared" si="28"/>
        <v>0.59493576691560768</v>
      </c>
      <c r="N87">
        <f t="shared" si="28"/>
        <v>0.5909883971676827</v>
      </c>
      <c r="O87">
        <f t="shared" si="28"/>
        <v>0.58711008694403299</v>
      </c>
      <c r="P87">
        <f t="shared" si="28"/>
        <v>0.58354517260970451</v>
      </c>
      <c r="Q87">
        <f t="shared" si="28"/>
        <v>0.58035762124600765</v>
      </c>
      <c r="R87">
        <f t="shared" si="28"/>
        <v>0.57755244618359192</v>
      </c>
      <c r="S87">
        <f t="shared" si="28"/>
        <v>0.57511274130158208</v>
      </c>
      <c r="T87">
        <f t="shared" si="28"/>
        <v>0.5730141294089407</v>
      </c>
    </row>
    <row r="88" spans="1:20" x14ac:dyDescent="0.2">
      <c r="A88" t="s">
        <v>732</v>
      </c>
      <c r="B88">
        <f t="shared" si="21"/>
        <v>0.57266158850159798</v>
      </c>
      <c r="C88">
        <f t="shared" ref="C88:T88" si="29">((1-SIN(C$54*PI()/180))*B38+(1-SIN(B$54*PI()/180))*(B88-B38))/(1-SIN(C$54*PI()/180))</f>
        <v>0.57266158850159798</v>
      </c>
      <c r="D88">
        <f t="shared" si="29"/>
        <v>0.57295648418844325</v>
      </c>
      <c r="E88">
        <f t="shared" si="29"/>
        <v>0.57370612866186654</v>
      </c>
      <c r="F88">
        <f t="shared" si="29"/>
        <v>0.574988525384454</v>
      </c>
      <c r="G88">
        <f t="shared" si="29"/>
        <v>0.57708258386068312</v>
      </c>
      <c r="H88">
        <f t="shared" si="29"/>
        <v>0.58047635921074447</v>
      </c>
      <c r="I88">
        <f t="shared" si="29"/>
        <v>0.58440061227319662</v>
      </c>
      <c r="J88">
        <f t="shared" si="29"/>
        <v>0.58804020355080933</v>
      </c>
      <c r="K88">
        <f t="shared" si="29"/>
        <v>0.5904622257014559</v>
      </c>
      <c r="L88">
        <f t="shared" si="29"/>
        <v>0.5911521232373026</v>
      </c>
      <c r="M88">
        <f t="shared" si="29"/>
        <v>0.59011835099201082</v>
      </c>
      <c r="N88">
        <f t="shared" si="29"/>
        <v>0.58786131861178792</v>
      </c>
      <c r="O88">
        <f t="shared" si="29"/>
        <v>0.58495523205824318</v>
      </c>
      <c r="P88">
        <f t="shared" si="29"/>
        <v>0.5820105354023738</v>
      </c>
      <c r="Q88">
        <f t="shared" si="29"/>
        <v>0.57925745180869892</v>
      </c>
      <c r="R88">
        <f t="shared" si="29"/>
        <v>0.57677276038891956</v>
      </c>
      <c r="S88">
        <f t="shared" si="29"/>
        <v>0.57457917534347225</v>
      </c>
      <c r="T88">
        <f t="shared" si="29"/>
        <v>0.57267669488901551</v>
      </c>
    </row>
    <row r="89" spans="1:20" x14ac:dyDescent="0.2">
      <c r="A89" t="s">
        <v>733</v>
      </c>
      <c r="B89">
        <f t="shared" si="21"/>
        <v>0.56572265885036999</v>
      </c>
      <c r="C89">
        <f t="shared" ref="C89:T89" si="30">((1-SIN(C$54*PI()/180))*B39+(1-SIN(B$54*PI()/180))*(B89-B39))/(1-SIN(C$54*PI()/180))</f>
        <v>0.56572265885036999</v>
      </c>
      <c r="D89">
        <f t="shared" si="30"/>
        <v>0.56593623521616299</v>
      </c>
      <c r="E89">
        <f t="shared" si="30"/>
        <v>0.56646356176291934</v>
      </c>
      <c r="F89">
        <f t="shared" si="30"/>
        <v>0.56733472412968866</v>
      </c>
      <c r="G89">
        <f t="shared" si="30"/>
        <v>0.56863511226514074</v>
      </c>
      <c r="H89">
        <f t="shared" si="30"/>
        <v>0.57059459598106332</v>
      </c>
      <c r="I89">
        <f t="shared" si="30"/>
        <v>0.5736259889568156</v>
      </c>
      <c r="J89">
        <f t="shared" si="30"/>
        <v>0.57719297653796442</v>
      </c>
      <c r="K89">
        <f t="shared" si="30"/>
        <v>0.58063410332674947</v>
      </c>
      <c r="L89">
        <f t="shared" si="30"/>
        <v>0.58314445436562479</v>
      </c>
      <c r="M89">
        <f t="shared" si="30"/>
        <v>0.58423184276223439</v>
      </c>
      <c r="N89">
        <f t="shared" si="30"/>
        <v>0.58384123292796741</v>
      </c>
      <c r="O89">
        <f t="shared" si="30"/>
        <v>0.58235333704633818</v>
      </c>
      <c r="P89">
        <f t="shared" si="30"/>
        <v>0.58024104030393675</v>
      </c>
      <c r="Q89">
        <f t="shared" si="30"/>
        <v>0.57802992852447432</v>
      </c>
      <c r="R89">
        <f t="shared" si="30"/>
        <v>0.57593278709066864</v>
      </c>
      <c r="S89">
        <f t="shared" si="30"/>
        <v>0.5740316870304174</v>
      </c>
      <c r="T89">
        <f t="shared" si="30"/>
        <v>0.57235998160689172</v>
      </c>
    </row>
    <row r="90" spans="1:20" x14ac:dyDescent="0.2">
      <c r="A90" t="s">
        <v>734</v>
      </c>
      <c r="B90">
        <f t="shared" si="21"/>
        <v>0.56046458444013203</v>
      </c>
      <c r="C90">
        <f t="shared" ref="C90:T90" si="31">((1-SIN(C$54*PI()/180))*B40+(1-SIN(B$54*PI()/180))*(B90-B40))/(1-SIN(C$54*PI()/180))</f>
        <v>0.56046458444013203</v>
      </c>
      <c r="D90">
        <f t="shared" si="31"/>
        <v>0.56062600360933523</v>
      </c>
      <c r="E90">
        <f t="shared" si="31"/>
        <v>0.56102249376489244</v>
      </c>
      <c r="F90">
        <f t="shared" si="31"/>
        <v>0.56166679666535102</v>
      </c>
      <c r="G90">
        <f t="shared" si="31"/>
        <v>0.56259771464864827</v>
      </c>
      <c r="H90">
        <f t="shared" si="31"/>
        <v>0.56389190922664678</v>
      </c>
      <c r="I90">
        <f t="shared" si="31"/>
        <v>0.56574146788289792</v>
      </c>
      <c r="J90">
        <f t="shared" si="31"/>
        <v>0.56849894930255773</v>
      </c>
      <c r="K90">
        <f t="shared" si="31"/>
        <v>0.57177571465676669</v>
      </c>
      <c r="L90">
        <f t="shared" si="31"/>
        <v>0.57502902865776373</v>
      </c>
      <c r="M90">
        <f t="shared" si="31"/>
        <v>0.57756215908931563</v>
      </c>
      <c r="N90">
        <f t="shared" si="31"/>
        <v>0.57891484772082658</v>
      </c>
      <c r="O90">
        <f t="shared" si="31"/>
        <v>0.5789945769181486</v>
      </c>
      <c r="P90">
        <f t="shared" si="31"/>
        <v>0.57809496534649574</v>
      </c>
      <c r="Q90">
        <f t="shared" si="31"/>
        <v>0.57661003606883143</v>
      </c>
      <c r="R90">
        <f t="shared" si="31"/>
        <v>0.57499632274583135</v>
      </c>
      <c r="S90">
        <f t="shared" si="31"/>
        <v>0.57344956514905954</v>
      </c>
      <c r="T90">
        <f t="shared" si="31"/>
        <v>0.57205342228741485</v>
      </c>
    </row>
    <row r="91" spans="1:20" x14ac:dyDescent="0.2">
      <c r="A91" t="s">
        <v>735</v>
      </c>
      <c r="B91">
        <f t="shared" si="21"/>
        <v>0.55640779830904297</v>
      </c>
      <c r="C91">
        <f t="shared" ref="C91:T91" si="32">((1-SIN(C$54*PI()/180))*B41+(1-SIN(B$54*PI()/180))*(B91-B41))/(1-SIN(C$54*PI()/180))</f>
        <v>0.55640779830904297</v>
      </c>
      <c r="D91">
        <f t="shared" si="32"/>
        <v>0.55653747608199089</v>
      </c>
      <c r="E91">
        <f t="shared" si="32"/>
        <v>0.5568522918250105</v>
      </c>
      <c r="F91">
        <f t="shared" si="32"/>
        <v>0.55735876859208655</v>
      </c>
      <c r="G91">
        <f t="shared" si="32"/>
        <v>0.55807718012449048</v>
      </c>
      <c r="H91">
        <f t="shared" si="32"/>
        <v>0.55904481643098591</v>
      </c>
      <c r="I91">
        <f t="shared" si="32"/>
        <v>0.560329705617024</v>
      </c>
      <c r="J91">
        <f t="shared" si="32"/>
        <v>0.56209601100720219</v>
      </c>
      <c r="K91">
        <f t="shared" si="32"/>
        <v>0.56464841764028362</v>
      </c>
      <c r="L91">
        <f t="shared" si="32"/>
        <v>0.56769662445465352</v>
      </c>
      <c r="M91">
        <f t="shared" si="32"/>
        <v>0.57078988353206195</v>
      </c>
      <c r="N91">
        <f t="shared" si="32"/>
        <v>0.57332121367228772</v>
      </c>
      <c r="O91">
        <f t="shared" si="32"/>
        <v>0.57486497868694164</v>
      </c>
      <c r="P91">
        <f t="shared" si="32"/>
        <v>0.57530758506445678</v>
      </c>
      <c r="Q91">
        <f t="shared" si="32"/>
        <v>0.57487893505965248</v>
      </c>
      <c r="R91">
        <f t="shared" si="32"/>
        <v>0.5739118359284654</v>
      </c>
      <c r="S91">
        <f t="shared" si="32"/>
        <v>0.57280737355849853</v>
      </c>
      <c r="T91">
        <f t="shared" si="32"/>
        <v>0.57174663156771655</v>
      </c>
    </row>
    <row r="92" spans="1:20" x14ac:dyDescent="0.2">
      <c r="A92" t="s">
        <v>724</v>
      </c>
      <c r="B92">
        <f t="shared" si="21"/>
        <v>0.55326585545276197</v>
      </c>
      <c r="C92">
        <f t="shared" ref="C92:T92" si="33">((1-SIN(C$54*PI()/180))*B42+(1-SIN(B$54*PI()/180))*(B92-B42))/(1-SIN(C$54*PI()/180))</f>
        <v>0.55326585545276197</v>
      </c>
      <c r="D92">
        <f t="shared" si="33"/>
        <v>0.55337135585841335</v>
      </c>
      <c r="E92">
        <f t="shared" si="33"/>
        <v>0.55363161983886156</v>
      </c>
      <c r="F92">
        <f t="shared" si="33"/>
        <v>0.55404817519035421</v>
      </c>
      <c r="G92">
        <f t="shared" si="33"/>
        <v>0.55463270182039914</v>
      </c>
      <c r="H92">
        <f t="shared" si="33"/>
        <v>0.55540628641406753</v>
      </c>
      <c r="I92">
        <f t="shared" si="33"/>
        <v>0.55640340458018567</v>
      </c>
      <c r="J92">
        <f t="shared" si="33"/>
        <v>0.55768521801356452</v>
      </c>
      <c r="K92">
        <f t="shared" si="33"/>
        <v>0.55939397481656861</v>
      </c>
      <c r="L92">
        <f t="shared" si="33"/>
        <v>0.56179693785717366</v>
      </c>
      <c r="M92">
        <f t="shared" si="33"/>
        <v>0.56467185514215523</v>
      </c>
      <c r="N92">
        <f t="shared" si="33"/>
        <v>0.56763964136087619</v>
      </c>
      <c r="O92">
        <f t="shared" si="33"/>
        <v>0.57016808138821962</v>
      </c>
      <c r="P92">
        <f t="shared" si="33"/>
        <v>0.57186566585535026</v>
      </c>
      <c r="Q92">
        <f t="shared" si="33"/>
        <v>0.57260862204773255</v>
      </c>
      <c r="R92">
        <f t="shared" si="33"/>
        <v>0.57258037244298299</v>
      </c>
      <c r="S92">
        <f t="shared" si="33"/>
        <v>0.57206723996479392</v>
      </c>
      <c r="T92">
        <f t="shared" si="33"/>
        <v>0.57142734115790772</v>
      </c>
    </row>
    <row r="93" spans="1:20" x14ac:dyDescent="0.2">
      <c r="A93" t="s">
        <v>736</v>
      </c>
      <c r="B93">
        <f t="shared" si="21"/>
        <v>0.55083699971297295</v>
      </c>
      <c r="C93">
        <f t="shared" ref="C93:T93" si="34">((1-SIN(C$54*PI()/180))*B43+(1-SIN(B$54*PI()/180))*(B93-B43))/(1-SIN(C$54*PI()/180))</f>
        <v>0.55083699971297295</v>
      </c>
      <c r="D93">
        <f t="shared" si="34"/>
        <v>0.55092500726529781</v>
      </c>
      <c r="E93">
        <f t="shared" si="34"/>
        <v>0.55114880601867122</v>
      </c>
      <c r="F93">
        <f t="shared" si="34"/>
        <v>0.55150503004518991</v>
      </c>
      <c r="G93">
        <f t="shared" si="34"/>
        <v>0.55200107993175973</v>
      </c>
      <c r="H93">
        <f t="shared" si="34"/>
        <v>0.55265046112163929</v>
      </c>
      <c r="I93">
        <f t="shared" si="34"/>
        <v>0.55347355050739411</v>
      </c>
      <c r="J93">
        <f t="shared" si="34"/>
        <v>0.55450262125287064</v>
      </c>
      <c r="K93">
        <f t="shared" si="34"/>
        <v>0.55579308486079859</v>
      </c>
      <c r="L93">
        <f t="shared" si="34"/>
        <v>0.5574705172441321</v>
      </c>
      <c r="M93">
        <f t="shared" si="34"/>
        <v>0.55977200752448064</v>
      </c>
      <c r="N93">
        <f t="shared" si="34"/>
        <v>0.56252471842654894</v>
      </c>
      <c r="O93">
        <f t="shared" si="34"/>
        <v>0.56540647966650204</v>
      </c>
      <c r="P93">
        <f t="shared" si="34"/>
        <v>0.56794787534244795</v>
      </c>
      <c r="Q93">
        <f t="shared" si="34"/>
        <v>0.56979032843329713</v>
      </c>
      <c r="R93">
        <f t="shared" si="34"/>
        <v>0.57080781171215411</v>
      </c>
      <c r="S93">
        <f t="shared" si="34"/>
        <v>0.57115191864620984</v>
      </c>
      <c r="T93">
        <f t="shared" si="34"/>
        <v>0.57107737175724849</v>
      </c>
    </row>
    <row r="94" spans="1:20" x14ac:dyDescent="0.2">
      <c r="A94" t="s">
        <v>737</v>
      </c>
      <c r="B94">
        <f t="shared" si="21"/>
        <v>0.54898411032988303</v>
      </c>
      <c r="C94">
        <f t="shared" ref="C94:T94" si="35">((1-SIN(C$54*PI()/180))*B44+(1-SIN(B$54*PI()/180))*(B94-B44))/(1-SIN(C$54*PI()/180))</f>
        <v>0.54898411032988303</v>
      </c>
      <c r="D94">
        <f t="shared" si="35"/>
        <v>0.54906336960791235</v>
      </c>
      <c r="E94">
        <f t="shared" si="35"/>
        <v>0.54926176274026994</v>
      </c>
      <c r="F94">
        <f t="shared" si="35"/>
        <v>0.5495770119152471</v>
      </c>
      <c r="G94">
        <f t="shared" si="35"/>
        <v>0.55001351803243792</v>
      </c>
      <c r="H94">
        <f t="shared" si="35"/>
        <v>0.55058096115193877</v>
      </c>
      <c r="I94">
        <f t="shared" si="35"/>
        <v>0.55129244066375638</v>
      </c>
      <c r="J94">
        <f t="shared" si="35"/>
        <v>0.55216793117682894</v>
      </c>
      <c r="K94">
        <f t="shared" si="35"/>
        <v>0.55323796044589024</v>
      </c>
      <c r="L94">
        <f t="shared" si="35"/>
        <v>0.55455344604277634</v>
      </c>
      <c r="M94">
        <f t="shared" si="35"/>
        <v>0.5562274569094523</v>
      </c>
      <c r="N94">
        <f t="shared" si="35"/>
        <v>0.55847325991222174</v>
      </c>
      <c r="O94">
        <f t="shared" si="35"/>
        <v>0.56115516563658752</v>
      </c>
      <c r="P94">
        <f t="shared" si="35"/>
        <v>0.56399775353362469</v>
      </c>
      <c r="Q94">
        <f t="shared" si="35"/>
        <v>0.56658590615081783</v>
      </c>
      <c r="R94">
        <f t="shared" si="35"/>
        <v>0.5685940626372713</v>
      </c>
      <c r="S94">
        <f t="shared" si="35"/>
        <v>0.56990329860719113</v>
      </c>
      <c r="T94">
        <f t="shared" si="35"/>
        <v>0.57065298225121042</v>
      </c>
    </row>
    <row r="95" spans="1:20" x14ac:dyDescent="0.2">
      <c r="A95" t="s">
        <v>738</v>
      </c>
      <c r="B95">
        <f t="shared" si="21"/>
        <v>0.54761310185061496</v>
      </c>
      <c r="C95">
        <f t="shared" ref="C95:T95" si="36">((1-SIN(C$54*PI()/180))*B45+(1-SIN(B$54*PI()/180))*(B95-B45))/(1-SIN(C$54*PI()/180))</f>
        <v>0.54761310185061496</v>
      </c>
      <c r="D95">
        <f t="shared" si="36"/>
        <v>0.54769207178017054</v>
      </c>
      <c r="E95">
        <f t="shared" si="36"/>
        <v>0.54787511503199027</v>
      </c>
      <c r="F95">
        <f t="shared" si="36"/>
        <v>0.54816296496878425</v>
      </c>
      <c r="G95">
        <f t="shared" si="36"/>
        <v>0.54855982324445296</v>
      </c>
      <c r="H95">
        <f t="shared" si="36"/>
        <v>0.54907277837650492</v>
      </c>
      <c r="I95">
        <f t="shared" si="36"/>
        <v>0.54971168164324125</v>
      </c>
      <c r="J95">
        <f t="shared" si="36"/>
        <v>0.55049018839621389</v>
      </c>
      <c r="K95">
        <f t="shared" si="36"/>
        <v>0.55142795670582745</v>
      </c>
      <c r="L95">
        <f t="shared" si="36"/>
        <v>0.55255415354112003</v>
      </c>
      <c r="M95">
        <f t="shared" si="36"/>
        <v>0.5539174329809623</v>
      </c>
      <c r="N95">
        <f t="shared" si="36"/>
        <v>0.55562128687821433</v>
      </c>
      <c r="O95">
        <f t="shared" si="36"/>
        <v>0.55786122636144853</v>
      </c>
      <c r="P95">
        <f t="shared" si="36"/>
        <v>0.56053170993266199</v>
      </c>
      <c r="Q95">
        <f t="shared" si="36"/>
        <v>0.56339844733235345</v>
      </c>
      <c r="R95">
        <f t="shared" si="36"/>
        <v>0.56609804170192868</v>
      </c>
      <c r="S95">
        <f t="shared" si="36"/>
        <v>0.56834688449877424</v>
      </c>
      <c r="T95">
        <f t="shared" si="36"/>
        <v>0.57007077043950372</v>
      </c>
    </row>
    <row r="96" spans="1:20" x14ac:dyDescent="0.2">
      <c r="A96" t="s">
        <v>739</v>
      </c>
      <c r="B96">
        <f t="shared" si="21"/>
        <v>0.54668372749489003</v>
      </c>
      <c r="C96">
        <f t="shared" ref="C96:T96" si="37">((1-SIN(C$54*PI()/180))*B46+(1-SIN(B$54*PI()/180))*(B96-B46))/(1-SIN(C$54*PI()/180))</f>
        <v>0.54668372749489003</v>
      </c>
      <c r="D96">
        <f t="shared" si="37"/>
        <v>0.54675541816465134</v>
      </c>
      <c r="E96">
        <f t="shared" si="37"/>
        <v>0.5469263623449887</v>
      </c>
      <c r="F96">
        <f t="shared" si="37"/>
        <v>0.54719580858175887</v>
      </c>
      <c r="G96">
        <f t="shared" si="37"/>
        <v>0.54756698827011252</v>
      </c>
      <c r="H96">
        <f t="shared" si="37"/>
        <v>0.54804526782705831</v>
      </c>
      <c r="I96">
        <f t="shared" si="37"/>
        <v>0.54863829267462771</v>
      </c>
      <c r="J96">
        <f t="shared" si="37"/>
        <v>0.54935663452794725</v>
      </c>
      <c r="K96">
        <f t="shared" si="37"/>
        <v>0.5502147622336685</v>
      </c>
      <c r="L96">
        <f t="shared" si="37"/>
        <v>0.55123255393555892</v>
      </c>
      <c r="M96">
        <f t="shared" si="37"/>
        <v>0.5524399108132918</v>
      </c>
      <c r="N96">
        <f t="shared" si="37"/>
        <v>0.5538842452682109</v>
      </c>
      <c r="O96">
        <f t="shared" si="37"/>
        <v>0.5556640761832915</v>
      </c>
      <c r="P96">
        <f t="shared" si="37"/>
        <v>0.55796398426079696</v>
      </c>
      <c r="Q96">
        <f t="shared" si="37"/>
        <v>0.56070833688781008</v>
      </c>
      <c r="R96">
        <f t="shared" si="37"/>
        <v>0.56371003196623459</v>
      </c>
      <c r="S96">
        <f t="shared" si="37"/>
        <v>0.56668853171996758</v>
      </c>
      <c r="T96">
        <f t="shared" si="37"/>
        <v>0.56947893357818402</v>
      </c>
    </row>
    <row r="97" spans="1:20" x14ac:dyDescent="0.2">
      <c r="A97" t="s">
        <v>740</v>
      </c>
      <c r="B97">
        <f t="shared" si="21"/>
        <v>0.54612759501422803</v>
      </c>
      <c r="C97">
        <f t="shared" ref="C97:T97" si="38">((1-SIN(C$54*PI()/180))*B47+(1-SIN(B$54*PI()/180))*(B97-B47))/(1-SIN(C$54*PI()/180))</f>
        <v>0.54612759501422803</v>
      </c>
      <c r="D97">
        <f t="shared" si="38"/>
        <v>0.54620438955834416</v>
      </c>
      <c r="E97">
        <f t="shared" si="38"/>
        <v>0.54637068362116148</v>
      </c>
      <c r="F97">
        <f t="shared" si="38"/>
        <v>0.54663067058128945</v>
      </c>
      <c r="G97">
        <f t="shared" si="38"/>
        <v>0.54698784398245637</v>
      </c>
      <c r="H97">
        <f t="shared" si="38"/>
        <v>0.54744702042095084</v>
      </c>
      <c r="I97">
        <f t="shared" si="38"/>
        <v>0.54801489097124423</v>
      </c>
      <c r="J97">
        <f t="shared" si="38"/>
        <v>0.54870042011931064</v>
      </c>
      <c r="K97">
        <f t="shared" si="38"/>
        <v>0.54951554012554893</v>
      </c>
      <c r="L97">
        <f t="shared" si="38"/>
        <v>0.55047628245442359</v>
      </c>
      <c r="M97">
        <f t="shared" si="38"/>
        <v>0.55160502802406164</v>
      </c>
      <c r="N97">
        <f t="shared" si="38"/>
        <v>0.55293408937570132</v>
      </c>
      <c r="O97">
        <f t="shared" si="38"/>
        <v>0.55451440748880731</v>
      </c>
      <c r="P97">
        <f t="shared" si="38"/>
        <v>0.55644759605528826</v>
      </c>
      <c r="Q97">
        <f t="shared" si="38"/>
        <v>0.55892365828925084</v>
      </c>
      <c r="R97">
        <f t="shared" si="38"/>
        <v>0.5619335426307478</v>
      </c>
      <c r="S97">
        <f t="shared" si="38"/>
        <v>0.56541770365909405</v>
      </c>
      <c r="T97">
        <f t="shared" si="38"/>
        <v>0.56900299479821226</v>
      </c>
    </row>
    <row r="98" spans="1:20" x14ac:dyDescent="0.2">
      <c r="A98" t="s">
        <v>725</v>
      </c>
      <c r="B98">
        <f t="shared" si="21"/>
        <v>0.54595341156436505</v>
      </c>
      <c r="C98">
        <f t="shared" ref="C98:T98" si="39">((1-SIN(C$54*PI()/180))*B48+(1-SIN(B$54*PI()/180))*(B98-B48))/(1-SIN(C$54*PI()/180))</f>
        <v>0.54595341156436494</v>
      </c>
      <c r="D98">
        <f t="shared" si="39"/>
        <v>0.54602578691768267</v>
      </c>
      <c r="E98">
        <f t="shared" si="39"/>
        <v>0.54618933924892954</v>
      </c>
      <c r="F98">
        <f t="shared" si="39"/>
        <v>0.54644585480990748</v>
      </c>
      <c r="G98">
        <f t="shared" si="39"/>
        <v>0.54679831039466398</v>
      </c>
      <c r="H98">
        <f t="shared" si="39"/>
        <v>0.54725121303450142</v>
      </c>
      <c r="I98">
        <f t="shared" si="39"/>
        <v>0.54781092527125586</v>
      </c>
      <c r="J98">
        <f t="shared" si="39"/>
        <v>0.54848593575706939</v>
      </c>
      <c r="K98">
        <f t="shared" si="39"/>
        <v>0.54928737910583691</v>
      </c>
      <c r="L98">
        <f t="shared" si="39"/>
        <v>0.55023020784759558</v>
      </c>
      <c r="M98">
        <f t="shared" si="39"/>
        <v>0.55133465338775234</v>
      </c>
      <c r="N98">
        <f t="shared" si="39"/>
        <v>0.5526293109150745</v>
      </c>
      <c r="O98">
        <f t="shared" si="39"/>
        <v>0.55415652837120888</v>
      </c>
      <c r="P98">
        <f t="shared" si="39"/>
        <v>0.55598601022750227</v>
      </c>
      <c r="Q98">
        <f t="shared" si="39"/>
        <v>0.5582682173155542</v>
      </c>
      <c r="R98">
        <f t="shared" si="39"/>
        <v>0.56129373840416807</v>
      </c>
      <c r="S98">
        <f t="shared" si="39"/>
        <v>0.56492899169810518</v>
      </c>
      <c r="T98">
        <f t="shared" si="39"/>
        <v>0.56882372144666926</v>
      </c>
    </row>
    <row r="102" spans="1:20" x14ac:dyDescent="0.2">
      <c r="A102" s="35" t="s">
        <v>745</v>
      </c>
      <c r="B102" s="35"/>
      <c r="C102" s="35"/>
      <c r="D102" s="35"/>
      <c r="E102" s="35"/>
      <c r="F102" s="35"/>
      <c r="G102" s="35"/>
      <c r="H102" s="35"/>
      <c r="I102" s="35"/>
      <c r="J102" s="35"/>
      <c r="K102" s="35"/>
      <c r="L102" s="35"/>
      <c r="M102" s="35"/>
      <c r="N102" s="35"/>
      <c r="O102" s="35"/>
      <c r="P102" s="35"/>
      <c r="Q102" s="35"/>
      <c r="R102" s="35"/>
      <c r="S102" s="35"/>
      <c r="T102" s="35"/>
    </row>
    <row r="103" spans="1:20" x14ac:dyDescent="0.2">
      <c r="A103" s="35"/>
      <c r="B103" s="35"/>
      <c r="C103" s="35"/>
      <c r="D103" s="35"/>
      <c r="E103" s="35"/>
      <c r="F103" s="35"/>
      <c r="G103" s="35"/>
      <c r="H103" s="35"/>
      <c r="I103" s="35"/>
      <c r="J103" s="35"/>
      <c r="K103" s="35"/>
      <c r="L103" s="35"/>
      <c r="M103" s="35"/>
      <c r="N103" s="35"/>
      <c r="O103" s="35"/>
      <c r="P103" s="35"/>
      <c r="Q103" s="35"/>
      <c r="R103" s="35"/>
      <c r="S103" s="35"/>
      <c r="T103" s="35"/>
    </row>
    <row r="104" spans="1:20" x14ac:dyDescent="0.2">
      <c r="A104" t="s">
        <v>742</v>
      </c>
      <c r="B104">
        <v>90</v>
      </c>
      <c r="C104">
        <v>85</v>
      </c>
      <c r="D104">
        <v>80</v>
      </c>
      <c r="E104">
        <v>75</v>
      </c>
      <c r="F104">
        <v>70</v>
      </c>
      <c r="G104">
        <v>65</v>
      </c>
      <c r="H104">
        <v>60</v>
      </c>
      <c r="I104">
        <v>55</v>
      </c>
      <c r="J104">
        <v>50</v>
      </c>
      <c r="K104">
        <v>45</v>
      </c>
      <c r="L104">
        <v>40</v>
      </c>
      <c r="M104">
        <v>35</v>
      </c>
      <c r="N104">
        <v>30</v>
      </c>
      <c r="O104">
        <v>25</v>
      </c>
      <c r="P104">
        <v>20</v>
      </c>
      <c r="Q104">
        <v>15</v>
      </c>
      <c r="R104">
        <v>10</v>
      </c>
      <c r="S104">
        <v>5</v>
      </c>
      <c r="T104">
        <v>0</v>
      </c>
    </row>
    <row r="105" spans="1:20" x14ac:dyDescent="0.2">
      <c r="A105" t="s">
        <v>722</v>
      </c>
      <c r="B105">
        <f>B80</f>
        <v>0.85724449999708396</v>
      </c>
      <c r="C105">
        <f>((1-SIN(C$54*PI()/180))*(B30+C30)/2+(1-SIN(B$54*PI()/180))*(B105-(B30+C30)/2))/(1-SIN(C$54*PI()/180))</f>
        <v>0.85050322841059356</v>
      </c>
      <c r="D105">
        <f t="shared" ref="D105:T105" si="40">((1-SIN(D$54*PI()/180))*(C30+D30)/2+(1-SIN(C$54*PI()/180))*(C105-(C30+D30)/2))/(1-SIN(D$54*PI()/180))</f>
        <v>0.82264023008886411</v>
      </c>
      <c r="E105">
        <f t="shared" si="40"/>
        <v>0.78253201756408686</v>
      </c>
      <c r="F105">
        <f t="shared" si="40"/>
        <v>0.74016609623382856</v>
      </c>
      <c r="G105">
        <f t="shared" si="40"/>
        <v>0.70235743497372594</v>
      </c>
      <c r="H105">
        <f t="shared" si="40"/>
        <v>0.67320089632298985</v>
      </c>
      <c r="I105">
        <f t="shared" si="40"/>
        <v>0.65129210017424433</v>
      </c>
      <c r="J105">
        <f t="shared" si="40"/>
        <v>0.63450763898293161</v>
      </c>
      <c r="K105">
        <f t="shared" si="40"/>
        <v>0.62136447446820375</v>
      </c>
      <c r="L105">
        <f t="shared" si="40"/>
        <v>0.61087230488561106</v>
      </c>
      <c r="M105">
        <f t="shared" si="40"/>
        <v>0.60236160038749764</v>
      </c>
      <c r="N105">
        <f t="shared" si="40"/>
        <v>0.59536819344147263</v>
      </c>
      <c r="O105">
        <f t="shared" si="40"/>
        <v>0.58956280263017224</v>
      </c>
      <c r="P105">
        <f t="shared" si="40"/>
        <v>0.58470566830342141</v>
      </c>
      <c r="Q105">
        <f t="shared" si="40"/>
        <v>0.58061880187873072</v>
      </c>
      <c r="R105">
        <f t="shared" si="40"/>
        <v>0.57716905827716425</v>
      </c>
      <c r="S105">
        <f t="shared" si="40"/>
        <v>0.57425421152894784</v>
      </c>
      <c r="T105">
        <f t="shared" si="40"/>
        <v>0.57179522483165968</v>
      </c>
    </row>
    <row r="106" spans="1:20" x14ac:dyDescent="0.2">
      <c r="A106" t="s">
        <v>726</v>
      </c>
      <c r="B106">
        <f t="shared" ref="B106:B123" si="41">B81</f>
        <v>0.84376195682419797</v>
      </c>
      <c r="C106">
        <f t="shared" ref="C106:T106" si="42">((1-SIN(C$54*PI()/180))*(B31+C31)/2+(1-SIN(B$54*PI()/180))*(B106-(B31+C31)/2))/(1-SIN(C$54*PI()/180))</f>
        <v>0.83263633632858147</v>
      </c>
      <c r="D106">
        <f t="shared" si="42"/>
        <v>0.80646765196227543</v>
      </c>
      <c r="E106">
        <f t="shared" si="42"/>
        <v>0.77137917390322641</v>
      </c>
      <c r="F106">
        <f t="shared" si="42"/>
        <v>0.73372775428838333</v>
      </c>
      <c r="G106">
        <f t="shared" si="42"/>
        <v>0.69951855851856992</v>
      </c>
      <c r="H106">
        <f t="shared" si="42"/>
        <v>0.67178135379710202</v>
      </c>
      <c r="I106">
        <f t="shared" si="42"/>
        <v>0.65045877404977204</v>
      </c>
      <c r="J106">
        <f t="shared" si="42"/>
        <v>0.63397746195637283</v>
      </c>
      <c r="K106">
        <f t="shared" si="42"/>
        <v>0.62100928442804626</v>
      </c>
      <c r="L106">
        <f t="shared" si="42"/>
        <v>0.61062605115961421</v>
      </c>
      <c r="M106">
        <f t="shared" si="42"/>
        <v>0.60218674106596859</v>
      </c>
      <c r="N106">
        <f t="shared" si="42"/>
        <v>0.59524209596569821</v>
      </c>
      <c r="O106">
        <f t="shared" si="42"/>
        <v>0.58947096181236036</v>
      </c>
      <c r="P106">
        <f t="shared" si="42"/>
        <v>0.58463882691765623</v>
      </c>
      <c r="Q106">
        <f t="shared" si="42"/>
        <v>0.58057128921196788</v>
      </c>
      <c r="R106">
        <f t="shared" si="42"/>
        <v>0.5771367750813754</v>
      </c>
      <c r="S106">
        <f t="shared" si="42"/>
        <v>0.57423462107529266</v>
      </c>
      <c r="T106">
        <f t="shared" si="42"/>
        <v>0.57178583446158826</v>
      </c>
    </row>
    <row r="107" spans="1:20" x14ac:dyDescent="0.2">
      <c r="A107" t="s">
        <v>727</v>
      </c>
      <c r="B107">
        <f t="shared" si="41"/>
        <v>0.78289592812530495</v>
      </c>
      <c r="C107">
        <f t="shared" ref="C107:T107" si="43">((1-SIN(C$54*PI()/180))*(B32+C32)/2+(1-SIN(B$54*PI()/180))*(B107-(B32+C32)/2))/(1-SIN(C$54*PI()/180))</f>
        <v>0.77841516440050695</v>
      </c>
      <c r="D107">
        <f t="shared" si="43"/>
        <v>0.76355996923707892</v>
      </c>
      <c r="E107">
        <f t="shared" si="43"/>
        <v>0.74095423198850863</v>
      </c>
      <c r="F107">
        <f t="shared" si="43"/>
        <v>0.71524843218389866</v>
      </c>
      <c r="G107">
        <f t="shared" si="43"/>
        <v>0.68989756869311125</v>
      </c>
      <c r="H107">
        <f t="shared" si="43"/>
        <v>0.66694079529314831</v>
      </c>
      <c r="I107">
        <f t="shared" si="43"/>
        <v>0.64764258372838546</v>
      </c>
      <c r="J107">
        <f t="shared" si="43"/>
        <v>0.63216834667724653</v>
      </c>
      <c r="K107">
        <f t="shared" si="43"/>
        <v>0.61977889013047782</v>
      </c>
      <c r="L107">
        <f t="shared" si="43"/>
        <v>0.60975597469163501</v>
      </c>
      <c r="M107">
        <f t="shared" si="43"/>
        <v>0.60155422233214684</v>
      </c>
      <c r="N107">
        <f t="shared" si="43"/>
        <v>0.59477330339895096</v>
      </c>
      <c r="O107">
        <f t="shared" si="43"/>
        <v>0.589119118782786</v>
      </c>
      <c r="P107">
        <f t="shared" si="43"/>
        <v>0.58437327806669814</v>
      </c>
      <c r="Q107">
        <f t="shared" si="43"/>
        <v>0.58037130923554969</v>
      </c>
      <c r="R107">
        <f t="shared" si="43"/>
        <v>0.57698780372395364</v>
      </c>
      <c r="S107">
        <f t="shared" si="43"/>
        <v>0.57412601598343571</v>
      </c>
      <c r="T107">
        <f t="shared" si="43"/>
        <v>0.57171031515302317</v>
      </c>
    </row>
    <row r="108" spans="1:20" x14ac:dyDescent="0.2">
      <c r="A108" t="s">
        <v>728</v>
      </c>
      <c r="B108">
        <f t="shared" si="41"/>
        <v>0.717626613981447</v>
      </c>
      <c r="C108">
        <f t="shared" ref="C108:T108" si="44">((1-SIN(C$54*PI()/180))*(B33+C33)/2+(1-SIN(B$54*PI()/180))*(B108-(B33+C33)/2))/(1-SIN(C$54*PI()/180))</f>
        <v>0.71499336147684556</v>
      </c>
      <c r="D108">
        <f t="shared" si="44"/>
        <v>0.70924006285899965</v>
      </c>
      <c r="E108">
        <f t="shared" si="44"/>
        <v>0.70074106082877119</v>
      </c>
      <c r="F108">
        <f t="shared" si="44"/>
        <v>0.68888923565174343</v>
      </c>
      <c r="G108">
        <f t="shared" si="44"/>
        <v>0.67419449807670684</v>
      </c>
      <c r="H108">
        <f t="shared" si="44"/>
        <v>0.65829068025106419</v>
      </c>
      <c r="I108">
        <f t="shared" si="44"/>
        <v>0.64287107773208274</v>
      </c>
      <c r="J108">
        <f t="shared" si="44"/>
        <v>0.62922262275968466</v>
      </c>
      <c r="K108">
        <f t="shared" si="44"/>
        <v>0.61782068979212545</v>
      </c>
      <c r="L108">
        <f t="shared" si="44"/>
        <v>0.60839716544412925</v>
      </c>
      <c r="M108">
        <f t="shared" si="44"/>
        <v>0.60058421131444872</v>
      </c>
      <c r="N108">
        <f t="shared" si="44"/>
        <v>0.59406809457922161</v>
      </c>
      <c r="O108">
        <f t="shared" si="44"/>
        <v>0.58860138360162972</v>
      </c>
      <c r="P108">
        <f t="shared" si="44"/>
        <v>0.58399259771484835</v>
      </c>
      <c r="Q108">
        <f t="shared" si="44"/>
        <v>0.58009375888380932</v>
      </c>
      <c r="R108">
        <f t="shared" si="44"/>
        <v>0.57679012104465766</v>
      </c>
      <c r="S108">
        <f t="shared" si="44"/>
        <v>0.57399180126184601</v>
      </c>
      <c r="T108">
        <f t="shared" si="44"/>
        <v>0.57162799373369821</v>
      </c>
    </row>
    <row r="109" spans="1:20" x14ac:dyDescent="0.2">
      <c r="A109" t="s">
        <v>729</v>
      </c>
      <c r="B109">
        <f t="shared" si="41"/>
        <v>0.65264783028942297</v>
      </c>
      <c r="C109">
        <f t="shared" ref="C109:T109" si="45">((1-SIN(C$54*PI()/180))*(B34+C34)/2+(1-SIN(B$54*PI()/180))*(B109-(B34+C34)/2))/(1-SIN(C$54*PI()/180))</f>
        <v>0.65496643978011648</v>
      </c>
      <c r="D109">
        <f t="shared" si="45"/>
        <v>0.65826284643643151</v>
      </c>
      <c r="E109">
        <f t="shared" si="45"/>
        <v>0.66002978487892772</v>
      </c>
      <c r="F109">
        <f t="shared" si="45"/>
        <v>0.65881543820153254</v>
      </c>
      <c r="G109">
        <f t="shared" si="45"/>
        <v>0.65386077290559985</v>
      </c>
      <c r="H109">
        <f t="shared" si="45"/>
        <v>0.64564791311998804</v>
      </c>
      <c r="I109">
        <f t="shared" si="45"/>
        <v>0.63551143561494039</v>
      </c>
      <c r="J109">
        <f t="shared" si="45"/>
        <v>0.62491434533829082</v>
      </c>
      <c r="K109">
        <f t="shared" si="45"/>
        <v>0.61505639914045063</v>
      </c>
      <c r="L109">
        <f t="shared" si="45"/>
        <v>0.60651722433814426</v>
      </c>
      <c r="M109">
        <f t="shared" si="45"/>
        <v>0.59926376096660705</v>
      </c>
      <c r="N109">
        <f t="shared" si="45"/>
        <v>0.59312275825109617</v>
      </c>
      <c r="O109">
        <f t="shared" si="45"/>
        <v>0.5879187294412932</v>
      </c>
      <c r="P109">
        <f t="shared" si="45"/>
        <v>0.58350056269890416</v>
      </c>
      <c r="Q109">
        <f t="shared" si="45"/>
        <v>0.57974440185539089</v>
      </c>
      <c r="R109">
        <f t="shared" si="45"/>
        <v>0.57655061108246619</v>
      </c>
      <c r="S109">
        <f t="shared" si="45"/>
        <v>0.57383921793555703</v>
      </c>
      <c r="T109">
        <f t="shared" si="45"/>
        <v>0.57154634229251589</v>
      </c>
    </row>
    <row r="110" spans="1:20" x14ac:dyDescent="0.2">
      <c r="A110" t="s">
        <v>730</v>
      </c>
      <c r="B110">
        <f t="shared" si="41"/>
        <v>0.61546960806304596</v>
      </c>
      <c r="C110">
        <f t="shared" ref="C110:T110" si="46">((1-SIN(C$54*PI()/180))*(B35+C35)/2+(1-SIN(B$54*PI()/180))*(B110-(B35+C35)/2))/(1-SIN(C$54*PI()/180))</f>
        <v>0.61681421862814356</v>
      </c>
      <c r="D110">
        <f t="shared" si="46"/>
        <v>0.62104620016222767</v>
      </c>
      <c r="E110">
        <f t="shared" si="46"/>
        <v>0.62617468062583537</v>
      </c>
      <c r="F110">
        <f t="shared" si="46"/>
        <v>0.63015363630418364</v>
      </c>
      <c r="G110">
        <f t="shared" si="46"/>
        <v>0.63170070812008072</v>
      </c>
      <c r="H110">
        <f t="shared" si="46"/>
        <v>0.63007152203527972</v>
      </c>
      <c r="I110">
        <f t="shared" si="46"/>
        <v>0.62546724414748245</v>
      </c>
      <c r="J110">
        <f t="shared" si="46"/>
        <v>0.61884709114382164</v>
      </c>
      <c r="K110">
        <f t="shared" si="46"/>
        <v>0.6113844150202512</v>
      </c>
      <c r="L110">
        <f t="shared" si="46"/>
        <v>0.60411772064768166</v>
      </c>
      <c r="M110">
        <f t="shared" si="46"/>
        <v>0.59762238246933186</v>
      </c>
      <c r="N110">
        <f t="shared" si="46"/>
        <v>0.59197583598675207</v>
      </c>
      <c r="O110">
        <f t="shared" si="46"/>
        <v>0.58711183021662772</v>
      </c>
      <c r="P110">
        <f t="shared" si="46"/>
        <v>0.58293715430245086</v>
      </c>
      <c r="Q110">
        <f t="shared" si="46"/>
        <v>0.57936143693900211</v>
      </c>
      <c r="R110">
        <f t="shared" si="46"/>
        <v>0.57630552992862361</v>
      </c>
      <c r="S110">
        <f t="shared" si="46"/>
        <v>0.57370284747568401</v>
      </c>
      <c r="T110">
        <f t="shared" si="46"/>
        <v>0.57149841017685277</v>
      </c>
    </row>
    <row r="111" spans="1:20" x14ac:dyDescent="0.2">
      <c r="A111" t="s">
        <v>723</v>
      </c>
      <c r="B111">
        <f t="shared" si="41"/>
        <v>0.595302640946346</v>
      </c>
      <c r="C111">
        <f t="shared" ref="C111:T111" si="47">((1-SIN(C$54*PI()/180))*(B36+C36)/2+(1-SIN(B$54*PI()/180))*(B111-(B36+C36)/2))/(1-SIN(C$54*PI()/180))</f>
        <v>0.59583960106800615</v>
      </c>
      <c r="D111">
        <f t="shared" si="47"/>
        <v>0.59772365114484494</v>
      </c>
      <c r="E111">
        <f t="shared" si="47"/>
        <v>0.60150376557112861</v>
      </c>
      <c r="F111">
        <f t="shared" si="47"/>
        <v>0.60629754101238464</v>
      </c>
      <c r="G111">
        <f t="shared" si="47"/>
        <v>0.61058598482657422</v>
      </c>
      <c r="H111">
        <f t="shared" si="47"/>
        <v>0.6131511478236259</v>
      </c>
      <c r="I111">
        <f t="shared" si="47"/>
        <v>0.61319927952835851</v>
      </c>
      <c r="J111">
        <f t="shared" si="47"/>
        <v>0.61070625193428796</v>
      </c>
      <c r="K111">
        <f t="shared" si="47"/>
        <v>0.6063290878870059</v>
      </c>
      <c r="L111">
        <f t="shared" si="47"/>
        <v>0.60098679288901746</v>
      </c>
      <c r="M111">
        <f t="shared" si="47"/>
        <v>0.59555416567274699</v>
      </c>
      <c r="N111">
        <f t="shared" si="47"/>
        <v>0.59056181653790307</v>
      </c>
      <c r="O111">
        <f t="shared" si="47"/>
        <v>0.58613614024207206</v>
      </c>
      <c r="P111">
        <f t="shared" si="47"/>
        <v>0.58227024950232742</v>
      </c>
      <c r="Q111">
        <f t="shared" si="47"/>
        <v>0.57892075800516185</v>
      </c>
      <c r="R111">
        <f t="shared" si="47"/>
        <v>0.57603638952346559</v>
      </c>
      <c r="S111">
        <f t="shared" si="47"/>
        <v>0.57356801965679705</v>
      </c>
      <c r="T111">
        <f t="shared" si="47"/>
        <v>0.57147236870901075</v>
      </c>
    </row>
    <row r="112" spans="1:20" x14ac:dyDescent="0.2">
      <c r="A112" t="s">
        <v>731</v>
      </c>
      <c r="B112">
        <f t="shared" si="41"/>
        <v>0.58204103262079099</v>
      </c>
      <c r="C112">
        <f t="shared" ref="C112:T112" si="48">((1-SIN(C$54*PI()/180))*(B37+C37)/2+(1-SIN(B$54*PI()/180))*(B112-(B37+C37)/2))/(1-SIN(C$54*PI()/180))</f>
        <v>0.58234619603664206</v>
      </c>
      <c r="D112">
        <f t="shared" si="48"/>
        <v>0.58331954202870195</v>
      </c>
      <c r="E112">
        <f t="shared" si="48"/>
        <v>0.58521352199401433</v>
      </c>
      <c r="F112">
        <f t="shared" si="48"/>
        <v>0.58851945482356438</v>
      </c>
      <c r="G112">
        <f t="shared" si="48"/>
        <v>0.59279328728389846</v>
      </c>
      <c r="H112">
        <f t="shared" si="48"/>
        <v>0.59692253620868785</v>
      </c>
      <c r="I112">
        <f t="shared" si="48"/>
        <v>0.59984598547287704</v>
      </c>
      <c r="J112">
        <f t="shared" si="48"/>
        <v>0.60079133250455796</v>
      </c>
      <c r="K112">
        <f t="shared" si="48"/>
        <v>0.59960316734653762</v>
      </c>
      <c r="L112">
        <f t="shared" si="48"/>
        <v>0.5967242278628635</v>
      </c>
      <c r="M112">
        <f t="shared" si="48"/>
        <v>0.59287362710690628</v>
      </c>
      <c r="N112">
        <f t="shared" si="48"/>
        <v>0.58878381060268181</v>
      </c>
      <c r="O112">
        <f t="shared" si="48"/>
        <v>0.58493001524652677</v>
      </c>
      <c r="P112">
        <f t="shared" si="48"/>
        <v>0.58145712259381543</v>
      </c>
      <c r="Q112">
        <f t="shared" si="48"/>
        <v>0.57839123490435584</v>
      </c>
      <c r="R112">
        <f t="shared" si="48"/>
        <v>0.57571981527353111</v>
      </c>
      <c r="S112">
        <f t="shared" si="48"/>
        <v>0.5734172815484252</v>
      </c>
      <c r="T112">
        <f t="shared" si="48"/>
        <v>0.57145546033386085</v>
      </c>
    </row>
    <row r="113" spans="1:20" x14ac:dyDescent="0.2">
      <c r="A113" t="s">
        <v>732</v>
      </c>
      <c r="B113">
        <f t="shared" si="41"/>
        <v>0.57266158850159798</v>
      </c>
      <c r="C113">
        <f t="shared" ref="C113:T113" si="49">((1-SIN(C$54*PI()/180))*(B38+C38)/2+(1-SIN(B$54*PI()/180))*(B113-(B38+C38)/2))/(1-SIN(C$54*PI()/180))</f>
        <v>0.57285831062851145</v>
      </c>
      <c r="D113">
        <f t="shared" si="49"/>
        <v>0.57347580479415494</v>
      </c>
      <c r="E113">
        <f t="shared" si="49"/>
        <v>0.57458738592426284</v>
      </c>
      <c r="F113">
        <f t="shared" si="49"/>
        <v>0.57640234648849664</v>
      </c>
      <c r="G113">
        <f t="shared" si="49"/>
        <v>0.57932965121467361</v>
      </c>
      <c r="H113">
        <f t="shared" si="49"/>
        <v>0.58313729867653685</v>
      </c>
      <c r="I113">
        <f t="shared" si="49"/>
        <v>0.58699614073046891</v>
      </c>
      <c r="J113">
        <f t="shared" si="49"/>
        <v>0.59000596290011698</v>
      </c>
      <c r="K113">
        <f t="shared" si="49"/>
        <v>0.59145059906594477</v>
      </c>
      <c r="L113">
        <f t="shared" si="49"/>
        <v>0.59110627243660196</v>
      </c>
      <c r="M113">
        <f t="shared" si="49"/>
        <v>0.58926820750415165</v>
      </c>
      <c r="N113">
        <f t="shared" si="49"/>
        <v>0.58650331963668867</v>
      </c>
      <c r="O113">
        <f t="shared" si="49"/>
        <v>0.5834266193651777</v>
      </c>
      <c r="P113">
        <f t="shared" si="49"/>
        <v>0.58045906977558137</v>
      </c>
      <c r="Q113">
        <f t="shared" si="49"/>
        <v>0.57774909112868389</v>
      </c>
      <c r="R113">
        <f t="shared" si="49"/>
        <v>0.57534108439667175</v>
      </c>
      <c r="S113">
        <f t="shared" si="49"/>
        <v>0.57324189105829804</v>
      </c>
      <c r="T113">
        <f t="shared" si="49"/>
        <v>0.57144361329706217</v>
      </c>
    </row>
    <row r="114" spans="1:20" x14ac:dyDescent="0.2">
      <c r="A114" t="s">
        <v>733</v>
      </c>
      <c r="B114">
        <f t="shared" si="41"/>
        <v>0.56572265885036999</v>
      </c>
      <c r="C114">
        <f t="shared" ref="C114:T114" si="50">((1-SIN(C$54*PI()/180))*(B39+C39)/2+(1-SIN(B$54*PI()/180))*(B114-(B39+C39)/2))/(1-SIN(C$54*PI()/180))</f>
        <v>0.565865133626406</v>
      </c>
      <c r="D114">
        <f t="shared" si="50"/>
        <v>0.56630180059091972</v>
      </c>
      <c r="E114">
        <f t="shared" si="50"/>
        <v>0.56706388855693701</v>
      </c>
      <c r="F114">
        <f t="shared" si="50"/>
        <v>0.56822154663270374</v>
      </c>
      <c r="G114">
        <f t="shared" si="50"/>
        <v>0.56994851097363741</v>
      </c>
      <c r="H114">
        <f t="shared" si="50"/>
        <v>0.57258622956469574</v>
      </c>
      <c r="I114">
        <f t="shared" si="50"/>
        <v>0.57601495863102592</v>
      </c>
      <c r="J114">
        <f t="shared" si="50"/>
        <v>0.57960194261137543</v>
      </c>
      <c r="K114">
        <f t="shared" si="50"/>
        <v>0.58258671176131904</v>
      </c>
      <c r="L114">
        <f t="shared" si="50"/>
        <v>0.58431946996501816</v>
      </c>
      <c r="M114">
        <f t="shared" si="50"/>
        <v>0.58454528006767381</v>
      </c>
      <c r="N114">
        <f t="shared" si="50"/>
        <v>0.58345827442165787</v>
      </c>
      <c r="O114">
        <f t="shared" si="50"/>
        <v>0.58151039782551239</v>
      </c>
      <c r="P114">
        <f t="shared" si="50"/>
        <v>0.57922174145453043</v>
      </c>
      <c r="Q114">
        <f t="shared" si="50"/>
        <v>0.57696447559082631</v>
      </c>
      <c r="R114">
        <f t="shared" si="50"/>
        <v>0.57488364707362938</v>
      </c>
      <c r="S114">
        <f t="shared" si="50"/>
        <v>0.57303374967578424</v>
      </c>
      <c r="T114">
        <f t="shared" si="50"/>
        <v>0.57143468306246337</v>
      </c>
    </row>
    <row r="115" spans="1:20" x14ac:dyDescent="0.2">
      <c r="A115" t="s">
        <v>734</v>
      </c>
      <c r="B115">
        <f t="shared" si="41"/>
        <v>0.56046458444013203</v>
      </c>
      <c r="C115">
        <f t="shared" ref="C115:T115" si="51">((1-SIN(C$54*PI()/180))*(B40+C40)/2+(1-SIN(B$54*PI()/180))*(B115-(B40+C40)/2))/(1-SIN(C$54*PI()/180))</f>
        <v>0.56057226564303453</v>
      </c>
      <c r="D115">
        <f t="shared" si="51"/>
        <v>0.56090090248381075</v>
      </c>
      <c r="E115">
        <f t="shared" si="51"/>
        <v>0.56146706368596289</v>
      </c>
      <c r="F115">
        <f t="shared" si="51"/>
        <v>0.56230418424742257</v>
      </c>
      <c r="G115">
        <f t="shared" si="51"/>
        <v>0.56347525237036034</v>
      </c>
      <c r="H115">
        <f t="shared" si="51"/>
        <v>0.56512586166030676</v>
      </c>
      <c r="I115">
        <f t="shared" si="51"/>
        <v>0.56754475042219954</v>
      </c>
      <c r="J115">
        <f t="shared" si="51"/>
        <v>0.5706753467240262</v>
      </c>
      <c r="K115">
        <f t="shared" si="51"/>
        <v>0.57402334879060113</v>
      </c>
      <c r="L115">
        <f t="shared" si="51"/>
        <v>0.57694329102255637</v>
      </c>
      <c r="M115">
        <f t="shared" si="51"/>
        <v>0.57885072290537332</v>
      </c>
      <c r="N115">
        <f t="shared" si="51"/>
        <v>0.5794807477818712</v>
      </c>
      <c r="O115">
        <f t="shared" si="51"/>
        <v>0.57895797272307237</v>
      </c>
      <c r="P115">
        <f t="shared" si="51"/>
        <v>0.57764736924275029</v>
      </c>
      <c r="Q115">
        <f t="shared" si="51"/>
        <v>0.57599303442071825</v>
      </c>
      <c r="R115">
        <f t="shared" si="51"/>
        <v>0.57432533676588682</v>
      </c>
      <c r="S115">
        <f t="shared" si="51"/>
        <v>0.5727833549069703</v>
      </c>
      <c r="T115">
        <f t="shared" si="51"/>
        <v>0.57142802198771492</v>
      </c>
    </row>
    <row r="116" spans="1:20" x14ac:dyDescent="0.2">
      <c r="A116" t="s">
        <v>735</v>
      </c>
      <c r="B116">
        <f t="shared" si="41"/>
        <v>0.55640779830904297</v>
      </c>
      <c r="C116">
        <f t="shared" ref="C116:T116" si="52">((1-SIN(C$54*PI()/180))*(B41+C41)/2+(1-SIN(B$54*PI()/180))*(B116-(B41+C41)/2))/(1-SIN(C$54*PI()/180))</f>
        <v>0.55649430512635401</v>
      </c>
      <c r="D116">
        <f t="shared" si="52"/>
        <v>0.55675581075609282</v>
      </c>
      <c r="E116">
        <f t="shared" si="52"/>
        <v>0.55720206042599618</v>
      </c>
      <c r="F116">
        <f t="shared" si="52"/>
        <v>0.55785181794520133</v>
      </c>
      <c r="G116">
        <f t="shared" si="52"/>
        <v>0.55873670224094096</v>
      </c>
      <c r="H116">
        <f t="shared" si="52"/>
        <v>0.55991296504813781</v>
      </c>
      <c r="I116">
        <f t="shared" si="52"/>
        <v>0.56150529189223164</v>
      </c>
      <c r="J116">
        <f t="shared" si="52"/>
        <v>0.563761721439755</v>
      </c>
      <c r="K116">
        <f t="shared" si="52"/>
        <v>0.56666281822704734</v>
      </c>
      <c r="L116">
        <f t="shared" si="52"/>
        <v>0.56981443365989826</v>
      </c>
      <c r="M116">
        <f t="shared" si="52"/>
        <v>0.57266435608634514</v>
      </c>
      <c r="N116">
        <f t="shared" si="52"/>
        <v>0.57468794275169066</v>
      </c>
      <c r="O116">
        <f t="shared" si="52"/>
        <v>0.57562223408026036</v>
      </c>
      <c r="P116">
        <f t="shared" si="52"/>
        <v>0.57554401358583029</v>
      </c>
      <c r="Q116">
        <f t="shared" si="52"/>
        <v>0.57475244221756028</v>
      </c>
      <c r="R116">
        <f t="shared" si="52"/>
        <v>0.57363138035584982</v>
      </c>
      <c r="S116">
        <f t="shared" si="52"/>
        <v>0.57247681083991209</v>
      </c>
      <c r="T116">
        <f t="shared" si="52"/>
        <v>0.57142287235499101</v>
      </c>
    </row>
    <row r="117" spans="1:20" x14ac:dyDescent="0.2">
      <c r="A117" t="s">
        <v>724</v>
      </c>
      <c r="B117">
        <f t="shared" si="41"/>
        <v>0.55326585545276197</v>
      </c>
      <c r="C117">
        <f t="shared" ref="C117:T117" si="53">((1-SIN(C$54*PI()/180))*(B42+C42)/2+(1-SIN(B$54*PI()/180))*(B117-(B42+C42)/2))/(1-SIN(C$54*PI()/180))</f>
        <v>0.5533362337767449</v>
      </c>
      <c r="D117">
        <f t="shared" si="53"/>
        <v>0.55355178573481467</v>
      </c>
      <c r="E117">
        <f t="shared" si="53"/>
        <v>0.55391937338151964</v>
      </c>
      <c r="F117">
        <f t="shared" si="53"/>
        <v>0.55444986710511979</v>
      </c>
      <c r="G117">
        <f t="shared" si="53"/>
        <v>0.55516152378962258</v>
      </c>
      <c r="H117">
        <f t="shared" si="53"/>
        <v>0.55608396991352904</v>
      </c>
      <c r="I117">
        <f t="shared" si="53"/>
        <v>0.55726788815919404</v>
      </c>
      <c r="J117">
        <f t="shared" si="53"/>
        <v>0.55882185004358131</v>
      </c>
      <c r="K117">
        <f t="shared" si="53"/>
        <v>0.56096215575260489</v>
      </c>
      <c r="L117">
        <f t="shared" si="53"/>
        <v>0.56369229252947206</v>
      </c>
      <c r="M117">
        <f t="shared" si="53"/>
        <v>0.56669213109815086</v>
      </c>
      <c r="N117">
        <f t="shared" si="53"/>
        <v>0.56948517863459414</v>
      </c>
      <c r="O117">
        <f t="shared" si="53"/>
        <v>0.57160016612239839</v>
      </c>
      <c r="P117">
        <f t="shared" si="53"/>
        <v>0.57278286876697182</v>
      </c>
      <c r="Q117">
        <f t="shared" si="53"/>
        <v>0.57307770293829763</v>
      </c>
      <c r="R117">
        <f t="shared" si="53"/>
        <v>0.57273468491400747</v>
      </c>
      <c r="S117">
        <f t="shared" si="53"/>
        <v>0.57209135796235766</v>
      </c>
      <c r="T117">
        <f t="shared" si="53"/>
        <v>0.57141879614273594</v>
      </c>
    </row>
    <row r="118" spans="1:20" x14ac:dyDescent="0.2">
      <c r="A118" t="s">
        <v>736</v>
      </c>
      <c r="B118">
        <f t="shared" si="41"/>
        <v>0.55083699971297295</v>
      </c>
      <c r="C118">
        <f t="shared" ref="C118:T118" si="54">((1-SIN(C$54*PI()/180))*(B43+C43)/2+(1-SIN(B$54*PI()/180))*(B118-(B43+C43)/2))/(1-SIN(C$54*PI()/180))</f>
        <v>0.55089570871975102</v>
      </c>
      <c r="D118">
        <f t="shared" si="54"/>
        <v>0.55108004388514364</v>
      </c>
      <c r="E118">
        <f t="shared" si="54"/>
        <v>0.55139493847440268</v>
      </c>
      <c r="F118">
        <f t="shared" si="54"/>
        <v>0.55184624450604791</v>
      </c>
      <c r="G118">
        <f t="shared" si="54"/>
        <v>0.55244585281031988</v>
      </c>
      <c r="H118">
        <f t="shared" si="54"/>
        <v>0.55321185433307063</v>
      </c>
      <c r="I118">
        <f t="shared" si="54"/>
        <v>0.5541720556001335</v>
      </c>
      <c r="J118">
        <f t="shared" si="54"/>
        <v>0.55537270290573648</v>
      </c>
      <c r="K118">
        <f t="shared" si="54"/>
        <v>0.55691000222652698</v>
      </c>
      <c r="L118">
        <f t="shared" si="54"/>
        <v>0.55897523536235993</v>
      </c>
      <c r="M118">
        <f t="shared" si="54"/>
        <v>0.56158661626733908</v>
      </c>
      <c r="N118">
        <f t="shared" si="54"/>
        <v>0.56448053550264199</v>
      </c>
      <c r="O118">
        <f t="shared" si="54"/>
        <v>0.56724269349248879</v>
      </c>
      <c r="P118">
        <f t="shared" si="54"/>
        <v>0.56944936909005739</v>
      </c>
      <c r="Q118">
        <f t="shared" si="54"/>
        <v>0.5708595423865982</v>
      </c>
      <c r="R118">
        <f t="shared" si="54"/>
        <v>0.57149767483002889</v>
      </c>
      <c r="S118">
        <f t="shared" si="54"/>
        <v>0.57158014413421776</v>
      </c>
      <c r="T118">
        <f t="shared" si="54"/>
        <v>0.57141576399341543</v>
      </c>
    </row>
    <row r="119" spans="1:20" x14ac:dyDescent="0.2">
      <c r="A119" t="s">
        <v>737</v>
      </c>
      <c r="B119">
        <f t="shared" si="41"/>
        <v>0.54898411032988303</v>
      </c>
      <c r="C119">
        <f t="shared" ref="C119:T119" si="55">((1-SIN(C$54*PI()/180))*(B44+C44)/2+(1-SIN(B$54*PI()/180))*(B119-(B44+C44)/2))/(1-SIN(C$54*PI()/180))</f>
        <v>0.54903698344552054</v>
      </c>
      <c r="D119">
        <f t="shared" si="55"/>
        <v>0.54920085847465572</v>
      </c>
      <c r="E119">
        <f t="shared" si="55"/>
        <v>0.54947963582298331</v>
      </c>
      <c r="F119">
        <f t="shared" si="55"/>
        <v>0.54987749042536938</v>
      </c>
      <c r="G119">
        <f t="shared" si="55"/>
        <v>0.55040268142809801</v>
      </c>
      <c r="H119">
        <f t="shared" si="55"/>
        <v>0.55106737884444634</v>
      </c>
      <c r="I119">
        <f t="shared" si="55"/>
        <v>0.5518890651550018</v>
      </c>
      <c r="J119">
        <f t="shared" si="55"/>
        <v>0.55289428411429697</v>
      </c>
      <c r="K119">
        <f t="shared" si="55"/>
        <v>0.55412586158079613</v>
      </c>
      <c r="L119">
        <f t="shared" si="55"/>
        <v>0.55567071643398647</v>
      </c>
      <c r="M119">
        <f t="shared" si="55"/>
        <v>0.55770076713995609</v>
      </c>
      <c r="N119">
        <f t="shared" si="55"/>
        <v>0.56024444060937029</v>
      </c>
      <c r="O119">
        <f t="shared" si="55"/>
        <v>0.56308279316750143</v>
      </c>
      <c r="P119">
        <f t="shared" si="55"/>
        <v>0.56585417092645507</v>
      </c>
      <c r="Q119">
        <f t="shared" si="55"/>
        <v>0.56817869099831542</v>
      </c>
      <c r="R119">
        <f t="shared" si="55"/>
        <v>0.5698341783322407</v>
      </c>
      <c r="S119">
        <f t="shared" si="55"/>
        <v>0.57084082561932625</v>
      </c>
      <c r="T119">
        <f t="shared" si="55"/>
        <v>0.57141348568556494</v>
      </c>
    </row>
    <row r="120" spans="1:20" x14ac:dyDescent="0.2">
      <c r="A120" t="s">
        <v>738</v>
      </c>
      <c r="B120">
        <f t="shared" si="41"/>
        <v>0.54761310185061496</v>
      </c>
      <c r="C120">
        <f t="shared" ref="C120:T120" si="56">((1-SIN(C$54*PI()/180))*(B45+C45)/2+(1-SIN(B$54*PI()/180))*(B120-(B45+C45)/2))/(1-SIN(C$54*PI()/180))</f>
        <v>0.5476657819446189</v>
      </c>
      <c r="D120">
        <f t="shared" si="56"/>
        <v>0.54781916753577908</v>
      </c>
      <c r="E120">
        <f t="shared" si="56"/>
        <v>0.54807432406126155</v>
      </c>
      <c r="F120">
        <f t="shared" si="56"/>
        <v>0.54843643800974273</v>
      </c>
      <c r="G120">
        <f t="shared" si="56"/>
        <v>0.54891207734361491</v>
      </c>
      <c r="H120">
        <f t="shared" si="56"/>
        <v>0.54951034047302683</v>
      </c>
      <c r="I120">
        <f t="shared" si="56"/>
        <v>0.55024362806498406</v>
      </c>
      <c r="J120">
        <f t="shared" si="56"/>
        <v>0.55112942894470351</v>
      </c>
      <c r="K120">
        <f t="shared" si="56"/>
        <v>0.55219332754774297</v>
      </c>
      <c r="L120">
        <f t="shared" si="56"/>
        <v>0.55347620006816278</v>
      </c>
      <c r="M120">
        <f t="shared" si="56"/>
        <v>0.5550584757119984</v>
      </c>
      <c r="N120">
        <f t="shared" si="56"/>
        <v>0.5570975596420813</v>
      </c>
      <c r="O120">
        <f t="shared" si="56"/>
        <v>0.55963068561886231</v>
      </c>
      <c r="P120">
        <f t="shared" si="56"/>
        <v>0.5624768419109426</v>
      </c>
      <c r="Q120">
        <f t="shared" si="56"/>
        <v>0.56532286398262144</v>
      </c>
      <c r="R120">
        <f t="shared" si="56"/>
        <v>0.56783656916377323</v>
      </c>
      <c r="S120">
        <f t="shared" si="56"/>
        <v>0.56983985629291289</v>
      </c>
      <c r="T120">
        <f t="shared" si="56"/>
        <v>0.57141166956714728</v>
      </c>
    </row>
    <row r="121" spans="1:20" x14ac:dyDescent="0.2">
      <c r="A121" t="s">
        <v>739</v>
      </c>
      <c r="B121">
        <f t="shared" si="41"/>
        <v>0.54668372749489003</v>
      </c>
      <c r="C121">
        <f t="shared" ref="C121:T121" si="57">((1-SIN(C$54*PI()/180))*(B46+C46)/2+(1-SIN(B$54*PI()/180))*(B121-(B46+C46)/2))/(1-SIN(C$54*PI()/180))</f>
        <v>0.54673155166345</v>
      </c>
      <c r="D121">
        <f t="shared" si="57"/>
        <v>0.54687402676160191</v>
      </c>
      <c r="E121">
        <f t="shared" si="57"/>
        <v>0.54711276217585258</v>
      </c>
      <c r="F121">
        <f t="shared" si="57"/>
        <v>0.54745156956794161</v>
      </c>
      <c r="G121">
        <f t="shared" si="57"/>
        <v>0.54789555897399689</v>
      </c>
      <c r="H121">
        <f t="shared" si="57"/>
        <v>0.54845178141574213</v>
      </c>
      <c r="I121">
        <f t="shared" si="57"/>
        <v>0.54912988354773429</v>
      </c>
      <c r="J121">
        <f t="shared" si="57"/>
        <v>0.5499430134883756</v>
      </c>
      <c r="K121">
        <f t="shared" si="57"/>
        <v>0.55090914157772686</v>
      </c>
      <c r="L121">
        <f t="shared" si="57"/>
        <v>0.55205434612042203</v>
      </c>
      <c r="M121">
        <f t="shared" si="57"/>
        <v>0.55341915685728826</v>
      </c>
      <c r="N121">
        <f t="shared" si="57"/>
        <v>0.55508060104763268</v>
      </c>
      <c r="O121">
        <f t="shared" si="57"/>
        <v>0.55718762925092924</v>
      </c>
      <c r="P121">
        <f t="shared" si="57"/>
        <v>0.5597891495340066</v>
      </c>
      <c r="Q121">
        <f t="shared" si="57"/>
        <v>0.56274509001280792</v>
      </c>
      <c r="R121">
        <f t="shared" si="57"/>
        <v>0.56581069212098567</v>
      </c>
      <c r="S121">
        <f t="shared" si="57"/>
        <v>0.56875878914876909</v>
      </c>
      <c r="T121">
        <f t="shared" si="57"/>
        <v>0.57141039108666503</v>
      </c>
    </row>
    <row r="122" spans="1:20" x14ac:dyDescent="0.2">
      <c r="A122" t="s">
        <v>740</v>
      </c>
      <c r="B122">
        <f t="shared" si="41"/>
        <v>0.54612759501422803</v>
      </c>
      <c r="C122">
        <f t="shared" ref="C122:T122" si="58">((1-SIN(C$54*PI()/180))*(B47+C47)/2+(1-SIN(B$54*PI()/180))*(B122-(B47+C47)/2))/(1-SIN(C$54*PI()/180))</f>
        <v>0.54617882392915551</v>
      </c>
      <c r="D122">
        <f t="shared" si="58"/>
        <v>0.54632006692678681</v>
      </c>
      <c r="E122">
        <f t="shared" si="58"/>
        <v>0.54655078803442358</v>
      </c>
      <c r="F122">
        <f t="shared" si="58"/>
        <v>0.54687699763516462</v>
      </c>
      <c r="G122">
        <f t="shared" si="58"/>
        <v>0.54730353054597447</v>
      </c>
      <c r="H122">
        <f t="shared" si="58"/>
        <v>0.54783661320232357</v>
      </c>
      <c r="I122">
        <f t="shared" si="58"/>
        <v>0.5484845312682175</v>
      </c>
      <c r="J122">
        <f t="shared" si="58"/>
        <v>0.54925825533406691</v>
      </c>
      <c r="K122">
        <f t="shared" si="58"/>
        <v>0.55017241822078711</v>
      </c>
      <c r="L122">
        <f t="shared" si="58"/>
        <v>0.5512471096206808</v>
      </c>
      <c r="M122">
        <f t="shared" si="58"/>
        <v>0.55251093532643636</v>
      </c>
      <c r="N122">
        <f t="shared" si="58"/>
        <v>0.55400752333737224</v>
      </c>
      <c r="O122">
        <f t="shared" si="58"/>
        <v>0.55581728307737033</v>
      </c>
      <c r="P122">
        <f t="shared" si="58"/>
        <v>0.55809363447893989</v>
      </c>
      <c r="Q122">
        <f t="shared" si="58"/>
        <v>0.56092493874220062</v>
      </c>
      <c r="R122">
        <f t="shared" si="58"/>
        <v>0.56427374000089936</v>
      </c>
      <c r="S122">
        <f t="shared" si="58"/>
        <v>0.56790800514282602</v>
      </c>
      <c r="T122">
        <f t="shared" si="58"/>
        <v>0.57140969032936206</v>
      </c>
    </row>
    <row r="123" spans="1:20" x14ac:dyDescent="0.2">
      <c r="A123" t="s">
        <v>725</v>
      </c>
      <c r="B123">
        <f t="shared" si="41"/>
        <v>0.54595341156436505</v>
      </c>
      <c r="C123">
        <f t="shared" ref="C123:T123" si="59">((1-SIN(C$54*PI()/180))*(B48+C48)/2+(1-SIN(B$54*PI()/180))*(B123-(B48+C48)/2))/(1-SIN(C$54*PI()/180))</f>
        <v>0.54600169247885755</v>
      </c>
      <c r="D123">
        <f t="shared" si="59"/>
        <v>0.54613942512186708</v>
      </c>
      <c r="E123">
        <f t="shared" si="59"/>
        <v>0.54636693456411378</v>
      </c>
      <c r="F123">
        <f t="shared" si="59"/>
        <v>0.54668886519392679</v>
      </c>
      <c r="G123">
        <f t="shared" si="59"/>
        <v>0.54710966294803376</v>
      </c>
      <c r="H123">
        <f t="shared" si="59"/>
        <v>0.54763523657841751</v>
      </c>
      <c r="I123">
        <f t="shared" si="59"/>
        <v>0.54827345660433702</v>
      </c>
      <c r="J123">
        <f t="shared" si="59"/>
        <v>0.54903462702431238</v>
      </c>
      <c r="K123">
        <f t="shared" si="59"/>
        <v>0.54993240580540936</v>
      </c>
      <c r="L123">
        <f t="shared" si="59"/>
        <v>0.5509851826705866</v>
      </c>
      <c r="M123">
        <f t="shared" si="59"/>
        <v>0.55221848596693934</v>
      </c>
      <c r="N123">
        <f t="shared" si="59"/>
        <v>0.55366943745951391</v>
      </c>
      <c r="O123">
        <f t="shared" si="59"/>
        <v>0.55539681891361314</v>
      </c>
      <c r="P123">
        <f t="shared" si="59"/>
        <v>0.55751686338793183</v>
      </c>
      <c r="Q123">
        <f t="shared" si="59"/>
        <v>0.56026180479676768</v>
      </c>
      <c r="R123">
        <f t="shared" si="59"/>
        <v>0.56370220140955551</v>
      </c>
      <c r="S123">
        <f t="shared" si="59"/>
        <v>0.56758090404129535</v>
      </c>
      <c r="T123">
        <f t="shared" si="59"/>
        <v>0.57140913870599364</v>
      </c>
    </row>
    <row r="126" spans="1:20" ht="14.25" customHeight="1" x14ac:dyDescent="0.2">
      <c r="A126" s="35" t="s">
        <v>747</v>
      </c>
      <c r="B126" s="35"/>
      <c r="C126" s="35"/>
      <c r="D126" s="35"/>
      <c r="E126" s="35"/>
      <c r="F126" s="35"/>
      <c r="G126" s="35"/>
      <c r="H126" s="35"/>
      <c r="I126" s="35"/>
      <c r="J126" s="35"/>
      <c r="K126" s="35"/>
      <c r="L126" s="35"/>
      <c r="M126" s="35"/>
      <c r="N126" s="35"/>
      <c r="O126" s="35"/>
      <c r="P126" s="35"/>
      <c r="Q126" s="35"/>
      <c r="R126" s="35"/>
      <c r="S126" s="35"/>
      <c r="T126" s="18"/>
    </row>
    <row r="127" spans="1:20" ht="14.25" customHeight="1" x14ac:dyDescent="0.2">
      <c r="A127" s="35"/>
      <c r="B127" s="35"/>
      <c r="C127" s="35"/>
      <c r="D127" s="35"/>
      <c r="E127" s="35"/>
      <c r="F127" s="35"/>
      <c r="G127" s="35"/>
      <c r="H127" s="35"/>
      <c r="I127" s="35"/>
      <c r="J127" s="35"/>
      <c r="K127" s="35"/>
      <c r="L127" s="35"/>
      <c r="M127" s="35"/>
      <c r="N127" s="35"/>
      <c r="O127" s="35"/>
      <c r="P127" s="35"/>
      <c r="Q127" s="35"/>
      <c r="R127" s="35"/>
      <c r="S127" s="35"/>
      <c r="T127" s="18"/>
    </row>
    <row r="128" spans="1:20" x14ac:dyDescent="0.2">
      <c r="A128" t="s">
        <v>742</v>
      </c>
      <c r="B128">
        <v>90</v>
      </c>
      <c r="C128">
        <v>85</v>
      </c>
      <c r="D128">
        <v>80</v>
      </c>
      <c r="E128">
        <v>75</v>
      </c>
      <c r="F128">
        <v>70</v>
      </c>
      <c r="G128">
        <v>65</v>
      </c>
      <c r="H128">
        <v>60</v>
      </c>
      <c r="I128">
        <v>55</v>
      </c>
      <c r="J128">
        <v>50</v>
      </c>
      <c r="K128">
        <v>45</v>
      </c>
      <c r="L128">
        <v>40</v>
      </c>
      <c r="M128">
        <v>35</v>
      </c>
      <c r="N128">
        <v>30</v>
      </c>
      <c r="O128">
        <v>25</v>
      </c>
      <c r="P128">
        <v>20</v>
      </c>
      <c r="Q128">
        <v>15</v>
      </c>
      <c r="R128">
        <v>10</v>
      </c>
      <c r="S128">
        <v>5</v>
      </c>
      <c r="T128">
        <v>0</v>
      </c>
    </row>
    <row r="129" spans="1:20" x14ac:dyDescent="0.2">
      <c r="A129" t="s">
        <v>722</v>
      </c>
      <c r="B129" s="2" t="s">
        <v>748</v>
      </c>
      <c r="C129">
        <v>0.85203931233956398</v>
      </c>
      <c r="D129">
        <v>0.82080451850325298</v>
      </c>
      <c r="E129">
        <v>0.78043492721317398</v>
      </c>
      <c r="F129">
        <v>0.73823931112094898</v>
      </c>
      <c r="G129">
        <v>0.69993927815176904</v>
      </c>
      <c r="H129">
        <v>0.67118348420010798</v>
      </c>
      <c r="I129">
        <v>0.64962710428280201</v>
      </c>
      <c r="J129">
        <v>0.63310996833552402</v>
      </c>
      <c r="K129">
        <v>0.620184502572106</v>
      </c>
      <c r="L129">
        <v>0.60987018442904095</v>
      </c>
      <c r="M129">
        <v>0.60149812686648496</v>
      </c>
      <c r="N129">
        <v>0.594641862457012</v>
      </c>
      <c r="O129">
        <v>0.58895564631596897</v>
      </c>
      <c r="P129">
        <v>0.58417346136057102</v>
      </c>
      <c r="Q129">
        <v>0.58015387807425101</v>
      </c>
      <c r="R129">
        <v>0.57676954309605499</v>
      </c>
      <c r="S129">
        <v>0.57391251298979296</v>
      </c>
      <c r="T129">
        <v>0.57150295869963996</v>
      </c>
    </row>
    <row r="130" spans="1:20" x14ac:dyDescent="0.2">
      <c r="A130" t="s">
        <v>726</v>
      </c>
      <c r="B130" s="2" t="s">
        <v>748</v>
      </c>
      <c r="C130">
        <v>0.809859136166868</v>
      </c>
      <c r="D130">
        <v>0.78951447124204799</v>
      </c>
      <c r="E130">
        <v>0.758990858673806</v>
      </c>
      <c r="F130">
        <v>0.72517920259125701</v>
      </c>
      <c r="G130">
        <v>0.69471406458110796</v>
      </c>
      <c r="H130">
        <v>0.66852369695902802</v>
      </c>
      <c r="I130">
        <v>0.64807644703939105</v>
      </c>
      <c r="J130">
        <v>0.63215058805286894</v>
      </c>
      <c r="K130">
        <v>0.61956882930883905</v>
      </c>
      <c r="L130">
        <v>0.60946308540178595</v>
      </c>
      <c r="M130">
        <v>0.60122146811091703</v>
      </c>
      <c r="N130">
        <v>0.59444174026825503</v>
      </c>
      <c r="O130">
        <v>0.58878151659575895</v>
      </c>
      <c r="P130">
        <v>0.58403549599131799</v>
      </c>
      <c r="Q130">
        <v>0.58003856959875999</v>
      </c>
      <c r="R130">
        <v>0.57665638740617398</v>
      </c>
      <c r="S130">
        <v>0.57381140780957496</v>
      </c>
      <c r="T130">
        <v>0.57142534364764197</v>
      </c>
    </row>
    <row r="131" spans="1:20" x14ac:dyDescent="0.2">
      <c r="A131" t="s">
        <v>727</v>
      </c>
      <c r="B131" s="2" t="s">
        <v>748</v>
      </c>
      <c r="C131">
        <v>0.710551145887931</v>
      </c>
      <c r="D131">
        <v>0.709392108827549</v>
      </c>
      <c r="E131">
        <v>0.70190643271296704</v>
      </c>
      <c r="F131">
        <v>0.69130450294955303</v>
      </c>
      <c r="G131">
        <v>0.67674977640065404</v>
      </c>
      <c r="H131">
        <v>0.65997701684911603</v>
      </c>
      <c r="I131">
        <v>0.64326644437282299</v>
      </c>
      <c r="J131">
        <v>0.62918551780669796</v>
      </c>
      <c r="K131">
        <v>0.617617293110304</v>
      </c>
      <c r="L131">
        <v>0.608121373018218</v>
      </c>
      <c r="M131">
        <v>0.60028822928103798</v>
      </c>
      <c r="N131">
        <v>0.59376930987163401</v>
      </c>
      <c r="O131">
        <v>0.58829050451673004</v>
      </c>
      <c r="P131">
        <v>0.58369844986786301</v>
      </c>
      <c r="Q131">
        <v>0.57981011986439601</v>
      </c>
      <c r="R131">
        <v>0.57651272865986902</v>
      </c>
      <c r="S131">
        <v>0.57371826231083001</v>
      </c>
      <c r="T131">
        <v>0.57137936756373597</v>
      </c>
    </row>
    <row r="132" spans="1:20" x14ac:dyDescent="0.2">
      <c r="A132" t="s">
        <v>728</v>
      </c>
      <c r="B132" s="2" t="s">
        <v>748</v>
      </c>
      <c r="C132">
        <v>0.60450210799843096</v>
      </c>
      <c r="D132">
        <v>0.61467124221870795</v>
      </c>
      <c r="E132">
        <v>0.63161767162923899</v>
      </c>
      <c r="F132">
        <v>0.64335009068582305</v>
      </c>
      <c r="G132">
        <v>0.64678793236120902</v>
      </c>
      <c r="H132">
        <v>0.642920375906883</v>
      </c>
      <c r="I132">
        <v>0.634360344121216</v>
      </c>
      <c r="J132">
        <v>0.62385191642962901</v>
      </c>
      <c r="K132">
        <v>0.61418695461063</v>
      </c>
      <c r="L132">
        <v>0.60582609023802703</v>
      </c>
      <c r="M132">
        <v>0.59870582548509099</v>
      </c>
      <c r="N132">
        <v>0.59265865350231195</v>
      </c>
      <c r="O132">
        <v>0.587539044093776</v>
      </c>
      <c r="P132">
        <v>0.583192647608194</v>
      </c>
      <c r="Q132">
        <v>0.57948837502182104</v>
      </c>
      <c r="R132">
        <v>0.576338059181285</v>
      </c>
      <c r="S132">
        <v>0.57365577994588002</v>
      </c>
      <c r="T132">
        <v>0.57139488500650404</v>
      </c>
    </row>
    <row r="133" spans="1:20" x14ac:dyDescent="0.2">
      <c r="A133" t="s">
        <v>729</v>
      </c>
      <c r="B133" s="2" t="s">
        <v>748</v>
      </c>
      <c r="C133">
        <v>0.52163318791592606</v>
      </c>
      <c r="D133">
        <v>0.54498421104351202</v>
      </c>
      <c r="E133">
        <v>0.56858877783560402</v>
      </c>
      <c r="F133">
        <v>0.59142427922934604</v>
      </c>
      <c r="G133">
        <v>0.60850429428405906</v>
      </c>
      <c r="H133">
        <v>0.61753948060508601</v>
      </c>
      <c r="I133">
        <v>0.61912963974088497</v>
      </c>
      <c r="J133">
        <v>0.61542594333372302</v>
      </c>
      <c r="K133">
        <v>0.60895372842599405</v>
      </c>
      <c r="L133">
        <v>0.60237866180599897</v>
      </c>
      <c r="M133">
        <v>0.596359008242072</v>
      </c>
      <c r="N133">
        <v>0.59104689252157405</v>
      </c>
      <c r="O133">
        <v>0.586438948360537</v>
      </c>
      <c r="P133">
        <v>0.58243081192290502</v>
      </c>
      <c r="Q133">
        <v>0.57900050450867402</v>
      </c>
      <c r="R133">
        <v>0.57605321335860005</v>
      </c>
      <c r="S133">
        <v>0.573534045530946</v>
      </c>
      <c r="T133">
        <v>0.57140096216048497</v>
      </c>
    </row>
    <row r="134" spans="1:20" x14ac:dyDescent="0.2">
      <c r="A134" t="s">
        <v>730</v>
      </c>
      <c r="B134" s="2" t="s">
        <v>748</v>
      </c>
      <c r="C134">
        <v>0.49900086305426899</v>
      </c>
      <c r="D134">
        <v>0.508218316572844</v>
      </c>
      <c r="E134">
        <v>0.52607577753339796</v>
      </c>
      <c r="F134">
        <v>0.54700404171307404</v>
      </c>
      <c r="G134">
        <v>0.56865313937883599</v>
      </c>
      <c r="H134">
        <v>0.586388499227399</v>
      </c>
      <c r="I134">
        <v>0.59752167141775703</v>
      </c>
      <c r="J134">
        <v>0.60194924530134597</v>
      </c>
      <c r="K134">
        <v>0.60122352070467899</v>
      </c>
      <c r="L134">
        <v>0.59746235245394097</v>
      </c>
      <c r="M134">
        <v>0.59306791349736698</v>
      </c>
      <c r="N134">
        <v>0.588803178266885</v>
      </c>
      <c r="O134">
        <v>0.58488440848929302</v>
      </c>
      <c r="P134">
        <v>0.58139855374237503</v>
      </c>
      <c r="Q134">
        <v>0.57832144660853901</v>
      </c>
      <c r="R134">
        <v>0.57565223805964705</v>
      </c>
      <c r="S134">
        <v>0.57335848470144202</v>
      </c>
      <c r="T134">
        <v>0.57140081203561299</v>
      </c>
    </row>
    <row r="135" spans="1:20" x14ac:dyDescent="0.2">
      <c r="A135" t="s">
        <v>723</v>
      </c>
      <c r="B135" s="2" t="s">
        <v>748</v>
      </c>
      <c r="C135">
        <v>0.49900063343097201</v>
      </c>
      <c r="D135">
        <v>0.49950135447199601</v>
      </c>
      <c r="E135">
        <v>0.50462450137778403</v>
      </c>
      <c r="F135">
        <v>0.51769257586236705</v>
      </c>
      <c r="G135">
        <v>0.53513022602675897</v>
      </c>
      <c r="H135">
        <v>0.554507449705674</v>
      </c>
      <c r="I135">
        <v>0.571536073404601</v>
      </c>
      <c r="J135">
        <v>0.58332981879065304</v>
      </c>
      <c r="K135">
        <v>0.58928655770149796</v>
      </c>
      <c r="L135">
        <v>0.59044953410551104</v>
      </c>
      <c r="M135">
        <v>0.58854959227407799</v>
      </c>
      <c r="N135">
        <v>0.585766647759421</v>
      </c>
      <c r="O135">
        <v>0.58282660595631797</v>
      </c>
      <c r="P135">
        <v>0.58000675777045096</v>
      </c>
      <c r="Q135">
        <v>0.57742915837356801</v>
      </c>
      <c r="R135">
        <v>0.575135394242272</v>
      </c>
      <c r="S135">
        <v>0.57312710579708404</v>
      </c>
      <c r="T135">
        <v>0.57140059413997502</v>
      </c>
    </row>
    <row r="136" spans="1:20" x14ac:dyDescent="0.2">
      <c r="A136" t="s">
        <v>731</v>
      </c>
      <c r="B136" s="2" t="s">
        <v>748</v>
      </c>
      <c r="C136">
        <v>0.49900063343097201</v>
      </c>
      <c r="D136">
        <v>0.49950126861487398</v>
      </c>
      <c r="E136">
        <v>0.499668617500926</v>
      </c>
      <c r="F136">
        <v>0.50309725216514001</v>
      </c>
      <c r="G136">
        <v>0.51317973269656603</v>
      </c>
      <c r="H136">
        <v>0.52786975022625604</v>
      </c>
      <c r="I136">
        <v>0.54513293610865998</v>
      </c>
      <c r="J136">
        <v>0.56113829386032898</v>
      </c>
      <c r="K136">
        <v>0.57300059446263796</v>
      </c>
      <c r="L136">
        <v>0.57980765819397895</v>
      </c>
      <c r="M136">
        <v>0.58222420180249002</v>
      </c>
      <c r="N136">
        <v>0.58167086445726601</v>
      </c>
      <c r="O136">
        <v>0.58009386182445499</v>
      </c>
      <c r="P136">
        <v>0.57819449116242105</v>
      </c>
      <c r="Q136">
        <v>0.57626821471233403</v>
      </c>
      <c r="R136">
        <v>0.57445611426047205</v>
      </c>
      <c r="S136">
        <v>0.57282196695711096</v>
      </c>
      <c r="T136">
        <v>0.57140034098622505</v>
      </c>
    </row>
    <row r="137" spans="1:20" x14ac:dyDescent="0.2">
      <c r="A137" t="s">
        <v>732</v>
      </c>
      <c r="B137" s="2" t="s">
        <v>748</v>
      </c>
      <c r="C137">
        <v>0.49900063343097201</v>
      </c>
      <c r="D137">
        <v>0.49950126861487398</v>
      </c>
      <c r="E137">
        <v>0.49966857143466398</v>
      </c>
      <c r="F137">
        <v>0.49975257190502698</v>
      </c>
      <c r="G137">
        <v>0.50229402970262604</v>
      </c>
      <c r="H137">
        <v>0.51045783557701496</v>
      </c>
      <c r="I137">
        <v>0.52311176231682499</v>
      </c>
      <c r="J137">
        <v>0.53864621252809597</v>
      </c>
      <c r="K137">
        <v>0.55366746681176504</v>
      </c>
      <c r="L137">
        <v>0.56537833734762299</v>
      </c>
      <c r="M137">
        <v>0.57268609210176402</v>
      </c>
      <c r="N137">
        <v>0.575980306612355</v>
      </c>
      <c r="O137">
        <v>0.57643993613693201</v>
      </c>
      <c r="P137">
        <v>0.57580820278634604</v>
      </c>
      <c r="Q137">
        <v>0.57475480754722197</v>
      </c>
      <c r="R137">
        <v>0.57357711790086496</v>
      </c>
      <c r="S137">
        <v>0.57242916789656595</v>
      </c>
      <c r="T137">
        <v>0.57139998085588095</v>
      </c>
    </row>
    <row r="138" spans="1:20" x14ac:dyDescent="0.2">
      <c r="A138" t="s">
        <v>733</v>
      </c>
      <c r="B138" s="2" t="s">
        <v>748</v>
      </c>
      <c r="C138">
        <v>0.49900063343097201</v>
      </c>
      <c r="D138">
        <v>0.49950126861487398</v>
      </c>
      <c r="E138">
        <v>0.49966857143466398</v>
      </c>
      <c r="F138">
        <v>0.49975254237936201</v>
      </c>
      <c r="G138">
        <v>0.49980320334900502</v>
      </c>
      <c r="H138">
        <v>0.50181794175027905</v>
      </c>
      <c r="I138">
        <v>0.50869526600898496</v>
      </c>
      <c r="J138">
        <v>0.51985945841268599</v>
      </c>
      <c r="K138">
        <v>0.53404473842720102</v>
      </c>
      <c r="L138">
        <v>0.54823132444829503</v>
      </c>
      <c r="M138">
        <v>0.55974638072606797</v>
      </c>
      <c r="N138">
        <v>0.56739060660840801</v>
      </c>
      <c r="O138">
        <v>0.57134474964751103</v>
      </c>
      <c r="P138">
        <v>0.57260642675463902</v>
      </c>
      <c r="Q138">
        <v>0.57275964371368404</v>
      </c>
      <c r="R138">
        <v>0.57242993344070403</v>
      </c>
      <c r="S138">
        <v>0.57192326317433795</v>
      </c>
      <c r="T138">
        <v>0.57139954314762498</v>
      </c>
    </row>
    <row r="139" spans="1:20" x14ac:dyDescent="0.2">
      <c r="A139" t="s">
        <v>734</v>
      </c>
      <c r="B139" s="2" t="s">
        <v>748</v>
      </c>
      <c r="C139">
        <v>0.49900063343097201</v>
      </c>
      <c r="D139">
        <v>0.49950126861487398</v>
      </c>
      <c r="E139">
        <v>0.49966857143466398</v>
      </c>
      <c r="F139">
        <v>0.49975254237936201</v>
      </c>
      <c r="G139">
        <v>0.49980318194324802</v>
      </c>
      <c r="H139">
        <v>0.49983717428273999</v>
      </c>
      <c r="I139">
        <v>0.50151616142781796</v>
      </c>
      <c r="J139">
        <v>0.50750739188341698</v>
      </c>
      <c r="K139">
        <v>0.51758602718769497</v>
      </c>
      <c r="L139">
        <v>0.53075664321773397</v>
      </c>
      <c r="M139">
        <v>0.54430355799494101</v>
      </c>
      <c r="N139">
        <v>0.55567359042094799</v>
      </c>
      <c r="O139">
        <v>0.56359501660760203</v>
      </c>
      <c r="P139">
        <v>0.56810943077971698</v>
      </c>
      <c r="Q139">
        <v>0.57006003460899601</v>
      </c>
      <c r="R139">
        <v>0.57090682707915197</v>
      </c>
      <c r="S139">
        <v>0.57125270237602399</v>
      </c>
      <c r="T139">
        <v>0.57139894103338795</v>
      </c>
    </row>
    <row r="140" spans="1:20" x14ac:dyDescent="0.2">
      <c r="A140" t="s">
        <v>735</v>
      </c>
      <c r="B140" s="2" t="s">
        <v>748</v>
      </c>
      <c r="C140">
        <v>0.49900063343097201</v>
      </c>
      <c r="D140">
        <v>0.49950126861487398</v>
      </c>
      <c r="E140">
        <v>0.49966857143466398</v>
      </c>
      <c r="F140">
        <v>0.49975254237936201</v>
      </c>
      <c r="G140">
        <v>0.49980318194324802</v>
      </c>
      <c r="H140">
        <v>0.499837157294657</v>
      </c>
      <c r="I140">
        <v>0.49986162603186302</v>
      </c>
      <c r="J140">
        <v>0.50131780799306702</v>
      </c>
      <c r="K140">
        <v>0.50669501335230105</v>
      </c>
      <c r="L140">
        <v>0.51600415853020898</v>
      </c>
      <c r="M140">
        <v>0.528460196985585</v>
      </c>
      <c r="N140">
        <v>0.54158136321176598</v>
      </c>
      <c r="O140">
        <v>0.55291350258602201</v>
      </c>
      <c r="P140">
        <v>0.56114386520649595</v>
      </c>
      <c r="Q140">
        <v>0.56619702301320896</v>
      </c>
      <c r="R140">
        <v>0.56880561030054599</v>
      </c>
      <c r="S140">
        <v>0.570343484972759</v>
      </c>
      <c r="T140">
        <v>0.57139811192365697</v>
      </c>
    </row>
    <row r="141" spans="1:20" x14ac:dyDescent="0.2">
      <c r="A141" t="s">
        <v>724</v>
      </c>
      <c r="B141" s="2" t="s">
        <v>748</v>
      </c>
      <c r="C141">
        <v>0.49900063343097201</v>
      </c>
      <c r="D141">
        <v>0.49950126861487398</v>
      </c>
      <c r="E141">
        <v>0.49966857143466398</v>
      </c>
      <c r="F141">
        <v>0.49975254237936201</v>
      </c>
      <c r="G141">
        <v>0.49980318194324802</v>
      </c>
      <c r="H141">
        <v>0.499837157294657</v>
      </c>
      <c r="I141">
        <v>0.49986161180115701</v>
      </c>
      <c r="J141">
        <v>0.49988012992103997</v>
      </c>
      <c r="K141">
        <v>0.50118822986626599</v>
      </c>
      <c r="L141">
        <v>0.50615479185454404</v>
      </c>
      <c r="M141">
        <v>0.51496020974356604</v>
      </c>
      <c r="N141">
        <v>0.52698254568412595</v>
      </c>
      <c r="O141">
        <v>0.53991912999444402</v>
      </c>
      <c r="P141">
        <v>0.55138815551260301</v>
      </c>
      <c r="Q141">
        <v>0.56003557200557297</v>
      </c>
      <c r="R141">
        <v>0.56570354815523605</v>
      </c>
      <c r="S141">
        <v>0.569046559687297</v>
      </c>
      <c r="T141">
        <v>0.57139695463374895</v>
      </c>
    </row>
    <row r="142" spans="1:20" x14ac:dyDescent="0.2">
      <c r="A142" t="s">
        <v>736</v>
      </c>
      <c r="B142" s="2" t="s">
        <v>748</v>
      </c>
      <c r="C142">
        <v>0.49900063343097201</v>
      </c>
      <c r="D142">
        <v>0.49950126861487398</v>
      </c>
      <c r="E142">
        <v>0.49966857143466398</v>
      </c>
      <c r="F142">
        <v>0.49975254237936201</v>
      </c>
      <c r="G142">
        <v>0.49980318194324802</v>
      </c>
      <c r="H142">
        <v>0.499837157294657</v>
      </c>
      <c r="I142">
        <v>0.49986161180115701</v>
      </c>
      <c r="J142">
        <v>0.49988011741296201</v>
      </c>
      <c r="K142">
        <v>0.49989467025205497</v>
      </c>
      <c r="L142">
        <v>0.50111089456594204</v>
      </c>
      <c r="M142">
        <v>0.50583568815868296</v>
      </c>
      <c r="N142">
        <v>0.51438749482150403</v>
      </c>
      <c r="O142">
        <v>0.52627879425288404</v>
      </c>
      <c r="P142">
        <v>0.53933367987786796</v>
      </c>
      <c r="Q142">
        <v>0.551205893997472</v>
      </c>
      <c r="R142">
        <v>0.56050567317593203</v>
      </c>
      <c r="S142">
        <v>0.56702200932727198</v>
      </c>
      <c r="T142">
        <v>0.57139519044467602</v>
      </c>
    </row>
    <row r="143" spans="1:20" x14ac:dyDescent="0.2">
      <c r="A143" t="s">
        <v>737</v>
      </c>
      <c r="B143" s="2" t="s">
        <v>748</v>
      </c>
      <c r="C143">
        <v>0.49900063343097201</v>
      </c>
      <c r="D143">
        <v>0.49950126861487398</v>
      </c>
      <c r="E143">
        <v>0.49966857143466398</v>
      </c>
      <c r="F143">
        <v>0.49975254237936201</v>
      </c>
      <c r="G143">
        <v>0.49980318194324802</v>
      </c>
      <c r="H143">
        <v>0.499837157294657</v>
      </c>
      <c r="I143">
        <v>0.49986161180115701</v>
      </c>
      <c r="J143">
        <v>0.49988011741296201</v>
      </c>
      <c r="K143">
        <v>0.49989465879192102</v>
      </c>
      <c r="L143">
        <v>0.49990643813135099</v>
      </c>
      <c r="M143">
        <v>0.50107980857446899</v>
      </c>
      <c r="N143">
        <v>0.50573240939349995</v>
      </c>
      <c r="O143">
        <v>0.51431427719226697</v>
      </c>
      <c r="P143">
        <v>0.52646035691333604</v>
      </c>
      <c r="Q143">
        <v>0.54007584880607695</v>
      </c>
      <c r="R143">
        <v>0.55282293892570999</v>
      </c>
      <c r="S143">
        <v>0.56329951786445198</v>
      </c>
      <c r="T143">
        <v>0.57139194672920102</v>
      </c>
    </row>
    <row r="144" spans="1:20" x14ac:dyDescent="0.2">
      <c r="A144" t="s">
        <v>738</v>
      </c>
      <c r="B144" s="2" t="s">
        <v>748</v>
      </c>
      <c r="C144">
        <v>0.49900063343097201</v>
      </c>
      <c r="D144">
        <v>0.49950126861487398</v>
      </c>
      <c r="E144">
        <v>0.49966857143466398</v>
      </c>
      <c r="F144">
        <v>0.49975254237936201</v>
      </c>
      <c r="G144">
        <v>0.49980318194324802</v>
      </c>
      <c r="H144">
        <v>0.499837157294657</v>
      </c>
      <c r="I144">
        <v>0.49986161180115701</v>
      </c>
      <c r="J144">
        <v>0.49988011741296201</v>
      </c>
      <c r="K144">
        <v>0.49989465879192102</v>
      </c>
      <c r="L144">
        <v>0.49990642696423299</v>
      </c>
      <c r="M144">
        <v>0.499916191729665</v>
      </c>
      <c r="N144">
        <v>0.50110258236293503</v>
      </c>
      <c r="O144">
        <v>0.50590057936343902</v>
      </c>
      <c r="P144">
        <v>0.51492474552418199</v>
      </c>
      <c r="Q144">
        <v>0.52795640021550805</v>
      </c>
      <c r="R144">
        <v>0.54297600439374505</v>
      </c>
      <c r="S144">
        <v>0.55775932053246802</v>
      </c>
      <c r="T144">
        <v>0.57138627658718699</v>
      </c>
    </row>
    <row r="145" spans="1:20" x14ac:dyDescent="0.2">
      <c r="A145" t="s">
        <v>739</v>
      </c>
      <c r="B145" s="2" t="s">
        <v>748</v>
      </c>
      <c r="C145">
        <v>0.49900063343097201</v>
      </c>
      <c r="D145">
        <v>0.49950126861487398</v>
      </c>
      <c r="E145">
        <v>0.49966857143466398</v>
      </c>
      <c r="F145">
        <v>0.49975254237936201</v>
      </c>
      <c r="G145">
        <v>0.49980318194324802</v>
      </c>
      <c r="H145">
        <v>0.499837157294657</v>
      </c>
      <c r="I145">
        <v>0.49986161180115701</v>
      </c>
      <c r="J145">
        <v>0.49988011741296201</v>
      </c>
      <c r="K145">
        <v>0.49989465879192102</v>
      </c>
      <c r="L145">
        <v>0.49990642696423299</v>
      </c>
      <c r="M145">
        <v>0.49991618007330202</v>
      </c>
      <c r="N145">
        <v>0.499924436777617</v>
      </c>
      <c r="O145">
        <v>0.501215684938075</v>
      </c>
      <c r="P145">
        <v>0.50655979509909099</v>
      </c>
      <c r="Q145">
        <v>0.51688724511691297</v>
      </c>
      <c r="R145">
        <v>0.53239583972652105</v>
      </c>
      <c r="S145">
        <v>0.551754347612045</v>
      </c>
      <c r="T145">
        <v>0.57138058003382297</v>
      </c>
    </row>
    <row r="146" spans="1:20" x14ac:dyDescent="0.2">
      <c r="A146" t="s">
        <v>740</v>
      </c>
      <c r="B146" s="2" t="s">
        <v>748</v>
      </c>
      <c r="C146">
        <v>0.49900063343097201</v>
      </c>
      <c r="D146">
        <v>0.49950126861487398</v>
      </c>
      <c r="E146">
        <v>0.49966857143466398</v>
      </c>
      <c r="F146">
        <v>0.49975254237936201</v>
      </c>
      <c r="G146">
        <v>0.49980318194324802</v>
      </c>
      <c r="H146">
        <v>0.499837157294657</v>
      </c>
      <c r="I146">
        <v>0.49986161180115701</v>
      </c>
      <c r="J146">
        <v>0.49988011741296201</v>
      </c>
      <c r="K146">
        <v>0.49989465879192102</v>
      </c>
      <c r="L146">
        <v>0.49990642696423299</v>
      </c>
      <c r="M146">
        <v>0.49991618007330202</v>
      </c>
      <c r="N146">
        <v>0.49992442375728702</v>
      </c>
      <c r="O146">
        <v>0.49993152404387298</v>
      </c>
      <c r="P146">
        <v>0.50159472319554799</v>
      </c>
      <c r="Q146">
        <v>0.50888603909261898</v>
      </c>
      <c r="R146">
        <v>0.52438280403420301</v>
      </c>
      <c r="S146">
        <v>0.54684568981047699</v>
      </c>
      <c r="T146">
        <v>0.57137526738870603</v>
      </c>
    </row>
    <row r="147" spans="1:20" x14ac:dyDescent="0.2">
      <c r="A147" t="s">
        <v>725</v>
      </c>
      <c r="B147" s="2" t="s">
        <v>748</v>
      </c>
      <c r="C147">
        <v>0.49900063343097201</v>
      </c>
      <c r="D147">
        <v>0.49950126861487398</v>
      </c>
      <c r="E147">
        <v>0.49966857143466398</v>
      </c>
      <c r="F147">
        <v>0.49975254237936201</v>
      </c>
      <c r="G147">
        <v>0.49980318194324802</v>
      </c>
      <c r="H147">
        <v>0.499837157294657</v>
      </c>
      <c r="I147">
        <v>0.49986161180115701</v>
      </c>
      <c r="J147">
        <v>0.49988011741296201</v>
      </c>
      <c r="K147">
        <v>0.49989465879192102</v>
      </c>
      <c r="L147">
        <v>0.49990642696423299</v>
      </c>
      <c r="M147">
        <v>0.49991618007330202</v>
      </c>
      <c r="N147">
        <v>0.49992442375728702</v>
      </c>
      <c r="O147">
        <v>0.49993150827685201</v>
      </c>
      <c r="P147">
        <v>0.49993828479362301</v>
      </c>
      <c r="Q147">
        <v>0.50589231376377097</v>
      </c>
      <c r="R147">
        <v>0.52159158751066304</v>
      </c>
      <c r="S147">
        <v>0.54470230765800098</v>
      </c>
      <c r="T147">
        <v>0.57137408991702399</v>
      </c>
    </row>
  </sheetData>
  <mergeCells count="9">
    <mergeCell ref="A1:H1"/>
    <mergeCell ref="A9:L9"/>
    <mergeCell ref="B12:D14"/>
    <mergeCell ref="A2:M2"/>
    <mergeCell ref="A126:S127"/>
    <mergeCell ref="A27:T28"/>
    <mergeCell ref="A52:T53"/>
    <mergeCell ref="A77:T78"/>
    <mergeCell ref="A102:T103"/>
  </mergeCells>
  <phoneticPr fontId="1" type="noConversion"/>
  <conditionalFormatting sqref="A105:A123">
    <cfRule type="duplicateValues" dxfId="1" priority="3"/>
  </conditionalFormatting>
  <conditionalFormatting sqref="A129:A147">
    <cfRule type="duplicateValues" dxfId="0" priority="2"/>
  </conditionalFormatting>
  <conditionalFormatting sqref="B30:Q45">
    <cfRule type="colorScale" priority="11">
      <colorScale>
        <cfvo type="min"/>
        <cfvo type="percentile" val="50"/>
        <cfvo type="max"/>
        <color rgb="FF63BE7B"/>
        <color rgb="FFFFEB84"/>
        <color rgb="FFF8696B"/>
      </colorScale>
    </cfRule>
  </conditionalFormatting>
  <conditionalFormatting sqref="B30:T48">
    <cfRule type="colorScale" priority="10">
      <colorScale>
        <cfvo type="min"/>
        <cfvo type="percentile" val="50"/>
        <cfvo type="max"/>
        <color rgb="FF63BE7B"/>
        <color rgb="FFFFEB84"/>
        <color rgb="FFF8696B"/>
      </colorScale>
    </cfRule>
  </conditionalFormatting>
  <conditionalFormatting sqref="B55:T73">
    <cfRule type="colorScale" priority="8">
      <colorScale>
        <cfvo type="min"/>
        <cfvo type="percentile" val="50"/>
        <cfvo type="max"/>
        <color rgb="FF63BE7B"/>
        <color rgb="FFFFEB84"/>
        <color rgb="FFF8696B"/>
      </colorScale>
    </cfRule>
    <cfRule type="colorScale" priority="9">
      <colorScale>
        <cfvo type="min"/>
        <cfvo type="percentile" val="50"/>
        <cfvo type="max"/>
        <color rgb="FF63BE7B"/>
        <color rgb="FFFFEB84"/>
        <color rgb="FFF8696B"/>
      </colorScale>
    </cfRule>
  </conditionalFormatting>
  <conditionalFormatting sqref="B80:T98">
    <cfRule type="colorScale" priority="6">
      <colorScale>
        <cfvo type="min"/>
        <cfvo type="percentile" val="50"/>
        <cfvo type="max"/>
        <color rgb="FF63BE7B"/>
        <color rgb="FFFFEB84"/>
        <color rgb="FFF8696B"/>
      </colorScale>
    </cfRule>
    <cfRule type="colorScale" priority="7">
      <colorScale>
        <cfvo type="min"/>
        <cfvo type="percentile" val="50"/>
        <cfvo type="max"/>
        <color rgb="FF63BE7B"/>
        <color rgb="FFFFEB84"/>
        <color rgb="FFF8696B"/>
      </colorScale>
    </cfRule>
  </conditionalFormatting>
  <conditionalFormatting sqref="B105:T123">
    <cfRule type="colorScale" priority="4">
      <colorScale>
        <cfvo type="min"/>
        <cfvo type="percentile" val="50"/>
        <cfvo type="max"/>
        <color rgb="FF63BE7B"/>
        <color rgb="FFFFEB84"/>
        <color rgb="FFF8696B"/>
      </colorScale>
    </cfRule>
    <cfRule type="colorScale" priority="5">
      <colorScale>
        <cfvo type="min"/>
        <cfvo type="percentile" val="50"/>
        <cfvo type="max"/>
        <color rgb="FF63BE7B"/>
        <color rgb="FFFFEB84"/>
        <color rgb="FFF8696B"/>
      </colorScale>
    </cfRule>
  </conditionalFormatting>
  <conditionalFormatting sqref="B129:T147">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sqref="A1:XFD1048576"/>
    </sheetView>
  </sheetViews>
  <sheetFormatPr defaultRowHeight="14.25" x14ac:dyDescent="0.2"/>
  <sheetData>
    <row r="1" spans="1:1" x14ac:dyDescent="0.2">
      <c r="A1" t="s">
        <v>568</v>
      </c>
    </row>
    <row r="2" spans="1:1" x14ac:dyDescent="0.2">
      <c r="A2" t="s">
        <v>569</v>
      </c>
    </row>
    <row r="3" spans="1:1" x14ac:dyDescent="0.2">
      <c r="A3" t="s">
        <v>570</v>
      </c>
    </row>
    <row r="4" spans="1:1" x14ac:dyDescent="0.2">
      <c r="A4" t="s">
        <v>571</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2"/>
  <sheetViews>
    <sheetView workbookViewId="0">
      <selection activeCell="R6" sqref="R6"/>
    </sheetView>
  </sheetViews>
  <sheetFormatPr defaultRowHeight="14.25" x14ac:dyDescent="0.2"/>
  <cols>
    <col min="1" max="1" width="7" customWidth="1"/>
    <col min="2" max="2" width="10.625" customWidth="1"/>
    <col min="3" max="3" width="10.75" customWidth="1"/>
    <col min="4" max="4" width="12" customWidth="1"/>
    <col min="5" max="6" width="10.375" customWidth="1"/>
    <col min="7" max="7" width="11.25" customWidth="1"/>
    <col min="8" max="8" width="9.75" customWidth="1"/>
    <col min="9" max="9" width="9.875" customWidth="1"/>
    <col min="10" max="10" width="11" customWidth="1"/>
    <col min="11" max="11" width="19.875" customWidth="1"/>
    <col min="12" max="12" width="19.25" customWidth="1"/>
  </cols>
  <sheetData>
    <row r="1" spans="1:21" ht="15.75" x14ac:dyDescent="0.2">
      <c r="A1" s="38" t="s">
        <v>629</v>
      </c>
      <c r="B1" s="38"/>
      <c r="C1" s="38"/>
      <c r="K1" t="s">
        <v>583</v>
      </c>
    </row>
    <row r="2" spans="1:21" x14ac:dyDescent="0.2">
      <c r="A2" s="24" t="s">
        <v>628</v>
      </c>
      <c r="B2" s="24"/>
      <c r="C2" s="24"/>
      <c r="K2" t="s">
        <v>584</v>
      </c>
      <c r="N2" t="s">
        <v>591</v>
      </c>
    </row>
    <row r="3" spans="1:21" x14ac:dyDescent="0.2">
      <c r="A3" s="24" t="s">
        <v>627</v>
      </c>
      <c r="B3" s="24"/>
      <c r="C3" s="24"/>
      <c r="K3" t="s">
        <v>592</v>
      </c>
    </row>
    <row r="4" spans="1:21" x14ac:dyDescent="0.2">
      <c r="A4" s="24" t="s">
        <v>626</v>
      </c>
      <c r="B4" s="24"/>
      <c r="C4" s="24"/>
    </row>
    <row r="5" spans="1:21" x14ac:dyDescent="0.2">
      <c r="A5" s="24" t="s">
        <v>636</v>
      </c>
      <c r="B5" s="24"/>
      <c r="C5" s="24"/>
      <c r="D5" t="s">
        <v>643</v>
      </c>
    </row>
    <row r="7" spans="1:21" ht="25.5" x14ac:dyDescent="0.2">
      <c r="A7" s="40" t="s">
        <v>641</v>
      </c>
      <c r="B7" s="40"/>
      <c r="C7" s="40"/>
      <c r="D7" s="40"/>
      <c r="E7" s="40"/>
      <c r="F7" s="41" t="s">
        <v>635</v>
      </c>
      <c r="G7" s="41"/>
      <c r="H7" s="17"/>
      <c r="K7" s="39" t="s">
        <v>638</v>
      </c>
      <c r="L7" s="39"/>
    </row>
    <row r="8" spans="1:21" x14ac:dyDescent="0.2">
      <c r="A8" t="s">
        <v>631</v>
      </c>
      <c r="B8" t="s">
        <v>632</v>
      </c>
      <c r="C8" t="s">
        <v>633</v>
      </c>
      <c r="D8" t="s">
        <v>634</v>
      </c>
      <c r="E8" t="s">
        <v>637</v>
      </c>
      <c r="F8" t="s">
        <v>640</v>
      </c>
      <c r="G8">
        <v>114</v>
      </c>
      <c r="K8" t="s">
        <v>630</v>
      </c>
      <c r="L8" t="s">
        <v>639</v>
      </c>
    </row>
    <row r="9" spans="1:21" x14ac:dyDescent="0.2">
      <c r="A9">
        <v>6</v>
      </c>
      <c r="B9">
        <f>10.8+1.2*($A9-6)</f>
        <v>10.8</v>
      </c>
      <c r="C9">
        <f>22.4+4*($A9-6)</f>
        <v>22.4</v>
      </c>
      <c r="D9">
        <f>1800+300*($A9-6)</f>
        <v>1800</v>
      </c>
      <c r="E9">
        <f>(360000+60000*($A9-6))/2400000</f>
        <v>0.15</v>
      </c>
      <c r="F9" t="s">
        <v>632</v>
      </c>
      <c r="G9">
        <f>10.8+1.2*(G8-6)</f>
        <v>140.4</v>
      </c>
      <c r="K9">
        <v>6</v>
      </c>
      <c r="L9">
        <f t="shared" ref="L9:L51" si="0">2*INT(90/SQRT((22.4+4*(K9-6))/8))+2</f>
        <v>108</v>
      </c>
    </row>
    <row r="10" spans="1:21" x14ac:dyDescent="0.2">
      <c r="A10">
        <v>7</v>
      </c>
      <c r="B10">
        <f t="shared" ref="B10:B62" si="1">10.8+1.2*($A10-6)</f>
        <v>12</v>
      </c>
      <c r="C10">
        <f t="shared" ref="C10:C62" si="2">22.4+4*($A10-6)</f>
        <v>26.4</v>
      </c>
      <c r="D10">
        <f t="shared" ref="D10:D62" si="3">1800+300*($A10-6)</f>
        <v>2100</v>
      </c>
      <c r="E10">
        <f t="shared" ref="E10:E62" si="4">(360000+60000*($A10-6))/2400000</f>
        <v>0.17499999999999999</v>
      </c>
      <c r="F10" t="s">
        <v>633</v>
      </c>
      <c r="G10">
        <f>22.4+4*(G8-6)</f>
        <v>454.4</v>
      </c>
      <c r="K10">
        <v>7</v>
      </c>
      <c r="L10">
        <f t="shared" si="0"/>
        <v>100</v>
      </c>
    </row>
    <row r="11" spans="1:21" x14ac:dyDescent="0.2">
      <c r="A11">
        <v>8</v>
      </c>
      <c r="B11">
        <f t="shared" si="1"/>
        <v>13.200000000000001</v>
      </c>
      <c r="C11">
        <f t="shared" si="2"/>
        <v>30.4</v>
      </c>
      <c r="D11">
        <f t="shared" si="3"/>
        <v>2400</v>
      </c>
      <c r="E11">
        <f t="shared" si="4"/>
        <v>0.2</v>
      </c>
      <c r="F11" t="s">
        <v>634</v>
      </c>
      <c r="G11">
        <f>1800+300*(G8-6)</f>
        <v>34200</v>
      </c>
      <c r="K11">
        <v>8</v>
      </c>
      <c r="L11">
        <f t="shared" si="0"/>
        <v>94</v>
      </c>
    </row>
    <row r="12" spans="1:21" x14ac:dyDescent="0.2">
      <c r="A12">
        <v>9</v>
      </c>
      <c r="B12">
        <f t="shared" si="1"/>
        <v>14.4</v>
      </c>
      <c r="C12">
        <f t="shared" si="2"/>
        <v>34.4</v>
      </c>
      <c r="D12">
        <f t="shared" si="3"/>
        <v>2700</v>
      </c>
      <c r="E12">
        <f t="shared" si="4"/>
        <v>0.22500000000000001</v>
      </c>
      <c r="F12" t="s">
        <v>637</v>
      </c>
      <c r="G12">
        <f>(360000+60000*(G8-6))/2400000</f>
        <v>2.85</v>
      </c>
      <c r="K12">
        <v>9</v>
      </c>
      <c r="L12">
        <f t="shared" si="0"/>
        <v>88</v>
      </c>
    </row>
    <row r="13" spans="1:21" x14ac:dyDescent="0.2">
      <c r="A13">
        <v>10</v>
      </c>
      <c r="B13">
        <f t="shared" si="1"/>
        <v>15.600000000000001</v>
      </c>
      <c r="C13">
        <f t="shared" si="2"/>
        <v>38.4</v>
      </c>
      <c r="D13">
        <f t="shared" si="3"/>
        <v>3000</v>
      </c>
      <c r="E13">
        <f t="shared" si="4"/>
        <v>0.25</v>
      </c>
      <c r="K13">
        <v>10</v>
      </c>
      <c r="L13">
        <f t="shared" si="0"/>
        <v>84</v>
      </c>
      <c r="R13" s="23" t="s">
        <v>642</v>
      </c>
      <c r="S13" s="23"/>
      <c r="T13" s="23"/>
      <c r="U13" s="23"/>
    </row>
    <row r="14" spans="1:21" x14ac:dyDescent="0.2">
      <c r="A14">
        <v>11</v>
      </c>
      <c r="B14">
        <f t="shared" si="1"/>
        <v>16.8</v>
      </c>
      <c r="C14">
        <f t="shared" si="2"/>
        <v>42.4</v>
      </c>
      <c r="D14">
        <f t="shared" si="3"/>
        <v>3300</v>
      </c>
      <c r="E14">
        <f t="shared" si="4"/>
        <v>0.27500000000000002</v>
      </c>
      <c r="K14">
        <v>11</v>
      </c>
      <c r="L14">
        <f t="shared" si="0"/>
        <v>80</v>
      </c>
      <c r="R14" s="23" t="s">
        <v>581</v>
      </c>
      <c r="S14" s="23"/>
      <c r="T14" s="23" t="s">
        <v>582</v>
      </c>
      <c r="U14" s="23"/>
    </row>
    <row r="15" spans="1:21" x14ac:dyDescent="0.2">
      <c r="A15">
        <v>12</v>
      </c>
      <c r="B15">
        <f t="shared" si="1"/>
        <v>18</v>
      </c>
      <c r="C15">
        <f t="shared" si="2"/>
        <v>46.4</v>
      </c>
      <c r="D15">
        <f t="shared" si="3"/>
        <v>3600</v>
      </c>
      <c r="E15">
        <f t="shared" si="4"/>
        <v>0.3</v>
      </c>
      <c r="G15" s="37" t="s">
        <v>655</v>
      </c>
      <c r="H15" s="37"/>
      <c r="I15" s="37"/>
      <c r="K15">
        <v>12</v>
      </c>
      <c r="L15">
        <f t="shared" si="0"/>
        <v>76</v>
      </c>
      <c r="R15" t="s">
        <v>579</v>
      </c>
      <c r="S15" t="s">
        <v>580</v>
      </c>
      <c r="T15" t="s">
        <v>577</v>
      </c>
      <c r="U15" t="s">
        <v>578</v>
      </c>
    </row>
    <row r="16" spans="1:21" x14ac:dyDescent="0.2">
      <c r="A16">
        <v>13</v>
      </c>
      <c r="B16">
        <f t="shared" si="1"/>
        <v>19.200000000000003</v>
      </c>
      <c r="C16">
        <f t="shared" si="2"/>
        <v>50.4</v>
      </c>
      <c r="D16">
        <f t="shared" si="3"/>
        <v>3900</v>
      </c>
      <c r="E16">
        <f t="shared" si="4"/>
        <v>0.32500000000000001</v>
      </c>
      <c r="G16" s="37"/>
      <c r="H16" s="37"/>
      <c r="I16" s="37"/>
      <c r="K16">
        <v>13</v>
      </c>
      <c r="L16">
        <f t="shared" si="0"/>
        <v>72</v>
      </c>
      <c r="R16">
        <v>100</v>
      </c>
      <c r="S16">
        <v>3</v>
      </c>
      <c r="T16">
        <v>46.1</v>
      </c>
      <c r="U16">
        <v>42.7</v>
      </c>
    </row>
    <row r="17" spans="1:21" x14ac:dyDescent="0.2">
      <c r="A17">
        <v>14</v>
      </c>
      <c r="B17">
        <f t="shared" si="1"/>
        <v>20.399999999999999</v>
      </c>
      <c r="C17">
        <f t="shared" si="2"/>
        <v>54.4</v>
      </c>
      <c r="D17">
        <f t="shared" si="3"/>
        <v>4200</v>
      </c>
      <c r="E17">
        <f t="shared" si="4"/>
        <v>0.35</v>
      </c>
      <c r="G17" t="s">
        <v>654</v>
      </c>
      <c r="H17" t="s">
        <v>652</v>
      </c>
      <c r="I17" t="s">
        <v>653</v>
      </c>
      <c r="K17">
        <v>14</v>
      </c>
      <c r="L17">
        <f t="shared" si="0"/>
        <v>70</v>
      </c>
      <c r="R17">
        <v>200</v>
      </c>
      <c r="S17">
        <v>3</v>
      </c>
      <c r="T17">
        <v>52.1</v>
      </c>
      <c r="U17">
        <v>54.7</v>
      </c>
    </row>
    <row r="18" spans="1:21" x14ac:dyDescent="0.2">
      <c r="A18">
        <v>15</v>
      </c>
      <c r="B18">
        <f t="shared" si="1"/>
        <v>21.6</v>
      </c>
      <c r="C18">
        <f t="shared" si="2"/>
        <v>58.4</v>
      </c>
      <c r="D18">
        <f t="shared" si="3"/>
        <v>4500</v>
      </c>
      <c r="E18">
        <f t="shared" si="4"/>
        <v>0.375</v>
      </c>
      <c r="G18">
        <v>30</v>
      </c>
      <c r="H18">
        <v>100</v>
      </c>
      <c r="I18">
        <f>(225*G18/180*PI())/(22.4+4*(H18-6)) + 3/SQRT(2.8+0.5*(H18-6))</f>
        <v>0.72082229078222837</v>
      </c>
      <c r="K18">
        <v>15</v>
      </c>
      <c r="L18">
        <f t="shared" si="0"/>
        <v>68</v>
      </c>
    </row>
    <row r="19" spans="1:21" x14ac:dyDescent="0.2">
      <c r="A19">
        <v>16</v>
      </c>
      <c r="B19">
        <f t="shared" si="1"/>
        <v>22.8</v>
      </c>
      <c r="C19">
        <f t="shared" si="2"/>
        <v>62.4</v>
      </c>
      <c r="D19">
        <f t="shared" si="3"/>
        <v>4800</v>
      </c>
      <c r="E19">
        <f t="shared" si="4"/>
        <v>0.4</v>
      </c>
      <c r="K19">
        <v>16</v>
      </c>
      <c r="L19">
        <f t="shared" si="0"/>
        <v>66</v>
      </c>
    </row>
    <row r="20" spans="1:21" x14ac:dyDescent="0.2">
      <c r="A20">
        <v>17</v>
      </c>
      <c r="B20">
        <f t="shared" si="1"/>
        <v>24</v>
      </c>
      <c r="C20">
        <f t="shared" si="2"/>
        <v>66.400000000000006</v>
      </c>
      <c r="D20">
        <f t="shared" si="3"/>
        <v>5100</v>
      </c>
      <c r="E20">
        <f t="shared" si="4"/>
        <v>0.42499999999999999</v>
      </c>
      <c r="K20">
        <v>17</v>
      </c>
      <c r="L20">
        <f t="shared" si="0"/>
        <v>64</v>
      </c>
    </row>
    <row r="21" spans="1:21" x14ac:dyDescent="0.2">
      <c r="A21">
        <v>18</v>
      </c>
      <c r="B21">
        <f t="shared" si="1"/>
        <v>25.2</v>
      </c>
      <c r="C21">
        <f t="shared" si="2"/>
        <v>70.400000000000006</v>
      </c>
      <c r="D21">
        <f t="shared" si="3"/>
        <v>5400</v>
      </c>
      <c r="E21">
        <f t="shared" si="4"/>
        <v>0.45</v>
      </c>
      <c r="K21">
        <v>18</v>
      </c>
      <c r="L21">
        <f t="shared" si="0"/>
        <v>62</v>
      </c>
    </row>
    <row r="22" spans="1:21" x14ac:dyDescent="0.2">
      <c r="A22">
        <v>19</v>
      </c>
      <c r="B22">
        <f t="shared" si="1"/>
        <v>26.4</v>
      </c>
      <c r="C22">
        <f t="shared" si="2"/>
        <v>74.400000000000006</v>
      </c>
      <c r="D22">
        <f t="shared" si="3"/>
        <v>5700</v>
      </c>
      <c r="E22">
        <f t="shared" si="4"/>
        <v>0.47499999999999998</v>
      </c>
      <c r="K22">
        <v>19</v>
      </c>
      <c r="L22">
        <f t="shared" si="0"/>
        <v>60</v>
      </c>
    </row>
    <row r="23" spans="1:21" x14ac:dyDescent="0.2">
      <c r="A23">
        <v>20</v>
      </c>
      <c r="B23">
        <f t="shared" si="1"/>
        <v>27.6</v>
      </c>
      <c r="C23">
        <f t="shared" si="2"/>
        <v>78.400000000000006</v>
      </c>
      <c r="D23">
        <f t="shared" si="3"/>
        <v>6000</v>
      </c>
      <c r="E23">
        <f t="shared" si="4"/>
        <v>0.5</v>
      </c>
      <c r="K23">
        <v>20</v>
      </c>
      <c r="L23">
        <f t="shared" si="0"/>
        <v>58</v>
      </c>
    </row>
    <row r="24" spans="1:21" x14ac:dyDescent="0.2">
      <c r="A24">
        <v>25</v>
      </c>
      <c r="B24">
        <f t="shared" si="1"/>
        <v>33.6</v>
      </c>
      <c r="C24">
        <f t="shared" si="2"/>
        <v>98.4</v>
      </c>
      <c r="D24">
        <f t="shared" si="3"/>
        <v>7500</v>
      </c>
      <c r="E24">
        <f t="shared" si="4"/>
        <v>0.625</v>
      </c>
      <c r="K24">
        <v>22</v>
      </c>
      <c r="L24">
        <f t="shared" si="0"/>
        <v>56</v>
      </c>
    </row>
    <row r="25" spans="1:21" x14ac:dyDescent="0.2">
      <c r="A25">
        <v>30</v>
      </c>
      <c r="B25">
        <f t="shared" si="1"/>
        <v>39.599999999999994</v>
      </c>
      <c r="C25">
        <f t="shared" si="2"/>
        <v>118.4</v>
      </c>
      <c r="D25">
        <f t="shared" si="3"/>
        <v>9000</v>
      </c>
      <c r="E25">
        <f t="shared" si="4"/>
        <v>0.75</v>
      </c>
      <c r="K25">
        <v>23</v>
      </c>
      <c r="L25">
        <f t="shared" si="0"/>
        <v>54</v>
      </c>
    </row>
    <row r="26" spans="1:21" x14ac:dyDescent="0.2">
      <c r="A26">
        <v>35</v>
      </c>
      <c r="B26">
        <f t="shared" si="1"/>
        <v>45.599999999999994</v>
      </c>
      <c r="C26">
        <f t="shared" si="2"/>
        <v>138.4</v>
      </c>
      <c r="D26">
        <f t="shared" si="3"/>
        <v>10500</v>
      </c>
      <c r="E26">
        <f t="shared" si="4"/>
        <v>0.875</v>
      </c>
      <c r="K26">
        <v>25</v>
      </c>
      <c r="L26">
        <f t="shared" si="0"/>
        <v>52</v>
      </c>
    </row>
    <row r="27" spans="1:21" x14ac:dyDescent="0.2">
      <c r="A27">
        <v>40</v>
      </c>
      <c r="B27">
        <f t="shared" si="1"/>
        <v>51.599999999999994</v>
      </c>
      <c r="C27">
        <f t="shared" si="2"/>
        <v>158.4</v>
      </c>
      <c r="D27">
        <f t="shared" si="3"/>
        <v>12000</v>
      </c>
      <c r="E27">
        <f t="shared" si="4"/>
        <v>1</v>
      </c>
      <c r="K27">
        <v>27</v>
      </c>
      <c r="L27">
        <f t="shared" si="0"/>
        <v>50</v>
      </c>
    </row>
    <row r="28" spans="1:21" x14ac:dyDescent="0.2">
      <c r="A28">
        <v>45</v>
      </c>
      <c r="B28">
        <f t="shared" si="1"/>
        <v>57.599999999999994</v>
      </c>
      <c r="C28">
        <f t="shared" si="2"/>
        <v>178.4</v>
      </c>
      <c r="D28">
        <f t="shared" si="3"/>
        <v>13500</v>
      </c>
      <c r="E28">
        <f t="shared" si="4"/>
        <v>1.125</v>
      </c>
      <c r="K28">
        <v>29</v>
      </c>
      <c r="L28">
        <f t="shared" si="0"/>
        <v>48</v>
      </c>
    </row>
    <row r="29" spans="1:21" x14ac:dyDescent="0.2">
      <c r="A29">
        <v>50</v>
      </c>
      <c r="B29">
        <f t="shared" si="1"/>
        <v>63.599999999999994</v>
      </c>
      <c r="C29">
        <f t="shared" si="2"/>
        <v>198.4</v>
      </c>
      <c r="D29">
        <f t="shared" si="3"/>
        <v>15000</v>
      </c>
      <c r="E29">
        <f t="shared" si="4"/>
        <v>1.25</v>
      </c>
      <c r="K29">
        <v>32</v>
      </c>
      <c r="L29">
        <f t="shared" si="0"/>
        <v>46</v>
      </c>
    </row>
    <row r="30" spans="1:21" x14ac:dyDescent="0.2">
      <c r="A30">
        <v>60</v>
      </c>
      <c r="B30">
        <f t="shared" si="1"/>
        <v>75.599999999999994</v>
      </c>
      <c r="C30">
        <f t="shared" si="2"/>
        <v>238.4</v>
      </c>
      <c r="D30">
        <f t="shared" si="3"/>
        <v>18000</v>
      </c>
      <c r="E30">
        <f t="shared" si="4"/>
        <v>1.5</v>
      </c>
      <c r="K30">
        <v>34</v>
      </c>
      <c r="L30">
        <f t="shared" si="0"/>
        <v>44</v>
      </c>
    </row>
    <row r="31" spans="1:21" x14ac:dyDescent="0.2">
      <c r="A31">
        <v>70</v>
      </c>
      <c r="B31">
        <f t="shared" si="1"/>
        <v>87.6</v>
      </c>
      <c r="C31">
        <f t="shared" si="2"/>
        <v>278.39999999999998</v>
      </c>
      <c r="D31">
        <f t="shared" si="3"/>
        <v>21000</v>
      </c>
      <c r="E31">
        <f t="shared" si="4"/>
        <v>1.75</v>
      </c>
      <c r="K31">
        <v>38</v>
      </c>
      <c r="L31">
        <f t="shared" si="0"/>
        <v>42</v>
      </c>
    </row>
    <row r="32" spans="1:21" x14ac:dyDescent="0.2">
      <c r="A32">
        <v>80</v>
      </c>
      <c r="B32">
        <f t="shared" si="1"/>
        <v>99.6</v>
      </c>
      <c r="C32">
        <f t="shared" si="2"/>
        <v>318.39999999999998</v>
      </c>
      <c r="D32">
        <f t="shared" si="3"/>
        <v>24000</v>
      </c>
      <c r="E32">
        <f t="shared" si="4"/>
        <v>2</v>
      </c>
      <c r="K32">
        <v>41</v>
      </c>
      <c r="L32">
        <f t="shared" si="0"/>
        <v>40</v>
      </c>
    </row>
    <row r="33" spans="1:13" x14ac:dyDescent="0.2">
      <c r="A33">
        <v>90</v>
      </c>
      <c r="B33">
        <f t="shared" si="1"/>
        <v>111.6</v>
      </c>
      <c r="C33">
        <f t="shared" si="2"/>
        <v>358.4</v>
      </c>
      <c r="D33">
        <f t="shared" si="3"/>
        <v>27000</v>
      </c>
      <c r="E33">
        <f t="shared" si="4"/>
        <v>2.25</v>
      </c>
      <c r="K33">
        <v>46</v>
      </c>
      <c r="L33">
        <f t="shared" si="0"/>
        <v>38</v>
      </c>
    </row>
    <row r="34" spans="1:13" x14ac:dyDescent="0.2">
      <c r="A34">
        <v>100</v>
      </c>
      <c r="B34">
        <f t="shared" si="1"/>
        <v>123.6</v>
      </c>
      <c r="C34">
        <f t="shared" si="2"/>
        <v>398.4</v>
      </c>
      <c r="D34">
        <f t="shared" si="3"/>
        <v>30000</v>
      </c>
      <c r="E34">
        <f t="shared" si="4"/>
        <v>2.5</v>
      </c>
      <c r="K34">
        <v>51</v>
      </c>
      <c r="L34">
        <f t="shared" si="0"/>
        <v>36</v>
      </c>
    </row>
    <row r="35" spans="1:13" x14ac:dyDescent="0.2">
      <c r="A35">
        <v>125</v>
      </c>
      <c r="B35">
        <f t="shared" si="1"/>
        <v>153.6</v>
      </c>
      <c r="C35">
        <f t="shared" si="2"/>
        <v>498.4</v>
      </c>
      <c r="D35">
        <f t="shared" si="3"/>
        <v>37500</v>
      </c>
      <c r="E35">
        <f t="shared" si="4"/>
        <v>3.125</v>
      </c>
      <c r="K35">
        <v>57</v>
      </c>
      <c r="L35">
        <f t="shared" si="0"/>
        <v>34</v>
      </c>
    </row>
    <row r="36" spans="1:13" x14ac:dyDescent="0.2">
      <c r="A36">
        <v>150</v>
      </c>
      <c r="B36">
        <f t="shared" si="1"/>
        <v>183.6</v>
      </c>
      <c r="C36">
        <f t="shared" si="2"/>
        <v>598.4</v>
      </c>
      <c r="D36">
        <f t="shared" si="3"/>
        <v>45000</v>
      </c>
      <c r="E36">
        <f t="shared" si="4"/>
        <v>3.75</v>
      </c>
      <c r="K36">
        <v>64</v>
      </c>
      <c r="L36">
        <f t="shared" si="0"/>
        <v>32</v>
      </c>
    </row>
    <row r="37" spans="1:13" x14ac:dyDescent="0.2">
      <c r="A37">
        <v>175</v>
      </c>
      <c r="B37">
        <f t="shared" si="1"/>
        <v>213.6</v>
      </c>
      <c r="C37">
        <f t="shared" si="2"/>
        <v>698.4</v>
      </c>
      <c r="D37">
        <f t="shared" si="3"/>
        <v>52500</v>
      </c>
      <c r="E37">
        <f t="shared" si="4"/>
        <v>4.375</v>
      </c>
      <c r="K37">
        <v>73</v>
      </c>
      <c r="L37">
        <f t="shared" si="0"/>
        <v>30</v>
      </c>
    </row>
    <row r="38" spans="1:13" x14ac:dyDescent="0.2">
      <c r="A38">
        <v>200</v>
      </c>
      <c r="B38">
        <f t="shared" si="1"/>
        <v>243.6</v>
      </c>
      <c r="C38">
        <f t="shared" si="2"/>
        <v>798.4</v>
      </c>
      <c r="D38">
        <f t="shared" si="3"/>
        <v>60000</v>
      </c>
      <c r="E38">
        <f t="shared" si="4"/>
        <v>5</v>
      </c>
      <c r="K38">
        <v>84</v>
      </c>
      <c r="L38">
        <f t="shared" si="0"/>
        <v>28</v>
      </c>
    </row>
    <row r="39" spans="1:13" x14ac:dyDescent="0.2">
      <c r="A39">
        <v>250</v>
      </c>
      <c r="B39">
        <f t="shared" si="1"/>
        <v>303.60000000000002</v>
      </c>
      <c r="C39">
        <f t="shared" si="2"/>
        <v>998.4</v>
      </c>
      <c r="D39">
        <f t="shared" si="3"/>
        <v>75000</v>
      </c>
      <c r="E39">
        <f t="shared" si="4"/>
        <v>6.25</v>
      </c>
      <c r="K39">
        <v>97</v>
      </c>
      <c r="L39">
        <f t="shared" si="0"/>
        <v>26</v>
      </c>
    </row>
    <row r="40" spans="1:13" x14ac:dyDescent="0.2">
      <c r="A40">
        <v>300</v>
      </c>
      <c r="B40">
        <f t="shared" si="1"/>
        <v>363.6</v>
      </c>
      <c r="C40">
        <f t="shared" si="2"/>
        <v>1198.4000000000001</v>
      </c>
      <c r="D40">
        <f t="shared" si="3"/>
        <v>90000</v>
      </c>
      <c r="E40">
        <f t="shared" si="4"/>
        <v>7.5</v>
      </c>
      <c r="K40">
        <v>113</v>
      </c>
      <c r="L40">
        <f t="shared" si="0"/>
        <v>24</v>
      </c>
    </row>
    <row r="41" spans="1:13" x14ac:dyDescent="0.2">
      <c r="A41">
        <v>350</v>
      </c>
      <c r="B41">
        <f t="shared" si="1"/>
        <v>423.6</v>
      </c>
      <c r="C41">
        <f t="shared" si="2"/>
        <v>1398.4</v>
      </c>
      <c r="D41">
        <f t="shared" si="3"/>
        <v>105000</v>
      </c>
      <c r="E41">
        <f t="shared" si="4"/>
        <v>8.75</v>
      </c>
      <c r="K41">
        <v>135</v>
      </c>
      <c r="L41">
        <f t="shared" si="0"/>
        <v>22</v>
      </c>
    </row>
    <row r="42" spans="1:13" x14ac:dyDescent="0.2">
      <c r="A42">
        <v>400</v>
      </c>
      <c r="B42">
        <f t="shared" si="1"/>
        <v>483.59999999999997</v>
      </c>
      <c r="C42">
        <f t="shared" si="2"/>
        <v>1598.4</v>
      </c>
      <c r="D42">
        <f t="shared" si="3"/>
        <v>120000</v>
      </c>
      <c r="E42">
        <f t="shared" si="4"/>
        <v>10</v>
      </c>
      <c r="K42">
        <v>163</v>
      </c>
      <c r="L42">
        <f t="shared" si="0"/>
        <v>20</v>
      </c>
    </row>
    <row r="43" spans="1:13" x14ac:dyDescent="0.2">
      <c r="A43">
        <v>450</v>
      </c>
      <c r="B43">
        <f t="shared" si="1"/>
        <v>543.59999999999991</v>
      </c>
      <c r="C43">
        <f t="shared" si="2"/>
        <v>1798.4</v>
      </c>
      <c r="D43">
        <f t="shared" si="3"/>
        <v>135000</v>
      </c>
      <c r="E43">
        <f t="shared" si="4"/>
        <v>11.25</v>
      </c>
      <c r="K43">
        <v>201</v>
      </c>
      <c r="L43">
        <f t="shared" si="0"/>
        <v>18</v>
      </c>
      <c r="M43" t="s">
        <v>659</v>
      </c>
    </row>
    <row r="44" spans="1:13" x14ac:dyDescent="0.2">
      <c r="A44">
        <v>500</v>
      </c>
      <c r="B44">
        <f t="shared" si="1"/>
        <v>603.59999999999991</v>
      </c>
      <c r="C44">
        <f t="shared" si="2"/>
        <v>1998.4</v>
      </c>
      <c r="D44">
        <f t="shared" si="3"/>
        <v>150000</v>
      </c>
      <c r="E44">
        <f t="shared" si="4"/>
        <v>12.5</v>
      </c>
      <c r="K44">
        <v>254</v>
      </c>
      <c r="L44">
        <f t="shared" si="0"/>
        <v>16</v>
      </c>
    </row>
    <row r="45" spans="1:13" x14ac:dyDescent="0.2">
      <c r="A45">
        <v>600</v>
      </c>
      <c r="B45">
        <f t="shared" si="1"/>
        <v>723.59999999999991</v>
      </c>
      <c r="C45">
        <f t="shared" si="2"/>
        <v>2398.4</v>
      </c>
      <c r="D45">
        <f t="shared" si="3"/>
        <v>180000</v>
      </c>
      <c r="E45">
        <f t="shared" si="4"/>
        <v>15</v>
      </c>
      <c r="K45">
        <v>332</v>
      </c>
      <c r="L45">
        <f t="shared" si="0"/>
        <v>14</v>
      </c>
    </row>
    <row r="46" spans="1:13" x14ac:dyDescent="0.2">
      <c r="A46">
        <v>700</v>
      </c>
      <c r="B46">
        <f t="shared" si="1"/>
        <v>843.59999999999991</v>
      </c>
      <c r="C46">
        <f t="shared" si="2"/>
        <v>2798.4</v>
      </c>
      <c r="D46">
        <f t="shared" si="3"/>
        <v>210000</v>
      </c>
      <c r="E46">
        <f t="shared" si="4"/>
        <v>17.5</v>
      </c>
      <c r="K46">
        <v>451</v>
      </c>
      <c r="L46">
        <f t="shared" si="0"/>
        <v>12</v>
      </c>
    </row>
    <row r="47" spans="1:13" x14ac:dyDescent="0.2">
      <c r="A47">
        <v>800</v>
      </c>
      <c r="B47">
        <f t="shared" si="1"/>
        <v>963.59999999999991</v>
      </c>
      <c r="C47">
        <f t="shared" si="2"/>
        <v>3198.4</v>
      </c>
      <c r="D47">
        <f t="shared" si="3"/>
        <v>240000</v>
      </c>
      <c r="E47">
        <f t="shared" si="4"/>
        <v>20</v>
      </c>
      <c r="K47">
        <v>649</v>
      </c>
      <c r="L47">
        <f t="shared" si="0"/>
        <v>10</v>
      </c>
    </row>
    <row r="48" spans="1:13" x14ac:dyDescent="0.2">
      <c r="A48">
        <v>900</v>
      </c>
      <c r="B48">
        <f t="shared" si="1"/>
        <v>1083.5999999999999</v>
      </c>
      <c r="C48">
        <f t="shared" si="2"/>
        <v>3598.4</v>
      </c>
      <c r="D48">
        <f t="shared" si="3"/>
        <v>270000</v>
      </c>
      <c r="E48">
        <f t="shared" si="4"/>
        <v>22.5</v>
      </c>
      <c r="K48">
        <v>1013</v>
      </c>
      <c r="L48">
        <f t="shared" si="0"/>
        <v>8</v>
      </c>
    </row>
    <row r="49" spans="1:13" x14ac:dyDescent="0.2">
      <c r="A49">
        <v>1000</v>
      </c>
      <c r="B49">
        <f t="shared" si="1"/>
        <v>1203.5999999999999</v>
      </c>
      <c r="C49">
        <f t="shared" si="2"/>
        <v>3998.4</v>
      </c>
      <c r="D49">
        <f t="shared" si="3"/>
        <v>300000</v>
      </c>
      <c r="E49">
        <f t="shared" si="4"/>
        <v>25</v>
      </c>
      <c r="K49">
        <v>1801</v>
      </c>
      <c r="L49">
        <f t="shared" si="0"/>
        <v>6</v>
      </c>
    </row>
    <row r="50" spans="1:13" x14ac:dyDescent="0.2">
      <c r="A50">
        <v>1200</v>
      </c>
      <c r="B50">
        <f t="shared" si="1"/>
        <v>1443.6</v>
      </c>
      <c r="C50">
        <f t="shared" si="2"/>
        <v>4798.3999999999996</v>
      </c>
      <c r="D50">
        <f t="shared" si="3"/>
        <v>360000</v>
      </c>
      <c r="E50">
        <f t="shared" si="4"/>
        <v>30</v>
      </c>
      <c r="K50">
        <v>4051</v>
      </c>
      <c r="L50">
        <f t="shared" si="0"/>
        <v>4</v>
      </c>
      <c r="M50" t="s">
        <v>658</v>
      </c>
    </row>
    <row r="51" spans="1:13" x14ac:dyDescent="0.2">
      <c r="A51">
        <v>1400</v>
      </c>
      <c r="B51">
        <f t="shared" si="1"/>
        <v>1683.6</v>
      </c>
      <c r="C51">
        <f t="shared" si="2"/>
        <v>5598.4</v>
      </c>
      <c r="D51">
        <f t="shared" si="3"/>
        <v>420000</v>
      </c>
      <c r="E51">
        <f t="shared" si="4"/>
        <v>35</v>
      </c>
      <c r="K51">
        <v>16201</v>
      </c>
      <c r="L51">
        <f t="shared" si="0"/>
        <v>2</v>
      </c>
      <c r="M51" t="s">
        <v>657</v>
      </c>
    </row>
    <row r="52" spans="1:13" x14ac:dyDescent="0.2">
      <c r="A52">
        <v>1600</v>
      </c>
      <c r="B52">
        <f t="shared" si="1"/>
        <v>1923.6</v>
      </c>
      <c r="C52">
        <f t="shared" si="2"/>
        <v>6398.4</v>
      </c>
      <c r="D52">
        <f t="shared" si="3"/>
        <v>480000</v>
      </c>
      <c r="E52">
        <f t="shared" si="4"/>
        <v>40</v>
      </c>
    </row>
    <row r="53" spans="1:13" x14ac:dyDescent="0.2">
      <c r="A53">
        <v>1800</v>
      </c>
      <c r="B53">
        <f t="shared" si="1"/>
        <v>2163.6</v>
      </c>
      <c r="C53">
        <f t="shared" si="2"/>
        <v>7198.4</v>
      </c>
      <c r="D53">
        <f t="shared" si="3"/>
        <v>540000</v>
      </c>
      <c r="E53">
        <f t="shared" si="4"/>
        <v>45</v>
      </c>
    </row>
    <row r="54" spans="1:13" x14ac:dyDescent="0.2">
      <c r="A54">
        <v>2000</v>
      </c>
      <c r="B54">
        <f t="shared" si="1"/>
        <v>2403.6</v>
      </c>
      <c r="C54">
        <f t="shared" si="2"/>
        <v>7998.4</v>
      </c>
      <c r="D54">
        <f t="shared" si="3"/>
        <v>600000</v>
      </c>
      <c r="E54">
        <f t="shared" si="4"/>
        <v>50</v>
      </c>
    </row>
    <row r="55" spans="1:13" x14ac:dyDescent="0.2">
      <c r="A55">
        <v>3000</v>
      </c>
      <c r="B55">
        <f t="shared" si="1"/>
        <v>3603.6</v>
      </c>
      <c r="C55">
        <f t="shared" si="2"/>
        <v>11998.4</v>
      </c>
      <c r="D55">
        <f t="shared" si="3"/>
        <v>900000</v>
      </c>
      <c r="E55">
        <f t="shared" si="4"/>
        <v>75</v>
      </c>
    </row>
    <row r="56" spans="1:13" x14ac:dyDescent="0.2">
      <c r="A56">
        <v>4000</v>
      </c>
      <c r="B56">
        <f t="shared" si="1"/>
        <v>4803.6000000000004</v>
      </c>
      <c r="C56">
        <f t="shared" si="2"/>
        <v>15998.4</v>
      </c>
      <c r="D56">
        <f t="shared" si="3"/>
        <v>1200000</v>
      </c>
      <c r="E56">
        <f t="shared" si="4"/>
        <v>100</v>
      </c>
    </row>
    <row r="57" spans="1:13" x14ac:dyDescent="0.2">
      <c r="A57">
        <v>5000</v>
      </c>
      <c r="B57">
        <f t="shared" si="1"/>
        <v>6003.6</v>
      </c>
      <c r="C57">
        <f t="shared" si="2"/>
        <v>19998.400000000001</v>
      </c>
      <c r="D57">
        <f t="shared" si="3"/>
        <v>1500000</v>
      </c>
      <c r="E57">
        <f t="shared" si="4"/>
        <v>125</v>
      </c>
    </row>
    <row r="58" spans="1:13" x14ac:dyDescent="0.2">
      <c r="A58">
        <v>6000</v>
      </c>
      <c r="B58">
        <f t="shared" si="1"/>
        <v>7203.6</v>
      </c>
      <c r="C58">
        <f t="shared" si="2"/>
        <v>23998.400000000001</v>
      </c>
      <c r="D58">
        <f t="shared" si="3"/>
        <v>1800000</v>
      </c>
      <c r="E58">
        <f t="shared" si="4"/>
        <v>150</v>
      </c>
    </row>
    <row r="59" spans="1:13" x14ac:dyDescent="0.2">
      <c r="A59">
        <v>7000</v>
      </c>
      <c r="B59">
        <f t="shared" si="1"/>
        <v>8403.5999999999985</v>
      </c>
      <c r="C59">
        <f t="shared" si="2"/>
        <v>27998.400000000001</v>
      </c>
      <c r="D59">
        <f t="shared" si="3"/>
        <v>2100000</v>
      </c>
      <c r="E59">
        <f t="shared" si="4"/>
        <v>175</v>
      </c>
    </row>
    <row r="60" spans="1:13" x14ac:dyDescent="0.2">
      <c r="A60">
        <v>8000</v>
      </c>
      <c r="B60">
        <f t="shared" si="1"/>
        <v>9603.5999999999985</v>
      </c>
      <c r="C60">
        <f t="shared" si="2"/>
        <v>31998.400000000001</v>
      </c>
      <c r="D60">
        <f t="shared" si="3"/>
        <v>2400000</v>
      </c>
      <c r="E60">
        <f t="shared" si="4"/>
        <v>200</v>
      </c>
    </row>
    <row r="61" spans="1:13" x14ac:dyDescent="0.2">
      <c r="A61">
        <v>9000</v>
      </c>
      <c r="B61">
        <f t="shared" si="1"/>
        <v>10803.599999999999</v>
      </c>
      <c r="C61">
        <f t="shared" si="2"/>
        <v>35998.400000000001</v>
      </c>
      <c r="D61">
        <f t="shared" si="3"/>
        <v>2700000</v>
      </c>
      <c r="E61">
        <f t="shared" si="4"/>
        <v>225</v>
      </c>
    </row>
    <row r="62" spans="1:13" x14ac:dyDescent="0.2">
      <c r="A62">
        <v>10000</v>
      </c>
      <c r="B62">
        <f t="shared" si="1"/>
        <v>12003.599999999999</v>
      </c>
      <c r="C62">
        <f t="shared" si="2"/>
        <v>39998.400000000001</v>
      </c>
      <c r="D62">
        <f t="shared" si="3"/>
        <v>3000000</v>
      </c>
      <c r="E62">
        <f t="shared" si="4"/>
        <v>250</v>
      </c>
    </row>
  </sheetData>
  <mergeCells count="12">
    <mergeCell ref="G15:I16"/>
    <mergeCell ref="A1:C1"/>
    <mergeCell ref="R14:S14"/>
    <mergeCell ref="T14:U14"/>
    <mergeCell ref="A2:C2"/>
    <mergeCell ref="A3:C3"/>
    <mergeCell ref="A4:C4"/>
    <mergeCell ref="A5:C5"/>
    <mergeCell ref="K7:L7"/>
    <mergeCell ref="A7:E7"/>
    <mergeCell ref="F7:G7"/>
    <mergeCell ref="R13:U13"/>
  </mergeCells>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workbookViewId="0">
      <selection activeCell="A5" sqref="A5"/>
    </sheetView>
  </sheetViews>
  <sheetFormatPr defaultRowHeight="14.25" x14ac:dyDescent="0.2"/>
  <cols>
    <col min="1" max="1" width="13.125" customWidth="1"/>
    <col min="2" max="2" width="15.25" customWidth="1"/>
  </cols>
  <sheetData>
    <row r="1" spans="1:4" x14ac:dyDescent="0.2">
      <c r="A1" s="23" t="s">
        <v>590</v>
      </c>
      <c r="B1" s="23"/>
      <c r="C1" s="23"/>
      <c r="D1" s="23"/>
    </row>
    <row r="2" spans="1:4" x14ac:dyDescent="0.2">
      <c r="A2" s="23"/>
      <c r="B2" s="23"/>
      <c r="C2" s="23"/>
      <c r="D2" s="23"/>
    </row>
    <row r="3" spans="1:4" x14ac:dyDescent="0.2">
      <c r="A3" t="s">
        <v>587</v>
      </c>
      <c r="B3" t="s">
        <v>588</v>
      </c>
      <c r="C3" t="s">
        <v>585</v>
      </c>
      <c r="D3" t="s">
        <v>586</v>
      </c>
    </row>
    <row r="4" spans="1:4" x14ac:dyDescent="0.2">
      <c r="A4" t="s">
        <v>644</v>
      </c>
      <c r="B4">
        <v>4.0975215025032501</v>
      </c>
      <c r="C4">
        <f>B4*PI()/180</f>
        <v>7.151524138994679E-2</v>
      </c>
      <c r="D4">
        <f>12*ASIN(1/SQRT(4-C4*C4))/(6*ASIN(1/SQRT(4-C4*C4))-PI())</f>
        <v>2836.1247656695359</v>
      </c>
    </row>
    <row r="5" spans="1:4" x14ac:dyDescent="0.2">
      <c r="A5" t="s">
        <v>645</v>
      </c>
      <c r="B5">
        <f>SQRT(7.34806152153*7.34806152153+4*4)/1000*400*PI()</f>
        <v>10.51332998156065</v>
      </c>
      <c r="C5">
        <f>B5/200</f>
        <v>5.2566649907803249E-2</v>
      </c>
      <c r="D5">
        <f>12*ASIN(1/SQRT(4-C5*C5))/(6*ASIN(1/SQRT(4-C5*C5))-PI())</f>
        <v>5250.177670586937</v>
      </c>
    </row>
    <row r="6" spans="1:4" x14ac:dyDescent="0.2">
      <c r="A6" t="s">
        <v>646</v>
      </c>
      <c r="B6">
        <v>10.5</v>
      </c>
      <c r="C6">
        <f t="shared" ref="C6:C11" si="0">B6/200</f>
        <v>5.2499999999999998E-2</v>
      </c>
      <c r="D6">
        <f t="shared" ref="D6:D11" si="1">12*ASIN(1/SQRT(4-C6*C6))/(6*ASIN(1/SQRT(4-C6*C6))-PI())</f>
        <v>5263.5191650480847</v>
      </c>
    </row>
    <row r="7" spans="1:4" x14ac:dyDescent="0.2">
      <c r="A7" t="s">
        <v>647</v>
      </c>
      <c r="B7">
        <v>29</v>
      </c>
      <c r="C7">
        <f t="shared" si="0"/>
        <v>0.14499999999999999</v>
      </c>
      <c r="D7">
        <f t="shared" si="1"/>
        <v>689.1249867029893</v>
      </c>
    </row>
    <row r="8" spans="1:4" x14ac:dyDescent="0.2">
      <c r="A8" t="s">
        <v>648</v>
      </c>
      <c r="B8">
        <v>15</v>
      </c>
      <c r="C8">
        <f t="shared" si="0"/>
        <v>7.4999999999999997E-2</v>
      </c>
      <c r="D8">
        <f t="shared" si="1"/>
        <v>2578.6023380512447</v>
      </c>
    </row>
    <row r="9" spans="1:4" x14ac:dyDescent="0.2">
      <c r="A9" t="s">
        <v>649</v>
      </c>
      <c r="B9">
        <v>3.5</v>
      </c>
      <c r="C9">
        <f t="shared" si="0"/>
        <v>1.7500000000000002E-2</v>
      </c>
      <c r="D9">
        <f t="shared" si="1"/>
        <v>47379.85832932224</v>
      </c>
    </row>
    <row r="10" spans="1:4" x14ac:dyDescent="0.2">
      <c r="A10" t="s">
        <v>650</v>
      </c>
      <c r="B10">
        <v>10.6</v>
      </c>
      <c r="C10">
        <f t="shared" si="0"/>
        <v>5.2999999999999999E-2</v>
      </c>
      <c r="D10">
        <f t="shared" si="1"/>
        <v>5164.6567152985654</v>
      </c>
    </row>
    <row r="11" spans="1:4" x14ac:dyDescent="0.2">
      <c r="A11" t="s">
        <v>651</v>
      </c>
      <c r="B11">
        <v>12</v>
      </c>
      <c r="C11">
        <f t="shared" si="0"/>
        <v>0.06</v>
      </c>
      <c r="D11">
        <f t="shared" si="1"/>
        <v>4029.641982692584</v>
      </c>
    </row>
    <row r="14" spans="1:4" x14ac:dyDescent="0.2">
      <c r="A14" s="24" t="s">
        <v>589</v>
      </c>
      <c r="B14" s="24"/>
      <c r="C14" s="24"/>
      <c r="D14" s="24"/>
    </row>
  </sheetData>
  <mergeCells count="2">
    <mergeCell ref="A14:D14"/>
    <mergeCell ref="A1:D2"/>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
  <sheetViews>
    <sheetView workbookViewId="0">
      <selection sqref="A1:XFD1048576"/>
    </sheetView>
  </sheetViews>
  <sheetFormatPr defaultRowHeight="14.25" x14ac:dyDescent="0.2"/>
  <sheetData>
    <row r="1" spans="1:26" x14ac:dyDescent="0.2">
      <c r="A1" s="24" t="s">
        <v>693</v>
      </c>
      <c r="B1" s="24"/>
      <c r="C1" s="24"/>
      <c r="D1" s="24"/>
      <c r="E1" s="24"/>
      <c r="F1" s="24"/>
      <c r="G1" s="24"/>
      <c r="H1" s="24"/>
      <c r="I1" s="24"/>
      <c r="J1" s="24"/>
      <c r="K1" s="24"/>
      <c r="L1" s="24"/>
      <c r="M1" s="24"/>
      <c r="N1" s="24"/>
      <c r="O1" s="24"/>
      <c r="P1" s="24"/>
    </row>
    <row r="2" spans="1:26" x14ac:dyDescent="0.2">
      <c r="A2" s="24" t="s">
        <v>694</v>
      </c>
      <c r="B2" s="24"/>
      <c r="C2" s="24"/>
      <c r="D2" s="24"/>
      <c r="E2" s="24"/>
      <c r="F2" s="24"/>
      <c r="G2" s="24"/>
      <c r="H2" s="24"/>
      <c r="I2" s="24"/>
      <c r="J2" s="24"/>
      <c r="K2" s="24"/>
      <c r="L2" s="24"/>
      <c r="M2" s="24"/>
      <c r="N2" s="24"/>
      <c r="O2" s="24"/>
      <c r="P2" s="24"/>
      <c r="Q2" s="11"/>
      <c r="R2" s="11"/>
      <c r="S2" s="11"/>
      <c r="T2" s="11"/>
      <c r="U2" s="11"/>
      <c r="V2" s="11"/>
      <c r="W2" s="11"/>
      <c r="X2" s="11"/>
      <c r="Y2" s="11"/>
      <c r="Z2" s="11"/>
    </row>
    <row r="3" spans="1:26" x14ac:dyDescent="0.2">
      <c r="A3" s="24" t="s">
        <v>695</v>
      </c>
      <c r="B3" s="24"/>
      <c r="C3" s="24"/>
      <c r="D3" s="24"/>
      <c r="E3" s="24"/>
      <c r="F3" s="24"/>
      <c r="G3" s="24"/>
      <c r="H3" s="24"/>
      <c r="I3" s="24"/>
      <c r="J3" s="24"/>
      <c r="K3" s="24"/>
      <c r="L3" s="24"/>
      <c r="M3" s="24"/>
      <c r="N3" s="24"/>
      <c r="O3" s="24"/>
      <c r="P3" s="24"/>
      <c r="Q3" s="24"/>
      <c r="R3" s="24"/>
      <c r="S3" s="24"/>
    </row>
    <row r="4" spans="1:26" x14ac:dyDescent="0.2">
      <c r="A4" t="s">
        <v>692</v>
      </c>
    </row>
  </sheetData>
  <mergeCells count="3">
    <mergeCell ref="A1:P1"/>
    <mergeCell ref="A2:P2"/>
    <mergeCell ref="A3:S3"/>
  </mergeCells>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46"/>
  <sheetViews>
    <sheetView topLeftCell="A7" workbookViewId="0">
      <selection activeCell="A7" sqref="A1:XFD1048576"/>
    </sheetView>
  </sheetViews>
  <sheetFormatPr defaultRowHeight="14.25" x14ac:dyDescent="0.2"/>
  <cols>
    <col min="1" max="1" width="12.875" customWidth="1"/>
    <col min="2" max="2" width="23.5" customWidth="1"/>
    <col min="3" max="3" width="18.625" customWidth="1"/>
    <col min="4" max="4" width="15.875" customWidth="1"/>
    <col min="5" max="5" width="16" customWidth="1"/>
    <col min="6" max="6" width="20" customWidth="1"/>
    <col min="7" max="7" width="26.125" customWidth="1"/>
    <col min="8" max="8" width="17" customWidth="1"/>
    <col min="9" max="9" width="15.25" customWidth="1"/>
    <col min="10" max="10" width="21.5" customWidth="1"/>
    <col min="11" max="11" width="9.875" customWidth="1"/>
    <col min="12" max="12" width="11.125" customWidth="1"/>
  </cols>
  <sheetData>
    <row r="1" spans="1:13" x14ac:dyDescent="0.2">
      <c r="A1" t="s">
        <v>18</v>
      </c>
      <c r="B1" t="s">
        <v>25</v>
      </c>
      <c r="C1" t="s">
        <v>26</v>
      </c>
      <c r="D1" t="s">
        <v>493</v>
      </c>
      <c r="E1" t="s">
        <v>494</v>
      </c>
      <c r="F1" t="s">
        <v>567</v>
      </c>
      <c r="G1" s="20" t="s">
        <v>495</v>
      </c>
      <c r="H1" t="s">
        <v>25</v>
      </c>
      <c r="I1" t="s">
        <v>26</v>
      </c>
      <c r="J1" t="s">
        <v>493</v>
      </c>
      <c r="K1" t="s">
        <v>494</v>
      </c>
      <c r="L1" t="s">
        <v>567</v>
      </c>
    </row>
    <row r="2" spans="1:13" x14ac:dyDescent="0.2">
      <c r="A2" t="s">
        <v>19</v>
      </c>
      <c r="B2">
        <v>1.1555899999999999</v>
      </c>
      <c r="C2">
        <v>1.1555899999999999</v>
      </c>
      <c r="D2">
        <f t="shared" ref="D2:E3" si="0">2*B2</f>
        <v>2.3111799999999998</v>
      </c>
      <c r="E2">
        <f t="shared" si="0"/>
        <v>2.3111799999999998</v>
      </c>
      <c r="F2">
        <v>0.79500000000000004</v>
      </c>
      <c r="G2" s="20"/>
      <c r="H2">
        <f t="shared" ref="H2:L5" si="1">B2*1.25663706143591</f>
        <v>1.452157221824723</v>
      </c>
      <c r="I2">
        <f t="shared" si="1"/>
        <v>1.452157221824723</v>
      </c>
      <c r="J2">
        <f t="shared" si="1"/>
        <v>2.9043144436494459</v>
      </c>
      <c r="K2">
        <f t="shared" si="1"/>
        <v>2.9043144436494459</v>
      </c>
      <c r="L2">
        <f t="shared" si="1"/>
        <v>0.99902646384154847</v>
      </c>
    </row>
    <row r="3" spans="1:13" x14ac:dyDescent="0.2">
      <c r="A3" t="s">
        <v>20</v>
      </c>
      <c r="B3">
        <v>1.5207999999999999</v>
      </c>
      <c r="C3">
        <v>1.5207999999999999</v>
      </c>
      <c r="D3">
        <f t="shared" si="0"/>
        <v>3.0415999999999999</v>
      </c>
      <c r="E3">
        <f t="shared" si="0"/>
        <v>3.0415999999999999</v>
      </c>
      <c r="F3">
        <v>0.875</v>
      </c>
      <c r="G3" s="20"/>
      <c r="H3">
        <f t="shared" si="1"/>
        <v>1.9110936430317318</v>
      </c>
      <c r="I3">
        <f t="shared" si="1"/>
        <v>1.9110936430317318</v>
      </c>
      <c r="J3">
        <f t="shared" si="1"/>
        <v>3.8221872860634636</v>
      </c>
      <c r="K3">
        <f t="shared" si="1"/>
        <v>3.8221872860634636</v>
      </c>
      <c r="L3">
        <f t="shared" si="1"/>
        <v>1.0995574287564212</v>
      </c>
    </row>
    <row r="4" spans="1:13" x14ac:dyDescent="0.2">
      <c r="A4" t="s">
        <v>21</v>
      </c>
      <c r="B4" t="s">
        <v>691</v>
      </c>
      <c r="C4" t="s">
        <v>620</v>
      </c>
      <c r="D4">
        <v>6.5972906</v>
      </c>
      <c r="E4">
        <f>3.49776</f>
        <v>3.49776</v>
      </c>
      <c r="F4" t="s">
        <v>593</v>
      </c>
      <c r="G4" s="20"/>
      <c r="H4" t="e">
        <f t="shared" ref="H4:K5" si="2">B4*1.25663706143591</f>
        <v>#VALUE!</v>
      </c>
      <c r="I4" t="e">
        <f t="shared" si="2"/>
        <v>#VALUE!</v>
      </c>
      <c r="J4">
        <f t="shared" si="2"/>
        <v>8.2903998730227517</v>
      </c>
      <c r="K4">
        <f t="shared" si="2"/>
        <v>4.3954148480080679</v>
      </c>
      <c r="L4">
        <f>0.7155*1.25663706143591</f>
        <v>0.89912381745739356</v>
      </c>
      <c r="M4">
        <f>1.6695*1.25663706143591</f>
        <v>2.0979555740672517</v>
      </c>
    </row>
    <row r="5" spans="1:13" x14ac:dyDescent="0.2">
      <c r="A5" t="s">
        <v>22</v>
      </c>
      <c r="B5" t="s">
        <v>669</v>
      </c>
      <c r="C5">
        <f>2.22475</f>
        <v>2.2247499999999998</v>
      </c>
      <c r="D5">
        <f>2.22475+2.6</f>
        <v>4.8247499999999999</v>
      </c>
      <c r="E5">
        <f>2*C5</f>
        <v>4.4494999999999996</v>
      </c>
      <c r="F5">
        <v>1.8285556999999999</v>
      </c>
      <c r="G5" s="20"/>
      <c r="H5" t="e">
        <f t="shared" si="2"/>
        <v>#VALUE!</v>
      </c>
      <c r="I5">
        <f t="shared" si="2"/>
        <v>2.7957033024295401</v>
      </c>
      <c r="J5">
        <f t="shared" si="2"/>
        <v>6.062959662162906</v>
      </c>
      <c r="K5">
        <f t="shared" si="2"/>
        <v>5.5914066048590803</v>
      </c>
      <c r="L5">
        <f t="shared" si="1"/>
        <v>2.2978308615198832</v>
      </c>
    </row>
    <row r="6" spans="1:13" x14ac:dyDescent="0.2">
      <c r="A6" t="s">
        <v>23</v>
      </c>
      <c r="B6" t="s">
        <v>608</v>
      </c>
      <c r="C6">
        <f>E6/2</f>
        <v>2.3378000000000001</v>
      </c>
      <c r="D6" t="s">
        <v>660</v>
      </c>
      <c r="E6">
        <f>4.6756</f>
        <v>4.6756000000000002</v>
      </c>
      <c r="F6" t="s">
        <v>609</v>
      </c>
      <c r="G6" s="20"/>
      <c r="H6">
        <f>(4.3+5.1)*1.25663706143591</f>
        <v>11.812388377497552</v>
      </c>
      <c r="I6">
        <f t="shared" ref="I6:K7" si="3">C6*1.25663706143591</f>
        <v>2.9377661222248705</v>
      </c>
      <c r="J6" t="e">
        <f t="shared" si="3"/>
        <v>#VALUE!</v>
      </c>
      <c r="K6">
        <f t="shared" si="3"/>
        <v>5.8755322444497411</v>
      </c>
      <c r="L6">
        <f>3.81651*1.25663706143591</f>
        <v>4.7959679113407647</v>
      </c>
    </row>
    <row r="7" spans="1:13" x14ac:dyDescent="0.2">
      <c r="A7" t="s">
        <v>24</v>
      </c>
      <c r="B7" t="s">
        <v>665</v>
      </c>
      <c r="C7">
        <f>2.79486/2</f>
        <v>1.3974299999999999</v>
      </c>
      <c r="D7" t="s">
        <v>666</v>
      </c>
      <c r="E7">
        <f>2*C7</f>
        <v>2.7948599999999999</v>
      </c>
      <c r="F7" t="s">
        <v>662</v>
      </c>
      <c r="G7" s="20"/>
      <c r="H7" t="e">
        <f>B7*1.25663706143591</f>
        <v>#VALUE!</v>
      </c>
      <c r="I7">
        <f t="shared" si="3"/>
        <v>1.7560623287623836</v>
      </c>
      <c r="J7" t="e">
        <f t="shared" si="3"/>
        <v>#VALUE!</v>
      </c>
      <c r="K7">
        <f t="shared" si="3"/>
        <v>3.5121246575247671</v>
      </c>
      <c r="L7" t="s">
        <v>661</v>
      </c>
    </row>
    <row r="9" spans="1:13" x14ac:dyDescent="0.2">
      <c r="A9" t="s">
        <v>33</v>
      </c>
      <c r="B9">
        <f>6.751/2</f>
        <v>3.3755000000000002</v>
      </c>
      <c r="C9">
        <f>6.751/2</f>
        <v>3.3755000000000002</v>
      </c>
      <c r="D9">
        <f>6.751/2</f>
        <v>3.3755000000000002</v>
      </c>
      <c r="E9">
        <f>6.751/2</f>
        <v>3.3755000000000002</v>
      </c>
      <c r="F9">
        <v>48.96</v>
      </c>
      <c r="G9" t="s">
        <v>35</v>
      </c>
      <c r="H9">
        <f>4*D9*D9</f>
        <v>45.576001000000005</v>
      </c>
      <c r="I9" t="s">
        <v>491</v>
      </c>
    </row>
    <row r="10" spans="1:13" x14ac:dyDescent="0.2">
      <c r="A10" t="s">
        <v>34</v>
      </c>
      <c r="B10" t="s">
        <v>287</v>
      </c>
      <c r="E10" t="s">
        <v>288</v>
      </c>
      <c r="F10">
        <v>54.824300000000001</v>
      </c>
      <c r="G10" t="s">
        <v>308</v>
      </c>
    </row>
    <row r="11" spans="1:13" x14ac:dyDescent="0.2">
      <c r="A11" t="s">
        <v>607</v>
      </c>
      <c r="B11">
        <v>0.2</v>
      </c>
      <c r="C11">
        <v>0.2</v>
      </c>
      <c r="D11">
        <v>0.4</v>
      </c>
      <c r="E11">
        <v>0.4</v>
      </c>
    </row>
    <row r="13" spans="1:13" x14ac:dyDescent="0.2">
      <c r="A13" t="s">
        <v>255</v>
      </c>
      <c r="B13">
        <v>1.8</v>
      </c>
      <c r="C13">
        <v>1.8</v>
      </c>
      <c r="D13">
        <v>2</v>
      </c>
      <c r="E13" t="s">
        <v>256</v>
      </c>
      <c r="F13" t="s">
        <v>257</v>
      </c>
    </row>
    <row r="15" spans="1:13" x14ac:dyDescent="0.2">
      <c r="A15" t="s">
        <v>690</v>
      </c>
      <c r="B15" t="s">
        <v>670</v>
      </c>
      <c r="C15" t="s">
        <v>671</v>
      </c>
      <c r="D15" t="s">
        <v>672</v>
      </c>
      <c r="E15" t="s">
        <v>673</v>
      </c>
      <c r="F15" t="s">
        <v>674</v>
      </c>
      <c r="G15" t="s">
        <v>675</v>
      </c>
    </row>
    <row r="16" spans="1:13" x14ac:dyDescent="0.2">
      <c r="A16" t="s">
        <v>676</v>
      </c>
      <c r="B16" t="s">
        <v>684</v>
      </c>
      <c r="C16" t="s">
        <v>685</v>
      </c>
      <c r="D16" t="s">
        <v>686</v>
      </c>
      <c r="E16" t="s">
        <v>687</v>
      </c>
      <c r="F16" t="s">
        <v>688</v>
      </c>
      <c r="G16" t="s">
        <v>689</v>
      </c>
    </row>
    <row r="17" spans="1:21" x14ac:dyDescent="0.2">
      <c r="A17" t="s">
        <v>677</v>
      </c>
      <c r="B17" t="s">
        <v>679</v>
      </c>
      <c r="C17" t="s">
        <v>678</v>
      </c>
      <c r="D17" t="s">
        <v>680</v>
      </c>
      <c r="E17" t="s">
        <v>681</v>
      </c>
      <c r="F17" t="s">
        <v>682</v>
      </c>
      <c r="G17" t="s">
        <v>683</v>
      </c>
    </row>
    <row r="21" spans="1:21" x14ac:dyDescent="0.2">
      <c r="A21" t="s">
        <v>509</v>
      </c>
      <c r="B21" t="s">
        <v>510</v>
      </c>
      <c r="C21" t="s">
        <v>511</v>
      </c>
      <c r="D21" t="s">
        <v>512</v>
      </c>
      <c r="E21" t="s">
        <v>513</v>
      </c>
      <c r="F21" t="s">
        <v>514</v>
      </c>
      <c r="G21" t="s">
        <v>515</v>
      </c>
      <c r="H21" t="s">
        <v>516</v>
      </c>
      <c r="I21" t="s">
        <v>517</v>
      </c>
      <c r="J21" t="s">
        <v>518</v>
      </c>
      <c r="K21" t="s">
        <v>519</v>
      </c>
      <c r="L21" t="s">
        <v>520</v>
      </c>
      <c r="M21" t="s">
        <v>521</v>
      </c>
      <c r="N21" t="s">
        <v>522</v>
      </c>
      <c r="O21" t="s">
        <v>523</v>
      </c>
      <c r="P21" t="s">
        <v>524</v>
      </c>
      <c r="Q21" t="s">
        <v>525</v>
      </c>
      <c r="R21" t="s">
        <v>526</v>
      </c>
      <c r="S21" t="s">
        <v>527</v>
      </c>
      <c r="T21" t="s">
        <v>528</v>
      </c>
      <c r="U21" t="s">
        <v>529</v>
      </c>
    </row>
    <row r="22" spans="1:21" x14ac:dyDescent="0.2">
      <c r="A22" t="s">
        <v>530</v>
      </c>
      <c r="B22">
        <v>1</v>
      </c>
      <c r="C22">
        <v>0.5</v>
      </c>
      <c r="D22">
        <v>1</v>
      </c>
      <c r="E22">
        <v>1</v>
      </c>
      <c r="F22">
        <v>1</v>
      </c>
      <c r="G22">
        <v>8</v>
      </c>
      <c r="H22">
        <v>1</v>
      </c>
      <c r="I22">
        <v>1</v>
      </c>
      <c r="J22">
        <v>2</v>
      </c>
      <c r="K22">
        <v>0.75</v>
      </c>
      <c r="L22">
        <v>1</v>
      </c>
      <c r="M22">
        <v>1.5</v>
      </c>
      <c r="N22">
        <v>1</v>
      </c>
      <c r="O22">
        <v>1</v>
      </c>
      <c r="P22">
        <v>2</v>
      </c>
      <c r="Q22">
        <v>1</v>
      </c>
      <c r="R22">
        <v>1</v>
      </c>
      <c r="S22">
        <v>1</v>
      </c>
      <c r="T22">
        <v>50</v>
      </c>
      <c r="U22">
        <v>1</v>
      </c>
    </row>
    <row r="23" spans="1:21" x14ac:dyDescent="0.2">
      <c r="A23" t="s">
        <v>531</v>
      </c>
      <c r="B23">
        <v>0.08</v>
      </c>
      <c r="C23">
        <v>0.42</v>
      </c>
      <c r="D23">
        <v>2.94</v>
      </c>
      <c r="E23">
        <v>0.3</v>
      </c>
      <c r="F23">
        <v>0.3</v>
      </c>
      <c r="G23">
        <v>30</v>
      </c>
      <c r="H23">
        <v>0</v>
      </c>
      <c r="I23">
        <v>0.36</v>
      </c>
      <c r="J23">
        <v>1.44</v>
      </c>
      <c r="K23">
        <v>0.27</v>
      </c>
      <c r="L23">
        <v>0.54</v>
      </c>
      <c r="M23">
        <v>1.08</v>
      </c>
      <c r="N23">
        <v>0.96</v>
      </c>
      <c r="O23">
        <v>0.72</v>
      </c>
      <c r="P23">
        <v>2.16</v>
      </c>
      <c r="Q23">
        <v>0.72</v>
      </c>
      <c r="R23">
        <v>12</v>
      </c>
      <c r="S23">
        <v>0.48</v>
      </c>
      <c r="T23">
        <v>45</v>
      </c>
      <c r="U23">
        <v>0.9</v>
      </c>
    </row>
    <row r="24" spans="1:21" x14ac:dyDescent="0.2">
      <c r="A24" s="8"/>
      <c r="B24" s="8"/>
      <c r="C24" s="8"/>
      <c r="D24" s="8"/>
      <c r="E24" s="8"/>
      <c r="F24" s="8"/>
      <c r="G24" s="8"/>
      <c r="H24" s="8"/>
      <c r="I24" s="8"/>
      <c r="J24" s="8"/>
      <c r="K24" s="8"/>
      <c r="L24" s="8"/>
      <c r="M24" s="8"/>
      <c r="N24" s="8"/>
      <c r="O24" s="8"/>
      <c r="P24" s="8"/>
      <c r="Q24" s="8"/>
      <c r="R24" s="8"/>
      <c r="S24" s="8"/>
      <c r="T24" s="8"/>
      <c r="U24" s="8"/>
    </row>
    <row r="25" spans="1:21" x14ac:dyDescent="0.2">
      <c r="A25" t="s">
        <v>532</v>
      </c>
      <c r="B25">
        <v>0</v>
      </c>
      <c r="C25">
        <v>15</v>
      </c>
      <c r="D25">
        <v>25</v>
      </c>
      <c r="E25">
        <v>12</v>
      </c>
      <c r="F25">
        <v>50</v>
      </c>
      <c r="G25">
        <v>0</v>
      </c>
      <c r="H25">
        <v>54.82</v>
      </c>
      <c r="I25">
        <v>5.76</v>
      </c>
      <c r="J25">
        <v>5.76</v>
      </c>
      <c r="K25">
        <v>10.24</v>
      </c>
      <c r="L25">
        <v>10.24</v>
      </c>
      <c r="M25">
        <v>10.24</v>
      </c>
      <c r="N25">
        <v>18</v>
      </c>
      <c r="O25">
        <v>23.76</v>
      </c>
      <c r="P25">
        <v>23.76</v>
      </c>
      <c r="Q25">
        <v>12.96</v>
      </c>
      <c r="R25">
        <v>45.12</v>
      </c>
      <c r="S25">
        <v>20.25</v>
      </c>
      <c r="T25">
        <v>64</v>
      </c>
      <c r="U25">
        <v>4</v>
      </c>
    </row>
    <row r="28" spans="1:21" x14ac:dyDescent="0.2">
      <c r="A28" t="s">
        <v>664</v>
      </c>
      <c r="K28" t="s">
        <v>613</v>
      </c>
    </row>
    <row r="29" spans="1:21" x14ac:dyDescent="0.2">
      <c r="B29" t="s">
        <v>595</v>
      </c>
      <c r="C29" t="s">
        <v>596</v>
      </c>
      <c r="E29" t="s">
        <v>610</v>
      </c>
      <c r="F29" t="s">
        <v>611</v>
      </c>
      <c r="G29" t="s">
        <v>612</v>
      </c>
      <c r="I29" t="s">
        <v>615</v>
      </c>
      <c r="J29" t="s">
        <v>616</v>
      </c>
      <c r="K29">
        <v>0</v>
      </c>
      <c r="L29" t="s">
        <v>614</v>
      </c>
    </row>
    <row r="30" spans="1:21" x14ac:dyDescent="0.2">
      <c r="A30" t="s">
        <v>594</v>
      </c>
      <c r="B30" t="s">
        <v>597</v>
      </c>
      <c r="C30" t="s">
        <v>598</v>
      </c>
      <c r="E30">
        <f>COS(PI()*24/180)*0.88</f>
        <v>0.8039200027254888</v>
      </c>
      <c r="F30">
        <f>SIN(PI()*24/180)*0.88</f>
        <v>0.35792824590670413</v>
      </c>
      <c r="G30">
        <f>5/14</f>
        <v>0.35714285714285715</v>
      </c>
      <c r="I30">
        <f>0.7+0.125</f>
        <v>0.82499999999999996</v>
      </c>
      <c r="J30">
        <f>SQRT(MAX(0.88*0.88-I30*I30,0))</f>
        <v>0.30622703995565131</v>
      </c>
      <c r="K30">
        <f>SQRT(1.33*1.33/0.16/PI()/PI()*K29*K29+J30*J30)</f>
        <v>0.30622703995565131</v>
      </c>
      <c r="L30">
        <f>ATAN(K30/I30)*180/PI()</f>
        <v>20.364134806317814</v>
      </c>
    </row>
    <row r="31" spans="1:21" x14ac:dyDescent="0.2">
      <c r="A31" t="s">
        <v>599</v>
      </c>
      <c r="B31" t="s">
        <v>600</v>
      </c>
      <c r="C31" t="s">
        <v>601</v>
      </c>
      <c r="E31">
        <f>COS(PI()*24/180)*0.8</f>
        <v>0.73083636611408076</v>
      </c>
      <c r="F31">
        <f>SIN(PI()*24/180)*0.8</f>
        <v>0.32538931446064012</v>
      </c>
      <c r="G31">
        <f>8/25</f>
        <v>0.32</v>
      </c>
    </row>
    <row r="32" spans="1:21" x14ac:dyDescent="0.2">
      <c r="A32" t="s">
        <v>602</v>
      </c>
      <c r="B32" t="s">
        <v>603</v>
      </c>
      <c r="C32" t="s">
        <v>604</v>
      </c>
      <c r="E32">
        <f>COS(PI()*24/180)*1.451</f>
        <v>1.3255544590394139</v>
      </c>
      <c r="F32">
        <f>SIN(PI()*24/180)*1.451</f>
        <v>0.590174869102986</v>
      </c>
      <c r="G32">
        <f>10/17</f>
        <v>0.58823529411764708</v>
      </c>
      <c r="K32" t="s">
        <v>613</v>
      </c>
    </row>
    <row r="33" spans="1:12" x14ac:dyDescent="0.2">
      <c r="I33" t="s">
        <v>617</v>
      </c>
      <c r="J33" t="s">
        <v>618</v>
      </c>
      <c r="K33">
        <v>0.375</v>
      </c>
      <c r="L33" t="s">
        <v>614</v>
      </c>
    </row>
    <row r="34" spans="1:12" x14ac:dyDescent="0.2">
      <c r="I34">
        <f>0.1</f>
        <v>0.1</v>
      </c>
      <c r="J34">
        <f>SQRT(MAX(0.88*0.88-I34*I34,0))</f>
        <v>0.8742997197757757</v>
      </c>
      <c r="K34">
        <f>SQRT(11.055625/PI()/PI()*K33*K33+J34*J34)</f>
        <v>0.96016861392082109</v>
      </c>
      <c r="L34">
        <f>ATAN(K34/J34)*180/PI()</f>
        <v>47.679979039624904</v>
      </c>
    </row>
    <row r="36" spans="1:12" x14ac:dyDescent="0.2">
      <c r="G36">
        <f>COS(22*PI()/180)*109/6.6</f>
        <v>15.312581840572703</v>
      </c>
      <c r="H36">
        <f>56.4/67</f>
        <v>0.84179104477611943</v>
      </c>
      <c r="K36" t="s">
        <v>613</v>
      </c>
    </row>
    <row r="37" spans="1:12" x14ac:dyDescent="0.2">
      <c r="F37">
        <f>19/24</f>
        <v>0.79166666666666663</v>
      </c>
      <c r="I37" t="s">
        <v>617</v>
      </c>
      <c r="J37" t="s">
        <v>615</v>
      </c>
      <c r="K37">
        <v>0.375</v>
      </c>
      <c r="L37" t="s">
        <v>614</v>
      </c>
    </row>
    <row r="38" spans="1:12" x14ac:dyDescent="0.2">
      <c r="A38" t="s">
        <v>619</v>
      </c>
      <c r="I38">
        <v>0</v>
      </c>
      <c r="J38">
        <f>1.1-0.12856650352478</f>
        <v>0.97143349647522004</v>
      </c>
      <c r="K38">
        <f>SQRT(K37*K37+I38*I38)</f>
        <v>0.375</v>
      </c>
      <c r="L38">
        <f>ATAN(K38/J38)*180/PI()</f>
        <v>21.107957327406918</v>
      </c>
    </row>
    <row r="39" spans="1:12" x14ac:dyDescent="0.2">
      <c r="A39" t="s">
        <v>656</v>
      </c>
    </row>
    <row r="40" spans="1:12" x14ac:dyDescent="0.2">
      <c r="A40" t="s">
        <v>663</v>
      </c>
      <c r="G40">
        <f>ACOS(0.97029572725296)*180/PI()</f>
        <v>13.999999768619997</v>
      </c>
      <c r="H40">
        <f>5.5*SIN(G40*PI()/180)</f>
        <v>1.330570404247045</v>
      </c>
      <c r="I40">
        <f>5.5*COS(G40*PI()/180)+0.795</f>
        <v>6.1316264998912802</v>
      </c>
    </row>
    <row r="41" spans="1:12" x14ac:dyDescent="0.2">
      <c r="A41">
        <f>0.12856650352478+COS(PI()*24/180)*0.88</f>
        <v>0.93248650625026874</v>
      </c>
      <c r="B41">
        <f>9/13</f>
        <v>0.69230769230769229</v>
      </c>
      <c r="G41">
        <f>TAN(G40*PI()/180)*(1.191035-0.795)</f>
        <v>9.874261390725278E-2</v>
      </c>
    </row>
    <row r="42" spans="1:12" x14ac:dyDescent="0.2">
      <c r="A42">
        <f>SQRT(0.88*0.88 - 5*5/14/14)</f>
        <v>0.8042692208407809</v>
      </c>
    </row>
    <row r="43" spans="1:12" x14ac:dyDescent="0.2">
      <c r="A43">
        <f>0.12856650352478+A42</f>
        <v>0.93283572436556095</v>
      </c>
      <c r="B43">
        <f>14/15</f>
        <v>0.93333333333333335</v>
      </c>
      <c r="D43">
        <f>0.795+10/14</f>
        <v>1.5092857142857143</v>
      </c>
    </row>
    <row r="44" spans="1:12" x14ac:dyDescent="0.2">
      <c r="A44">
        <f>0.12856650352478+0.88</f>
        <v>1.0085665035247799</v>
      </c>
    </row>
    <row r="46" spans="1:12" x14ac:dyDescent="0.2">
      <c r="B46">
        <v>0.16700000000000001</v>
      </c>
    </row>
  </sheetData>
  <mergeCells count="1">
    <mergeCell ref="G1:G7"/>
  </mergeCells>
  <phoneticPr fontId="1" type="noConversion"/>
  <pageMargins left="0.7" right="0.7" top="0.75" bottom="0.75" header="0.3" footer="0.3"/>
  <pageSetup paperSize="9"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U26" sqref="U26"/>
    </sheetView>
  </sheetViews>
  <sheetFormatPr defaultRowHeight="14.25" x14ac:dyDescent="0.2"/>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9"/>
  <sheetViews>
    <sheetView workbookViewId="0">
      <selection sqref="A1:XFD1048576"/>
    </sheetView>
  </sheetViews>
  <sheetFormatPr defaultRowHeight="14.25" x14ac:dyDescent="0.2"/>
  <cols>
    <col min="1" max="1" width="10.125" customWidth="1"/>
    <col min="3" max="4" width="10" customWidth="1"/>
    <col min="5" max="5" width="9.875" customWidth="1"/>
    <col min="6" max="6" width="10.625" customWidth="1"/>
    <col min="7" max="7" width="11.75" customWidth="1"/>
    <col min="8" max="8" width="10.625" customWidth="1"/>
    <col min="9" max="9" width="10.5" customWidth="1"/>
    <col min="10" max="10" width="11.5" customWidth="1"/>
    <col min="11" max="11" width="11.125" customWidth="1"/>
    <col min="12" max="12" width="10.25" customWidth="1"/>
    <col min="13" max="13" width="10.5" customWidth="1"/>
    <col min="14" max="14" width="10.125" customWidth="1"/>
    <col min="15" max="15" width="9.75" customWidth="1"/>
  </cols>
  <sheetData>
    <row r="1" spans="1:26" ht="17.25" customHeight="1" x14ac:dyDescent="0.2">
      <c r="B1" t="s">
        <v>28</v>
      </c>
      <c r="C1" t="s">
        <v>30</v>
      </c>
      <c r="D1" t="s">
        <v>4</v>
      </c>
      <c r="E1" t="s">
        <v>5</v>
      </c>
      <c r="F1" t="s">
        <v>6</v>
      </c>
      <c r="G1" t="s">
        <v>7</v>
      </c>
      <c r="H1" t="s">
        <v>8</v>
      </c>
      <c r="I1" t="s">
        <v>9</v>
      </c>
      <c r="J1" t="s">
        <v>10</v>
      </c>
      <c r="K1" t="s">
        <v>11</v>
      </c>
      <c r="L1" t="s">
        <v>12</v>
      </c>
      <c r="M1" t="s">
        <v>29</v>
      </c>
      <c r="O1" t="s">
        <v>31</v>
      </c>
    </row>
    <row r="2" spans="1:26" x14ac:dyDescent="0.2">
      <c r="A2" t="s">
        <v>29</v>
      </c>
      <c r="B2">
        <f>MOD(2*O2/B18,1)</f>
        <v>0.04</v>
      </c>
      <c r="C2">
        <f t="shared" ref="C2:M11" si="0">MOD(2*P2/C18,1)</f>
        <v>0.05</v>
      </c>
      <c r="D2">
        <f t="shared" si="0"/>
        <v>6.6666666666666666E-2</v>
      </c>
      <c r="E2">
        <f t="shared" si="0"/>
        <v>0.08</v>
      </c>
      <c r="F2">
        <f t="shared" si="0"/>
        <v>0.1</v>
      </c>
      <c r="G2">
        <f t="shared" si="0"/>
        <v>0.13333333333333333</v>
      </c>
      <c r="H2">
        <f t="shared" si="0"/>
        <v>0.2</v>
      </c>
      <c r="I2">
        <f t="shared" si="0"/>
        <v>0.25</v>
      </c>
      <c r="J2">
        <f t="shared" si="0"/>
        <v>0.4</v>
      </c>
      <c r="K2">
        <f t="shared" si="0"/>
        <v>0.5</v>
      </c>
      <c r="L2">
        <f t="shared" si="0"/>
        <v>0</v>
      </c>
      <c r="M2">
        <f t="shared" si="0"/>
        <v>0</v>
      </c>
      <c r="O2">
        <v>20</v>
      </c>
      <c r="P2">
        <v>20</v>
      </c>
      <c r="Q2">
        <v>20</v>
      </c>
      <c r="R2">
        <v>20</v>
      </c>
      <c r="S2">
        <v>20</v>
      </c>
      <c r="T2">
        <v>20</v>
      </c>
      <c r="U2">
        <v>20</v>
      </c>
      <c r="V2">
        <v>20</v>
      </c>
      <c r="W2">
        <v>20</v>
      </c>
      <c r="X2">
        <v>20</v>
      </c>
      <c r="Y2">
        <v>20</v>
      </c>
      <c r="Z2">
        <v>20</v>
      </c>
    </row>
    <row r="3" spans="1:26" x14ac:dyDescent="0.2">
      <c r="A3" t="s">
        <v>12</v>
      </c>
      <c r="B3">
        <f t="shared" ref="B3:C13" si="1">MOD(2*O3/B19,1)</f>
        <v>0.08</v>
      </c>
      <c r="C3">
        <f t="shared" si="0"/>
        <v>0.1</v>
      </c>
      <c r="D3">
        <f t="shared" si="0"/>
        <v>0.13333333333333333</v>
      </c>
      <c r="E3">
        <f t="shared" si="0"/>
        <v>0.16</v>
      </c>
      <c r="F3">
        <f t="shared" si="0"/>
        <v>0.2</v>
      </c>
      <c r="G3">
        <f t="shared" si="0"/>
        <v>0.26666666666666666</v>
      </c>
      <c r="H3">
        <f t="shared" si="0"/>
        <v>0.4</v>
      </c>
      <c r="I3">
        <f t="shared" si="0"/>
        <v>0.5</v>
      </c>
      <c r="J3">
        <f t="shared" si="0"/>
        <v>0.8</v>
      </c>
      <c r="K3">
        <f t="shared" si="0"/>
        <v>0</v>
      </c>
      <c r="L3">
        <f t="shared" si="0"/>
        <v>0</v>
      </c>
      <c r="O3">
        <v>40</v>
      </c>
      <c r="P3">
        <v>40</v>
      </c>
      <c r="Q3">
        <v>40</v>
      </c>
      <c r="R3">
        <v>40</v>
      </c>
      <c r="S3">
        <v>40</v>
      </c>
      <c r="T3">
        <v>40</v>
      </c>
      <c r="U3">
        <v>40</v>
      </c>
      <c r="V3">
        <v>40</v>
      </c>
      <c r="W3">
        <v>40</v>
      </c>
      <c r="X3">
        <v>40</v>
      </c>
      <c r="Y3">
        <v>40</v>
      </c>
      <c r="Z3">
        <v>40</v>
      </c>
    </row>
    <row r="4" spans="1:26" x14ac:dyDescent="0.2">
      <c r="A4" t="s">
        <v>11</v>
      </c>
      <c r="B4">
        <f t="shared" si="1"/>
        <v>0.16</v>
      </c>
      <c r="C4">
        <f t="shared" si="0"/>
        <v>0.2</v>
      </c>
      <c r="D4">
        <f t="shared" si="0"/>
        <v>0.26666666666666666</v>
      </c>
      <c r="E4">
        <f t="shared" si="0"/>
        <v>0.32</v>
      </c>
      <c r="F4">
        <f t="shared" si="0"/>
        <v>0.4</v>
      </c>
      <c r="G4">
        <f t="shared" si="0"/>
        <v>0.53333333333333333</v>
      </c>
      <c r="H4">
        <f t="shared" si="0"/>
        <v>0.8</v>
      </c>
      <c r="I4">
        <f t="shared" si="0"/>
        <v>0</v>
      </c>
      <c r="J4">
        <f t="shared" si="0"/>
        <v>0.60000000000000009</v>
      </c>
      <c r="K4">
        <f t="shared" si="0"/>
        <v>0</v>
      </c>
      <c r="O4">
        <v>80</v>
      </c>
      <c r="P4">
        <v>80</v>
      </c>
      <c r="Q4">
        <v>80</v>
      </c>
      <c r="R4">
        <v>80</v>
      </c>
      <c r="S4">
        <v>80</v>
      </c>
      <c r="T4">
        <v>80</v>
      </c>
      <c r="U4">
        <v>80</v>
      </c>
      <c r="V4">
        <v>80</v>
      </c>
      <c r="W4">
        <v>80</v>
      </c>
      <c r="X4">
        <v>80</v>
      </c>
      <c r="Y4">
        <v>80</v>
      </c>
      <c r="Z4">
        <v>80</v>
      </c>
    </row>
    <row r="5" spans="1:26" x14ac:dyDescent="0.2">
      <c r="A5" t="s">
        <v>10</v>
      </c>
      <c r="B5">
        <f t="shared" si="1"/>
        <v>0.2</v>
      </c>
      <c r="C5">
        <f t="shared" si="0"/>
        <v>0.25</v>
      </c>
      <c r="D5">
        <f t="shared" si="0"/>
        <v>0.33333333333333331</v>
      </c>
      <c r="E5">
        <f t="shared" si="0"/>
        <v>0.4</v>
      </c>
      <c r="F5">
        <f t="shared" si="0"/>
        <v>0.5</v>
      </c>
      <c r="G5">
        <f t="shared" si="0"/>
        <v>0.66666666666666663</v>
      </c>
      <c r="H5">
        <f t="shared" si="0"/>
        <v>0</v>
      </c>
      <c r="I5">
        <f t="shared" si="0"/>
        <v>0.25</v>
      </c>
      <c r="J5">
        <f t="shared" si="0"/>
        <v>0</v>
      </c>
      <c r="O5">
        <v>100</v>
      </c>
      <c r="P5">
        <v>100</v>
      </c>
      <c r="Q5">
        <v>100</v>
      </c>
      <c r="R5">
        <v>100</v>
      </c>
      <c r="S5">
        <v>100</v>
      </c>
      <c r="T5">
        <v>100</v>
      </c>
      <c r="U5">
        <v>100</v>
      </c>
      <c r="V5">
        <v>100</v>
      </c>
      <c r="W5">
        <v>100</v>
      </c>
      <c r="X5">
        <v>100</v>
      </c>
      <c r="Y5">
        <v>100</v>
      </c>
      <c r="Z5">
        <v>100</v>
      </c>
    </row>
    <row r="6" spans="1:26" x14ac:dyDescent="0.2">
      <c r="A6" t="s">
        <v>9</v>
      </c>
      <c r="B6">
        <f t="shared" si="1"/>
        <v>0.32</v>
      </c>
      <c r="C6">
        <f t="shared" si="0"/>
        <v>0.4</v>
      </c>
      <c r="D6">
        <f t="shared" si="0"/>
        <v>0.53333333333333333</v>
      </c>
      <c r="E6">
        <f t="shared" si="0"/>
        <v>0.64</v>
      </c>
      <c r="F6">
        <f t="shared" si="0"/>
        <v>0.8</v>
      </c>
      <c r="G6">
        <f t="shared" si="0"/>
        <v>6.6666666666666652E-2</v>
      </c>
      <c r="H6">
        <f t="shared" si="0"/>
        <v>0.60000000000000009</v>
      </c>
      <c r="I6">
        <f t="shared" si="0"/>
        <v>0</v>
      </c>
      <c r="O6">
        <v>160</v>
      </c>
      <c r="P6">
        <v>160</v>
      </c>
      <c r="Q6">
        <v>160</v>
      </c>
      <c r="R6">
        <v>160</v>
      </c>
      <c r="S6">
        <v>160</v>
      </c>
      <c r="T6">
        <v>160</v>
      </c>
      <c r="U6">
        <v>160</v>
      </c>
      <c r="V6">
        <v>160</v>
      </c>
      <c r="W6">
        <v>160</v>
      </c>
      <c r="X6">
        <v>160</v>
      </c>
      <c r="Y6">
        <v>160</v>
      </c>
      <c r="Z6">
        <v>160</v>
      </c>
    </row>
    <row r="7" spans="1:26" x14ac:dyDescent="0.2">
      <c r="A7" t="s">
        <v>8</v>
      </c>
      <c r="B7">
        <f t="shared" si="1"/>
        <v>0.4</v>
      </c>
      <c r="C7">
        <f t="shared" si="0"/>
        <v>0.5</v>
      </c>
      <c r="D7">
        <f t="shared" si="0"/>
        <v>0.66666666666666663</v>
      </c>
      <c r="E7">
        <f t="shared" si="0"/>
        <v>0.8</v>
      </c>
      <c r="F7">
        <f t="shared" si="0"/>
        <v>0</v>
      </c>
      <c r="G7">
        <f t="shared" si="0"/>
        <v>0.33333333333333326</v>
      </c>
      <c r="H7">
        <f t="shared" si="0"/>
        <v>0</v>
      </c>
      <c r="O7">
        <v>200</v>
      </c>
      <c r="P7">
        <v>200</v>
      </c>
      <c r="Q7">
        <v>200</v>
      </c>
      <c r="R7">
        <v>200</v>
      </c>
      <c r="S7">
        <v>200</v>
      </c>
      <c r="T7">
        <v>200</v>
      </c>
      <c r="U7">
        <v>200</v>
      </c>
      <c r="V7">
        <v>200</v>
      </c>
      <c r="W7">
        <v>200</v>
      </c>
      <c r="X7">
        <v>200</v>
      </c>
      <c r="Y7">
        <v>200</v>
      </c>
      <c r="Z7">
        <v>200</v>
      </c>
    </row>
    <row r="8" spans="1:26" x14ac:dyDescent="0.2">
      <c r="A8" t="s">
        <v>7</v>
      </c>
      <c r="B8">
        <f t="shared" si="1"/>
        <v>0.6</v>
      </c>
      <c r="C8">
        <f t="shared" si="0"/>
        <v>0.75</v>
      </c>
      <c r="D8">
        <f t="shared" si="0"/>
        <v>0</v>
      </c>
      <c r="E8">
        <f t="shared" si="0"/>
        <v>0.19999999999999996</v>
      </c>
      <c r="F8">
        <f t="shared" si="0"/>
        <v>0.5</v>
      </c>
      <c r="G8">
        <f t="shared" si="0"/>
        <v>0</v>
      </c>
      <c r="O8">
        <v>300</v>
      </c>
      <c r="P8">
        <v>300</v>
      </c>
      <c r="Q8">
        <v>300</v>
      </c>
      <c r="R8">
        <v>300</v>
      </c>
      <c r="S8">
        <v>300</v>
      </c>
      <c r="T8">
        <v>300</v>
      </c>
      <c r="U8">
        <v>300</v>
      </c>
      <c r="V8">
        <v>300</v>
      </c>
      <c r="W8">
        <v>300</v>
      </c>
      <c r="X8">
        <v>300</v>
      </c>
      <c r="Y8">
        <v>300</v>
      </c>
      <c r="Z8">
        <v>300</v>
      </c>
    </row>
    <row r="9" spans="1:26" x14ac:dyDescent="0.2">
      <c r="A9" t="s">
        <v>6</v>
      </c>
      <c r="B9">
        <f t="shared" si="1"/>
        <v>0.8</v>
      </c>
      <c r="C9">
        <f t="shared" si="0"/>
        <v>0</v>
      </c>
      <c r="D9">
        <f t="shared" si="0"/>
        <v>0.33333333333333326</v>
      </c>
      <c r="E9">
        <f t="shared" si="0"/>
        <v>0.60000000000000009</v>
      </c>
      <c r="F9">
        <f t="shared" si="0"/>
        <v>0</v>
      </c>
      <c r="O9">
        <v>400</v>
      </c>
      <c r="P9">
        <v>400</v>
      </c>
      <c r="Q9">
        <v>400</v>
      </c>
      <c r="R9">
        <v>400</v>
      </c>
      <c r="S9">
        <v>400</v>
      </c>
      <c r="T9">
        <v>400</v>
      </c>
      <c r="U9">
        <v>400</v>
      </c>
      <c r="V9">
        <v>400</v>
      </c>
      <c r="W9">
        <v>400</v>
      </c>
      <c r="X9">
        <v>400</v>
      </c>
      <c r="Y9">
        <v>400</v>
      </c>
      <c r="Z9">
        <v>400</v>
      </c>
    </row>
    <row r="10" spans="1:26" x14ac:dyDescent="0.2">
      <c r="A10" t="s">
        <v>5</v>
      </c>
      <c r="B10">
        <f t="shared" si="1"/>
        <v>0</v>
      </c>
      <c r="C10">
        <f t="shared" si="0"/>
        <v>0.25</v>
      </c>
      <c r="D10">
        <f t="shared" si="0"/>
        <v>0.66666666666666674</v>
      </c>
      <c r="E10">
        <f t="shared" si="0"/>
        <v>0</v>
      </c>
      <c r="O10">
        <v>500</v>
      </c>
      <c r="P10">
        <v>500</v>
      </c>
      <c r="Q10">
        <v>500</v>
      </c>
      <c r="R10">
        <v>500</v>
      </c>
      <c r="S10">
        <v>500</v>
      </c>
      <c r="T10">
        <v>500</v>
      </c>
      <c r="U10">
        <v>500</v>
      </c>
      <c r="V10">
        <v>500</v>
      </c>
      <c r="W10">
        <v>500</v>
      </c>
      <c r="X10">
        <v>500</v>
      </c>
      <c r="Y10">
        <v>500</v>
      </c>
      <c r="Z10">
        <v>500</v>
      </c>
    </row>
    <row r="11" spans="1:26" x14ac:dyDescent="0.2">
      <c r="A11" t="s">
        <v>4</v>
      </c>
      <c r="B11">
        <f t="shared" si="1"/>
        <v>0.19999999999999996</v>
      </c>
      <c r="C11">
        <f t="shared" si="0"/>
        <v>0.5</v>
      </c>
      <c r="D11">
        <f t="shared" si="0"/>
        <v>0</v>
      </c>
      <c r="O11">
        <v>600</v>
      </c>
      <c r="P11">
        <v>600</v>
      </c>
      <c r="Q11">
        <v>600</v>
      </c>
      <c r="R11">
        <v>600</v>
      </c>
      <c r="S11">
        <v>600</v>
      </c>
      <c r="T11">
        <v>600</v>
      </c>
      <c r="U11">
        <v>600</v>
      </c>
      <c r="V11">
        <v>600</v>
      </c>
      <c r="W11">
        <v>600</v>
      </c>
      <c r="X11">
        <v>600</v>
      </c>
      <c r="Y11">
        <v>600</v>
      </c>
      <c r="Z11">
        <v>600</v>
      </c>
    </row>
    <row r="12" spans="1:26" x14ac:dyDescent="0.2">
      <c r="A12" t="s">
        <v>30</v>
      </c>
      <c r="B12">
        <f t="shared" si="1"/>
        <v>0.60000000000000009</v>
      </c>
      <c r="C12">
        <f t="shared" si="1"/>
        <v>0</v>
      </c>
      <c r="O12">
        <v>800</v>
      </c>
      <c r="P12">
        <v>800</v>
      </c>
      <c r="Q12">
        <v>800</v>
      </c>
      <c r="R12">
        <v>800</v>
      </c>
      <c r="S12">
        <v>800</v>
      </c>
      <c r="T12">
        <v>800</v>
      </c>
      <c r="U12">
        <v>800</v>
      </c>
      <c r="V12">
        <v>800</v>
      </c>
      <c r="W12">
        <v>800</v>
      </c>
      <c r="X12">
        <v>800</v>
      </c>
      <c r="Y12">
        <v>800</v>
      </c>
      <c r="Z12">
        <v>800</v>
      </c>
    </row>
    <row r="13" spans="1:26" x14ac:dyDescent="0.2">
      <c r="A13" t="s">
        <v>28</v>
      </c>
      <c r="B13">
        <f t="shared" si="1"/>
        <v>0</v>
      </c>
      <c r="O13">
        <v>1000</v>
      </c>
      <c r="P13">
        <v>1000</v>
      </c>
      <c r="Q13">
        <v>1000</v>
      </c>
      <c r="R13">
        <v>1000</v>
      </c>
      <c r="S13">
        <v>1000</v>
      </c>
      <c r="T13">
        <v>1000</v>
      </c>
      <c r="U13">
        <v>1000</v>
      </c>
      <c r="V13">
        <v>1000</v>
      </c>
      <c r="W13">
        <v>1000</v>
      </c>
      <c r="X13">
        <v>1000</v>
      </c>
      <c r="Y13">
        <v>1000</v>
      </c>
      <c r="Z13">
        <v>1000</v>
      </c>
    </row>
    <row r="15" spans="1:26" x14ac:dyDescent="0.2">
      <c r="A15" t="s">
        <v>31</v>
      </c>
      <c r="B15">
        <v>1000</v>
      </c>
      <c r="C15">
        <v>800</v>
      </c>
      <c r="D15">
        <v>600</v>
      </c>
      <c r="E15">
        <v>500</v>
      </c>
      <c r="F15">
        <v>400</v>
      </c>
      <c r="G15">
        <v>300</v>
      </c>
      <c r="H15">
        <v>200</v>
      </c>
      <c r="I15">
        <v>160</v>
      </c>
      <c r="J15">
        <v>100</v>
      </c>
      <c r="K15">
        <v>80</v>
      </c>
      <c r="L15">
        <v>40</v>
      </c>
      <c r="M15">
        <v>20</v>
      </c>
    </row>
    <row r="16" spans="1:26" x14ac:dyDescent="0.2">
      <c r="B16">
        <v>1000</v>
      </c>
      <c r="C16">
        <v>800</v>
      </c>
      <c r="D16">
        <v>600</v>
      </c>
      <c r="E16">
        <v>500</v>
      </c>
      <c r="F16">
        <v>400</v>
      </c>
      <c r="G16">
        <v>300</v>
      </c>
      <c r="H16">
        <v>200</v>
      </c>
      <c r="I16">
        <v>160</v>
      </c>
      <c r="J16">
        <v>100</v>
      </c>
      <c r="K16">
        <v>80</v>
      </c>
      <c r="L16">
        <v>40</v>
      </c>
      <c r="M16">
        <v>20</v>
      </c>
    </row>
    <row r="17" spans="2:13" x14ac:dyDescent="0.2">
      <c r="B17">
        <v>1000</v>
      </c>
      <c r="C17">
        <v>800</v>
      </c>
      <c r="D17">
        <v>600</v>
      </c>
      <c r="E17">
        <v>500</v>
      </c>
      <c r="F17">
        <v>400</v>
      </c>
      <c r="G17">
        <v>300</v>
      </c>
      <c r="H17">
        <v>200</v>
      </c>
      <c r="I17">
        <v>160</v>
      </c>
      <c r="J17">
        <v>100</v>
      </c>
      <c r="K17">
        <v>80</v>
      </c>
      <c r="L17">
        <v>40</v>
      </c>
      <c r="M17">
        <v>20</v>
      </c>
    </row>
    <row r="18" spans="2:13" x14ac:dyDescent="0.2">
      <c r="B18">
        <v>1000</v>
      </c>
      <c r="C18">
        <v>800</v>
      </c>
      <c r="D18">
        <v>600</v>
      </c>
      <c r="E18">
        <v>500</v>
      </c>
      <c r="F18">
        <v>400</v>
      </c>
      <c r="G18">
        <v>300</v>
      </c>
      <c r="H18">
        <v>200</v>
      </c>
      <c r="I18">
        <v>160</v>
      </c>
      <c r="J18">
        <v>100</v>
      </c>
      <c r="K18">
        <v>80</v>
      </c>
      <c r="L18">
        <v>40</v>
      </c>
      <c r="M18">
        <v>20</v>
      </c>
    </row>
    <row r="19" spans="2:13" x14ac:dyDescent="0.2">
      <c r="B19">
        <v>1000</v>
      </c>
      <c r="C19">
        <v>800</v>
      </c>
      <c r="D19">
        <v>600</v>
      </c>
      <c r="E19">
        <v>500</v>
      </c>
      <c r="F19">
        <v>400</v>
      </c>
      <c r="G19">
        <v>300</v>
      </c>
      <c r="H19">
        <v>200</v>
      </c>
      <c r="I19">
        <v>160</v>
      </c>
      <c r="J19">
        <v>100</v>
      </c>
      <c r="K19">
        <v>80</v>
      </c>
      <c r="L19">
        <v>40</v>
      </c>
      <c r="M19">
        <v>20</v>
      </c>
    </row>
    <row r="20" spans="2:13" x14ac:dyDescent="0.2">
      <c r="B20">
        <v>1000</v>
      </c>
      <c r="C20">
        <v>800</v>
      </c>
      <c r="D20">
        <v>600</v>
      </c>
      <c r="E20">
        <v>500</v>
      </c>
      <c r="F20">
        <v>400</v>
      </c>
      <c r="G20">
        <v>300</v>
      </c>
      <c r="H20">
        <v>200</v>
      </c>
      <c r="I20">
        <v>160</v>
      </c>
      <c r="J20">
        <v>100</v>
      </c>
      <c r="K20">
        <v>80</v>
      </c>
      <c r="L20">
        <v>40</v>
      </c>
      <c r="M20">
        <v>20</v>
      </c>
    </row>
    <row r="21" spans="2:13" x14ac:dyDescent="0.2">
      <c r="B21">
        <v>1000</v>
      </c>
      <c r="C21">
        <v>800</v>
      </c>
      <c r="D21">
        <v>600</v>
      </c>
      <c r="E21">
        <v>500</v>
      </c>
      <c r="F21">
        <v>400</v>
      </c>
      <c r="G21">
        <v>300</v>
      </c>
      <c r="H21">
        <v>200</v>
      </c>
      <c r="I21">
        <v>160</v>
      </c>
      <c r="J21">
        <v>100</v>
      </c>
      <c r="K21">
        <v>80</v>
      </c>
      <c r="L21">
        <v>40</v>
      </c>
      <c r="M21">
        <v>20</v>
      </c>
    </row>
    <row r="22" spans="2:13" x14ac:dyDescent="0.2">
      <c r="B22">
        <v>1000</v>
      </c>
      <c r="C22">
        <v>800</v>
      </c>
      <c r="D22">
        <v>600</v>
      </c>
      <c r="E22">
        <v>500</v>
      </c>
      <c r="F22">
        <v>400</v>
      </c>
      <c r="G22">
        <v>300</v>
      </c>
      <c r="H22">
        <v>200</v>
      </c>
      <c r="I22">
        <v>160</v>
      </c>
      <c r="J22">
        <v>100</v>
      </c>
      <c r="K22">
        <v>80</v>
      </c>
      <c r="L22">
        <v>40</v>
      </c>
      <c r="M22">
        <v>20</v>
      </c>
    </row>
    <row r="23" spans="2:13" x14ac:dyDescent="0.2">
      <c r="B23">
        <v>1000</v>
      </c>
      <c r="C23">
        <v>800</v>
      </c>
      <c r="D23">
        <v>600</v>
      </c>
      <c r="E23">
        <v>500</v>
      </c>
      <c r="F23">
        <v>400</v>
      </c>
      <c r="G23">
        <v>300</v>
      </c>
      <c r="H23">
        <v>200</v>
      </c>
      <c r="I23">
        <v>160</v>
      </c>
      <c r="J23">
        <v>100</v>
      </c>
      <c r="K23">
        <v>80</v>
      </c>
      <c r="L23">
        <v>40</v>
      </c>
      <c r="M23">
        <v>20</v>
      </c>
    </row>
    <row r="24" spans="2:13" x14ac:dyDescent="0.2">
      <c r="B24">
        <v>1000</v>
      </c>
      <c r="C24">
        <v>800</v>
      </c>
      <c r="D24">
        <v>600</v>
      </c>
      <c r="E24">
        <v>500</v>
      </c>
      <c r="F24">
        <v>400</v>
      </c>
      <c r="G24">
        <v>300</v>
      </c>
      <c r="H24">
        <v>200</v>
      </c>
      <c r="I24">
        <v>160</v>
      </c>
      <c r="J24">
        <v>100</v>
      </c>
      <c r="K24">
        <v>80</v>
      </c>
      <c r="L24">
        <v>40</v>
      </c>
      <c r="M24">
        <v>20</v>
      </c>
    </row>
    <row r="25" spans="2:13" x14ac:dyDescent="0.2">
      <c r="B25">
        <v>1000</v>
      </c>
      <c r="C25">
        <v>800</v>
      </c>
      <c r="D25">
        <v>600</v>
      </c>
      <c r="E25">
        <v>500</v>
      </c>
      <c r="F25">
        <v>400</v>
      </c>
      <c r="G25">
        <v>300</v>
      </c>
      <c r="H25">
        <v>200</v>
      </c>
      <c r="I25">
        <v>160</v>
      </c>
      <c r="J25">
        <v>100</v>
      </c>
      <c r="K25">
        <v>80</v>
      </c>
      <c r="L25">
        <v>40</v>
      </c>
      <c r="M25">
        <v>20</v>
      </c>
    </row>
    <row r="26" spans="2:13" x14ac:dyDescent="0.2">
      <c r="B26">
        <v>1000</v>
      </c>
      <c r="C26">
        <v>800</v>
      </c>
      <c r="D26">
        <v>600</v>
      </c>
      <c r="E26">
        <v>500</v>
      </c>
      <c r="F26">
        <v>400</v>
      </c>
      <c r="G26">
        <v>300</v>
      </c>
      <c r="H26">
        <v>200</v>
      </c>
      <c r="I26">
        <v>160</v>
      </c>
      <c r="J26">
        <v>100</v>
      </c>
      <c r="K26">
        <v>80</v>
      </c>
      <c r="L26">
        <v>40</v>
      </c>
      <c r="M26">
        <v>20</v>
      </c>
    </row>
    <row r="27" spans="2:13" x14ac:dyDescent="0.2">
      <c r="B27">
        <v>1000</v>
      </c>
      <c r="C27">
        <v>800</v>
      </c>
      <c r="D27">
        <v>600</v>
      </c>
      <c r="E27">
        <v>500</v>
      </c>
      <c r="F27">
        <v>400</v>
      </c>
      <c r="G27">
        <v>300</v>
      </c>
      <c r="H27">
        <v>200</v>
      </c>
      <c r="I27">
        <v>160</v>
      </c>
      <c r="J27">
        <v>100</v>
      </c>
      <c r="K27">
        <v>80</v>
      </c>
      <c r="L27">
        <v>40</v>
      </c>
      <c r="M27">
        <v>20</v>
      </c>
    </row>
    <row r="28" spans="2:13" x14ac:dyDescent="0.2">
      <c r="B28">
        <v>1000</v>
      </c>
      <c r="C28">
        <v>800</v>
      </c>
      <c r="D28">
        <v>600</v>
      </c>
      <c r="E28">
        <v>500</v>
      </c>
      <c r="F28">
        <v>400</v>
      </c>
      <c r="G28">
        <v>300</v>
      </c>
      <c r="H28">
        <v>200</v>
      </c>
      <c r="I28">
        <v>160</v>
      </c>
      <c r="J28">
        <v>100</v>
      </c>
      <c r="K28">
        <v>80</v>
      </c>
      <c r="L28">
        <v>40</v>
      </c>
      <c r="M28">
        <v>20</v>
      </c>
    </row>
    <row r="29" spans="2:13" x14ac:dyDescent="0.2">
      <c r="B29">
        <v>1000</v>
      </c>
      <c r="C29">
        <v>800</v>
      </c>
      <c r="D29">
        <v>600</v>
      </c>
      <c r="E29">
        <v>500</v>
      </c>
      <c r="F29">
        <v>400</v>
      </c>
      <c r="G29">
        <v>300</v>
      </c>
      <c r="H29">
        <v>200</v>
      </c>
      <c r="I29">
        <v>160</v>
      </c>
      <c r="J29">
        <v>100</v>
      </c>
      <c r="K29">
        <v>80</v>
      </c>
      <c r="L29">
        <v>40</v>
      </c>
      <c r="M29">
        <v>20</v>
      </c>
    </row>
  </sheetData>
  <phoneticPr fontId="1" type="noConversion"/>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6"/>
  <sheetViews>
    <sheetView topLeftCell="A4" zoomScale="85" zoomScaleNormal="85" workbookViewId="0">
      <selection activeCell="C39" sqref="C39"/>
    </sheetView>
  </sheetViews>
  <sheetFormatPr defaultRowHeight="14.25" x14ac:dyDescent="0.2"/>
  <cols>
    <col min="1" max="1" width="21.125" customWidth="1"/>
    <col min="2" max="2" width="47.875" customWidth="1"/>
    <col min="3" max="3" width="22.625" customWidth="1"/>
    <col min="4" max="4" width="21.875" customWidth="1"/>
    <col min="5" max="5" width="25.375" customWidth="1"/>
    <col min="6" max="6" width="19" customWidth="1"/>
    <col min="7" max="7" width="21.25" customWidth="1"/>
    <col min="8" max="8" width="24" customWidth="1"/>
    <col min="9" max="9" width="21.75" customWidth="1"/>
    <col min="10" max="10" width="15.375" customWidth="1"/>
    <col min="11" max="11" width="11.125" customWidth="1"/>
    <col min="12" max="12" width="10.75" customWidth="1"/>
    <col min="13" max="13" width="11.125" customWidth="1"/>
    <col min="14" max="14" width="11.25" customWidth="1"/>
    <col min="15" max="15" width="11.5" customWidth="1"/>
    <col min="16" max="16" width="10.625" customWidth="1"/>
    <col min="19" max="19" width="10.625" customWidth="1"/>
    <col min="20" max="20" width="10.5" customWidth="1"/>
    <col min="21" max="21" width="9.875" customWidth="1"/>
  </cols>
  <sheetData>
    <row r="1" spans="1:21" x14ac:dyDescent="0.2">
      <c r="A1" t="s">
        <v>96</v>
      </c>
      <c r="B1" t="s">
        <v>93</v>
      </c>
      <c r="C1" t="s">
        <v>95</v>
      </c>
      <c r="D1" t="s">
        <v>97</v>
      </c>
      <c r="E1" t="s">
        <v>99</v>
      </c>
      <c r="F1" t="s">
        <v>98</v>
      </c>
      <c r="G1" t="s">
        <v>100</v>
      </c>
      <c r="H1" t="s">
        <v>247</v>
      </c>
    </row>
    <row r="2" spans="1:21" x14ac:dyDescent="0.2">
      <c r="A2" t="s">
        <v>94</v>
      </c>
      <c r="B2">
        <v>1.5</v>
      </c>
      <c r="C2">
        <v>2</v>
      </c>
      <c r="D2">
        <v>2</v>
      </c>
      <c r="E2">
        <v>1</v>
      </c>
      <c r="F2">
        <v>1</v>
      </c>
      <c r="G2">
        <v>15</v>
      </c>
      <c r="H2">
        <f>2.283152383</f>
        <v>2.283152383</v>
      </c>
    </row>
    <row r="3" spans="1:21" x14ac:dyDescent="0.2">
      <c r="A3" t="s">
        <v>127</v>
      </c>
      <c r="B3">
        <v>1.08</v>
      </c>
      <c r="C3">
        <v>1.44</v>
      </c>
      <c r="D3">
        <v>2.16</v>
      </c>
      <c r="E3">
        <v>0.96</v>
      </c>
      <c r="F3">
        <v>12</v>
      </c>
      <c r="G3">
        <f>0.48*G2</f>
        <v>7.1999999999999993</v>
      </c>
      <c r="H3">
        <v>9.7336385300000003</v>
      </c>
    </row>
    <row r="5" spans="1:21" x14ac:dyDescent="0.2">
      <c r="A5" t="s">
        <v>128</v>
      </c>
      <c r="B5" t="s">
        <v>101</v>
      </c>
      <c r="C5" t="s">
        <v>102</v>
      </c>
      <c r="D5" t="s">
        <v>103</v>
      </c>
      <c r="E5" t="s">
        <v>105</v>
      </c>
      <c r="F5" t="s">
        <v>104</v>
      </c>
      <c r="G5" t="s">
        <v>153</v>
      </c>
      <c r="H5" t="s">
        <v>109</v>
      </c>
      <c r="I5" t="s">
        <v>110</v>
      </c>
      <c r="J5" t="s">
        <v>106</v>
      </c>
      <c r="K5" t="s">
        <v>107</v>
      </c>
      <c r="L5" t="s">
        <v>108</v>
      </c>
      <c r="M5" t="s">
        <v>111</v>
      </c>
      <c r="N5" t="s">
        <v>112</v>
      </c>
      <c r="O5" t="s">
        <v>236</v>
      </c>
      <c r="P5" t="s">
        <v>235</v>
      </c>
      <c r="Q5" t="s">
        <v>237</v>
      </c>
      <c r="R5" t="s">
        <v>122</v>
      </c>
      <c r="S5" t="s">
        <v>123</v>
      </c>
      <c r="T5" t="s">
        <v>202</v>
      </c>
      <c r="U5" t="s">
        <v>227</v>
      </c>
    </row>
    <row r="6" spans="1:21" x14ac:dyDescent="0.2">
      <c r="A6" t="s">
        <v>667</v>
      </c>
      <c r="B6">
        <v>6.96</v>
      </c>
      <c r="C6">
        <v>8.16</v>
      </c>
      <c r="D6">
        <v>10.88</v>
      </c>
      <c r="E6">
        <v>10.88</v>
      </c>
      <c r="F6">
        <v>10.88</v>
      </c>
      <c r="G6">
        <v>11.52</v>
      </c>
      <c r="H6">
        <f>6.5972906*3.775</f>
        <v>24.904772014999999</v>
      </c>
      <c r="I6">
        <f>6.5972906*3.775</f>
        <v>24.904772014999999</v>
      </c>
      <c r="J6">
        <f>4.7*9.35815</f>
        <v>43.983305000000001</v>
      </c>
      <c r="K6">
        <f>4.7*9.35815</f>
        <v>43.983305000000001</v>
      </c>
      <c r="L6">
        <f>4.7*9.35815</f>
        <v>43.983305000000001</v>
      </c>
      <c r="M6">
        <f>6.2555*2.8</f>
        <v>17.515399999999996</v>
      </c>
      <c r="N6">
        <f>6.2555*2.8</f>
        <v>17.515399999999996</v>
      </c>
      <c r="O6">
        <f>4.5*(4.5+5.2)/2</f>
        <v>21.824999999999999</v>
      </c>
      <c r="P6">
        <f>4.5*(4.5+5.2)/2</f>
        <v>21.824999999999999</v>
      </c>
      <c r="Q6">
        <f>4.5*(4.5+5.2)/2</f>
        <v>21.824999999999999</v>
      </c>
      <c r="R6">
        <v>48.96</v>
      </c>
      <c r="S6">
        <v>54.824300000000001</v>
      </c>
      <c r="T6">
        <v>16.670000000000002</v>
      </c>
      <c r="U6">
        <v>10.5</v>
      </c>
    </row>
    <row r="7" spans="1:21" x14ac:dyDescent="0.2">
      <c r="B7">
        <f>2*C3/B6</f>
        <v>0.41379310344827586</v>
      </c>
      <c r="C7">
        <f>2*C3/C6</f>
        <v>0.3529411764705882</v>
      </c>
      <c r="D7">
        <f>2*$B$3/D6</f>
        <v>0.19852941176470587</v>
      </c>
      <c r="E7">
        <f t="shared" ref="E7:G7" si="0">2*$B$3/E6</f>
        <v>0.19852941176470587</v>
      </c>
      <c r="F7">
        <f t="shared" si="0"/>
        <v>0.19852941176470587</v>
      </c>
      <c r="G7">
        <f t="shared" si="0"/>
        <v>0.18750000000000003</v>
      </c>
      <c r="H7">
        <f>2*$D$3/H6</f>
        <v>0.17346073264184428</v>
      </c>
      <c r="I7">
        <f>2*$D$3/I6</f>
        <v>0.17346073264184428</v>
      </c>
      <c r="J7">
        <f>2*$F$3/J6</f>
        <v>0.54566158682254551</v>
      </c>
      <c r="K7">
        <f t="shared" ref="K7:L7" si="1">2*$F$3/K6</f>
        <v>0.54566158682254551</v>
      </c>
      <c r="L7">
        <f t="shared" si="1"/>
        <v>0.54566158682254551</v>
      </c>
      <c r="M7">
        <f>2*$E$3/M6</f>
        <v>0.10961782203089854</v>
      </c>
      <c r="N7">
        <f>2*$E$3/N6</f>
        <v>0.10961782203089854</v>
      </c>
      <c r="O7">
        <f>2*$H$3/O6</f>
        <v>0.89197145750286377</v>
      </c>
      <c r="P7">
        <f t="shared" ref="P7:Q7" si="2">2*$H$3/P6</f>
        <v>0.89197145750286377</v>
      </c>
      <c r="Q7">
        <f t="shared" si="2"/>
        <v>0.89197145750286377</v>
      </c>
    </row>
    <row r="8" spans="1:21" x14ac:dyDescent="0.2">
      <c r="A8" t="s">
        <v>114</v>
      </c>
      <c r="B8" t="s">
        <v>226</v>
      </c>
      <c r="C8" t="s">
        <v>224</v>
      </c>
      <c r="D8" t="s">
        <v>225</v>
      </c>
      <c r="E8" t="s">
        <v>228</v>
      </c>
    </row>
    <row r="9" spans="1:21" x14ac:dyDescent="0.2">
      <c r="A9" t="s">
        <v>115</v>
      </c>
      <c r="B9">
        <v>0.34</v>
      </c>
      <c r="C9">
        <f>(F92+F89/74+50*R6)/7200</f>
        <v>0.38190329082608737</v>
      </c>
      <c r="D9">
        <f>50*R6/7200</f>
        <v>0.34</v>
      </c>
      <c r="E9">
        <v>0.34</v>
      </c>
    </row>
    <row r="10" spans="1:21" x14ac:dyDescent="0.2">
      <c r="A10" t="s">
        <v>124</v>
      </c>
      <c r="C10">
        <f>(F92+100*R6)/7200</f>
        <v>0.72183136782407409</v>
      </c>
      <c r="D10">
        <f>100*R6/7200</f>
        <v>0.68</v>
      </c>
      <c r="E10">
        <f>50*R6/7200+E9</f>
        <v>0.68</v>
      </c>
    </row>
    <row r="15" spans="1:21" x14ac:dyDescent="0.2">
      <c r="A15" t="s">
        <v>125</v>
      </c>
      <c r="B15" t="s">
        <v>223</v>
      </c>
      <c r="C15" t="s">
        <v>116</v>
      </c>
      <c r="D15" t="s">
        <v>113</v>
      </c>
      <c r="E15" t="s">
        <v>239</v>
      </c>
    </row>
    <row r="16" spans="1:21" ht="14.25" customHeight="1" x14ac:dyDescent="0.2">
      <c r="A16" t="s">
        <v>48</v>
      </c>
      <c r="B16">
        <v>0</v>
      </c>
      <c r="C16">
        <f>F89/74</f>
        <v>0.51784561449549549</v>
      </c>
      <c r="D16">
        <v>0.67462599999999995</v>
      </c>
      <c r="E16">
        <v>0</v>
      </c>
    </row>
    <row r="17" spans="1:11" ht="15" customHeight="1" x14ac:dyDescent="0.2"/>
    <row r="18" spans="1:11" x14ac:dyDescent="0.2">
      <c r="A18" t="s">
        <v>134</v>
      </c>
      <c r="B18" t="s">
        <v>136</v>
      </c>
      <c r="C18" t="s">
        <v>137</v>
      </c>
      <c r="D18" t="s">
        <v>174</v>
      </c>
      <c r="E18" t="s">
        <v>230</v>
      </c>
      <c r="F18" t="s">
        <v>231</v>
      </c>
      <c r="G18" t="s">
        <v>465</v>
      </c>
    </row>
    <row r="19" spans="1:11" x14ac:dyDescent="0.2">
      <c r="A19" t="s">
        <v>135</v>
      </c>
      <c r="B19" t="s">
        <v>218</v>
      </c>
      <c r="C19">
        <v>0</v>
      </c>
      <c r="D19" t="s">
        <v>218</v>
      </c>
      <c r="E19" t="s">
        <v>218</v>
      </c>
      <c r="F19">
        <v>0</v>
      </c>
      <c r="G19" t="s">
        <v>466</v>
      </c>
    </row>
    <row r="20" spans="1:11" x14ac:dyDescent="0.2">
      <c r="A20" t="s">
        <v>219</v>
      </c>
      <c r="B20">
        <f>G67</f>
        <v>136.20905547266668</v>
      </c>
      <c r="C20">
        <f>G43</f>
        <v>8.7508119251977234</v>
      </c>
      <c r="D20">
        <f>G64</f>
        <v>57.107719340833327</v>
      </c>
      <c r="E20">
        <f>G69</f>
        <v>36.974666666666671</v>
      </c>
      <c r="F20">
        <f>10*S6</f>
        <v>548.24300000000005</v>
      </c>
      <c r="G20">
        <f>G75</f>
        <v>25.444175513124996</v>
      </c>
    </row>
    <row r="21" spans="1:11" x14ac:dyDescent="0.2">
      <c r="A21" t="s">
        <v>220</v>
      </c>
      <c r="B21">
        <f>G66</f>
        <v>19.82266666666667</v>
      </c>
      <c r="C21">
        <f>G44</f>
        <v>13.545826250000001</v>
      </c>
      <c r="D21">
        <f>G63</f>
        <v>29.101052674166667</v>
      </c>
      <c r="E21">
        <f>G70</f>
        <v>16.833333333333336</v>
      </c>
      <c r="F21">
        <f>G45</f>
        <v>138.10675184444446</v>
      </c>
      <c r="G21">
        <f>G41</f>
        <v>13.370386007499999</v>
      </c>
    </row>
    <row r="22" spans="1:11" x14ac:dyDescent="0.2">
      <c r="A22" t="s">
        <v>131</v>
      </c>
      <c r="B22">
        <f>B21</f>
        <v>19.82266666666667</v>
      </c>
      <c r="C22">
        <f>C19</f>
        <v>0</v>
      </c>
      <c r="D22">
        <f>D21</f>
        <v>29.101052674166667</v>
      </c>
      <c r="E22">
        <f>E21</f>
        <v>16.833333333333336</v>
      </c>
      <c r="F22">
        <f>F19</f>
        <v>0</v>
      </c>
      <c r="G22">
        <f>G21</f>
        <v>13.370386007499999</v>
      </c>
    </row>
    <row r="26" spans="1:11" ht="25.5" x14ac:dyDescent="0.2">
      <c r="A26" s="22" t="s">
        <v>126</v>
      </c>
      <c r="B26" s="22"/>
      <c r="C26" s="22"/>
      <c r="D26" s="22"/>
      <c r="E26" s="22"/>
      <c r="F26" s="22"/>
    </row>
    <row r="27" spans="1:11" x14ac:dyDescent="0.2">
      <c r="C27" s="23" t="s">
        <v>117</v>
      </c>
      <c r="D27" s="23"/>
      <c r="E27" s="23"/>
      <c r="F27" s="23"/>
      <c r="G27" s="23"/>
    </row>
    <row r="28" spans="1:11" x14ac:dyDescent="0.2">
      <c r="A28" t="s">
        <v>86</v>
      </c>
      <c r="B28" t="s">
        <v>91</v>
      </c>
      <c r="C28" t="s">
        <v>118</v>
      </c>
      <c r="D28" t="s">
        <v>119</v>
      </c>
      <c r="E28" t="s">
        <v>120</v>
      </c>
      <c r="F28" t="s">
        <v>121</v>
      </c>
      <c r="G28" t="s">
        <v>132</v>
      </c>
      <c r="H28" t="s">
        <v>133</v>
      </c>
      <c r="J28" t="s">
        <v>309</v>
      </c>
    </row>
    <row r="29" spans="1:11" ht="19.5" x14ac:dyDescent="0.2">
      <c r="A29" s="21" t="s">
        <v>130</v>
      </c>
      <c r="B29" s="21"/>
      <c r="C29" s="21"/>
      <c r="D29" s="21"/>
      <c r="E29" s="21"/>
      <c r="F29" s="21"/>
    </row>
    <row r="30" spans="1:11" x14ac:dyDescent="0.2">
      <c r="A30" t="s">
        <v>36</v>
      </c>
      <c r="B30" t="s">
        <v>37</v>
      </c>
      <c r="C30">
        <f>(B6+C3*B9)/C2</f>
        <v>3.7248000000000001</v>
      </c>
      <c r="D30">
        <f>((B6+C3*B9*2.5)/C2+B16)/1.25</f>
        <v>3.2736000000000005</v>
      </c>
      <c r="E30">
        <f>((B6+C3*B9*2.5)/C2+2*B16)/2</f>
        <v>2.0460000000000003</v>
      </c>
      <c r="F30">
        <f t="shared" ref="F30:F35" si="3">MIN(C30:E30)</f>
        <v>2.0460000000000003</v>
      </c>
      <c r="G30">
        <f t="shared" ref="G30:G35" si="4">F30</f>
        <v>2.0460000000000003</v>
      </c>
      <c r="H30" t="str">
        <f t="shared" ref="H30:H37" si="5">IF(C30=G30,"不使用增产剂","")&amp;IF(D30=G30,"增产","")&amp;IF(E30=G30,"加速","")</f>
        <v>加速</v>
      </c>
      <c r="I30" t="s">
        <v>36</v>
      </c>
      <c r="J30">
        <f>60*318310/G30</f>
        <v>9334604.1055718455</v>
      </c>
      <c r="K30" t="s">
        <v>310</v>
      </c>
    </row>
    <row r="31" spans="1:11" x14ac:dyDescent="0.2">
      <c r="A31" t="s">
        <v>38</v>
      </c>
      <c r="B31" t="s">
        <v>88</v>
      </c>
      <c r="C31">
        <f>(B6+C3*B9)/C2</f>
        <v>3.7248000000000001</v>
      </c>
      <c r="D31">
        <f>((B6+C3*B9*2.5)/C2+B16)/1.25</f>
        <v>3.2736000000000005</v>
      </c>
      <c r="E31">
        <f>((B6+C3*B9*2.5)/C2+2*B16)/2</f>
        <v>2.0460000000000003</v>
      </c>
      <c r="F31">
        <f t="shared" si="3"/>
        <v>2.0460000000000003</v>
      </c>
      <c r="G31">
        <f t="shared" si="4"/>
        <v>2.0460000000000003</v>
      </c>
      <c r="H31" t="str">
        <f t="shared" si="5"/>
        <v>加速</v>
      </c>
      <c r="I31" t="s">
        <v>38</v>
      </c>
      <c r="J31">
        <f t="shared" ref="J31:J94" si="6">60*318310/G31</f>
        <v>9334604.1055718455</v>
      </c>
      <c r="K31" t="s">
        <v>310</v>
      </c>
    </row>
    <row r="32" spans="1:11" x14ac:dyDescent="0.2">
      <c r="A32" t="s">
        <v>40</v>
      </c>
      <c r="B32" t="s">
        <v>87</v>
      </c>
      <c r="C32">
        <f>2*(B6+C3*B9)/C2</f>
        <v>7.4496000000000002</v>
      </c>
      <c r="D32">
        <f>(2*(B6+C3*B9*2.5)/C2+2*B16)/1.25</f>
        <v>6.547200000000001</v>
      </c>
      <c r="E32">
        <f>(2*(B6+C3*B9*2.5)/C2+4*B16)/2</f>
        <v>4.0920000000000005</v>
      </c>
      <c r="F32">
        <f t="shared" si="3"/>
        <v>4.0920000000000005</v>
      </c>
      <c r="G32">
        <f t="shared" si="4"/>
        <v>4.0920000000000005</v>
      </c>
      <c r="H32" t="str">
        <f>IF(C32=G32,"不使用增产剂","")&amp;IF(D32=G32,"增产","")&amp;IF(E32=G32,"加速","")</f>
        <v>加速</v>
      </c>
      <c r="I32" t="s">
        <v>40</v>
      </c>
      <c r="J32">
        <f t="shared" si="6"/>
        <v>4667302.0527859228</v>
      </c>
      <c r="K32" t="s">
        <v>310</v>
      </c>
    </row>
    <row r="33" spans="1:11" x14ac:dyDescent="0.2">
      <c r="A33" t="s">
        <v>39</v>
      </c>
      <c r="B33" t="s">
        <v>129</v>
      </c>
      <c r="C33">
        <f>2*(B6+C3*B9)/C2</f>
        <v>7.4496000000000002</v>
      </c>
      <c r="D33">
        <f>(2*(B6+C3*B9*2.5)/C2+2*B16)/1.25</f>
        <v>6.547200000000001</v>
      </c>
      <c r="E33">
        <f>(2*(B6+C3*B9*2.5)/C2+4*B16)/2</f>
        <v>4.0920000000000005</v>
      </c>
      <c r="F33">
        <f t="shared" si="3"/>
        <v>4.0920000000000005</v>
      </c>
      <c r="G33">
        <f t="shared" si="4"/>
        <v>4.0920000000000005</v>
      </c>
      <c r="H33" t="str">
        <f t="shared" si="5"/>
        <v>加速</v>
      </c>
      <c r="I33" t="s">
        <v>39</v>
      </c>
      <c r="J33">
        <f t="shared" si="6"/>
        <v>4667302.0527859228</v>
      </c>
      <c r="K33" t="s">
        <v>310</v>
      </c>
    </row>
    <row r="34" spans="1:11" x14ac:dyDescent="0.2">
      <c r="A34" t="s">
        <v>41</v>
      </c>
      <c r="B34" t="s">
        <v>89</v>
      </c>
      <c r="C34">
        <f>(B6+C3*B9)/C2</f>
        <v>3.7248000000000001</v>
      </c>
      <c r="D34">
        <f>((B6+C3*B9*2.5)/C2+B16)/1.25</f>
        <v>3.2736000000000005</v>
      </c>
      <c r="E34">
        <f>((B6+C3*B9*2.5)/C2+2*B16)/2</f>
        <v>2.0460000000000003</v>
      </c>
      <c r="F34">
        <f t="shared" si="3"/>
        <v>2.0460000000000003</v>
      </c>
      <c r="G34">
        <f t="shared" si="4"/>
        <v>2.0460000000000003</v>
      </c>
      <c r="H34" t="str">
        <f t="shared" si="5"/>
        <v>加速</v>
      </c>
      <c r="I34" t="s">
        <v>41</v>
      </c>
      <c r="J34">
        <f t="shared" si="6"/>
        <v>9334604.1055718455</v>
      </c>
      <c r="K34" t="s">
        <v>310</v>
      </c>
    </row>
    <row r="35" spans="1:11" x14ac:dyDescent="0.2">
      <c r="A35" t="s">
        <v>42</v>
      </c>
      <c r="B35" t="s">
        <v>90</v>
      </c>
      <c r="C35">
        <f>2*(B6+C3*B9)/C2</f>
        <v>7.4496000000000002</v>
      </c>
      <c r="D35">
        <f>(2*(B6+C3*B9*2.5)/C2+2*B16)/1.25</f>
        <v>6.547200000000001</v>
      </c>
      <c r="E35">
        <f>(2*(B6+C3*B9*2.5)/C2+4*B16)/2</f>
        <v>4.0920000000000005</v>
      </c>
      <c r="F35">
        <f t="shared" si="3"/>
        <v>4.0920000000000005</v>
      </c>
      <c r="G35">
        <f t="shared" si="4"/>
        <v>4.0920000000000005</v>
      </c>
      <c r="H35" t="str">
        <f t="shared" si="5"/>
        <v>加速</v>
      </c>
      <c r="I35" t="s">
        <v>42</v>
      </c>
      <c r="J35">
        <f t="shared" si="6"/>
        <v>4667302.0527859228</v>
      </c>
      <c r="K35" t="s">
        <v>310</v>
      </c>
    </row>
    <row r="36" spans="1:11" x14ac:dyDescent="0.2">
      <c r="A36" t="s">
        <v>52</v>
      </c>
      <c r="B36" t="s">
        <v>148</v>
      </c>
      <c r="C36">
        <f>2*(B6+C3*B9)/C2</f>
        <v>7.4496000000000002</v>
      </c>
      <c r="D36">
        <f>(2*(B6+C3*B9*2.5)/C2+2*B16)/1.25</f>
        <v>6.547200000000001</v>
      </c>
      <c r="E36">
        <f>(2*(B6+C3*B9*2.5)/C2+4*B16)/2</f>
        <v>4.0920000000000005</v>
      </c>
      <c r="F36">
        <f t="shared" ref="F36:F42" si="7">MIN(C36:E36)</f>
        <v>4.0920000000000005</v>
      </c>
      <c r="G36">
        <f t="shared" ref="G36:G42" si="8">F36</f>
        <v>4.0920000000000005</v>
      </c>
      <c r="H36" t="str">
        <f t="shared" si="5"/>
        <v>加速</v>
      </c>
      <c r="I36" t="s">
        <v>52</v>
      </c>
      <c r="J36">
        <f t="shared" si="6"/>
        <v>4667302.0527859228</v>
      </c>
      <c r="K36" t="s">
        <v>310</v>
      </c>
    </row>
    <row r="37" spans="1:11" x14ac:dyDescent="0.2">
      <c r="A37" t="s">
        <v>146</v>
      </c>
      <c r="B37" t="s">
        <v>147</v>
      </c>
      <c r="C37">
        <f>1.5*(D6+B3*B9)/(2*B2)</f>
        <v>5.6236000000000006</v>
      </c>
      <c r="D37">
        <f>(1.5*(D6+B3*B9*2.5)/B2+B16)/2.5</f>
        <v>4.7191999999999998</v>
      </c>
      <c r="E37">
        <f>(1.5*(D6+B3*B9*2.5)/B2+2*B16)/4</f>
        <v>2.9495</v>
      </c>
      <c r="F37">
        <f t="shared" si="7"/>
        <v>2.9495</v>
      </c>
      <c r="G37">
        <f t="shared" si="8"/>
        <v>2.9495</v>
      </c>
      <c r="H37" t="str">
        <f t="shared" si="5"/>
        <v>加速</v>
      </c>
      <c r="I37" t="s">
        <v>146</v>
      </c>
      <c r="J37">
        <f t="shared" si="6"/>
        <v>6475199.1863027634</v>
      </c>
      <c r="K37" t="s">
        <v>310</v>
      </c>
    </row>
    <row r="38" spans="1:11" x14ac:dyDescent="0.2">
      <c r="A38" t="s">
        <v>149</v>
      </c>
      <c r="B38" t="s">
        <v>150</v>
      </c>
      <c r="C38">
        <f>1.5*(B6+C3*B9)/(2*C2)</f>
        <v>2.7936000000000001</v>
      </c>
      <c r="D38">
        <f>(1.5*(B6+C3*B9*2.5)/C2+B16)/2.5</f>
        <v>2.4552000000000005</v>
      </c>
      <c r="E38">
        <f>(1.5*(B6+C3*B9*2.5)/C2+2*B16)/4</f>
        <v>1.5345000000000002</v>
      </c>
      <c r="F38">
        <f t="shared" si="7"/>
        <v>1.5345000000000002</v>
      </c>
      <c r="G38">
        <f t="shared" si="8"/>
        <v>1.5345000000000002</v>
      </c>
      <c r="H38" t="str">
        <f>IF(C38=G38,"不使用增产剂","")&amp;IF(D38=G38,"增产","")&amp;IF(E38=G38,"加速","")</f>
        <v>加速</v>
      </c>
      <c r="I38" t="s">
        <v>149</v>
      </c>
      <c r="J38">
        <f t="shared" si="6"/>
        <v>12446138.807429129</v>
      </c>
      <c r="K38" t="s">
        <v>310</v>
      </c>
    </row>
    <row r="39" spans="1:11" x14ac:dyDescent="0.2">
      <c r="A39" t="s">
        <v>45</v>
      </c>
      <c r="B39" t="s">
        <v>197</v>
      </c>
      <c r="C39">
        <f>2*(I6+D3*B9)/(2*D2)</f>
        <v>12.8195860075</v>
      </c>
      <c r="D39">
        <f>(2*(I6+D3*B9*2.5)/D2+2*B16)/2.5</f>
        <v>10.696308805999999</v>
      </c>
      <c r="E39">
        <f>(2*(I6+D3*B9*2.5)/D2+4*B16)/4</f>
        <v>6.6851930037499994</v>
      </c>
      <c r="F39">
        <f t="shared" si="7"/>
        <v>6.6851930037499994</v>
      </c>
      <c r="G39">
        <f t="shared" si="8"/>
        <v>6.6851930037499994</v>
      </c>
      <c r="H39" t="str">
        <f t="shared" ref="H39:H45" si="9">IF(C39=G39,"不使用增产剂","")&amp;IF(D39=G39,"增产","")&amp;IF(E39=G39,"加速","")</f>
        <v>加速</v>
      </c>
      <c r="I39" t="s">
        <v>45</v>
      </c>
      <c r="J39">
        <f t="shared" si="6"/>
        <v>2856850.9524387419</v>
      </c>
      <c r="K39" t="s">
        <v>310</v>
      </c>
    </row>
    <row r="40" spans="1:11" x14ac:dyDescent="0.2">
      <c r="A40" t="s">
        <v>43</v>
      </c>
      <c r="B40" t="s">
        <v>198</v>
      </c>
      <c r="C40">
        <f>(4/E2)*(N6+B9*E3)/2</f>
        <v>35.683599999999991</v>
      </c>
      <c r="D40">
        <f>((4/E2)*(N6+B9*E3*2.5)+2*B16)/2.5</f>
        <v>29.330239999999993</v>
      </c>
      <c r="E40">
        <f>((4/E2)*(N6+B9*E3*2.5)+4*B16)/4</f>
        <v>18.331399999999995</v>
      </c>
      <c r="F40">
        <f t="shared" si="7"/>
        <v>18.331399999999995</v>
      </c>
      <c r="G40">
        <f t="shared" si="8"/>
        <v>18.331399999999995</v>
      </c>
      <c r="H40" t="str">
        <f t="shared" si="9"/>
        <v>加速</v>
      </c>
      <c r="I40" t="s">
        <v>43</v>
      </c>
      <c r="J40">
        <f t="shared" si="6"/>
        <v>1041851.6861778154</v>
      </c>
      <c r="K40" t="s">
        <v>310</v>
      </c>
    </row>
    <row r="41" spans="1:11" x14ac:dyDescent="0.2">
      <c r="A41" t="s">
        <v>143</v>
      </c>
      <c r="B41" t="s">
        <v>460</v>
      </c>
      <c r="C41">
        <f>4*(I6+D3*B9)/(2*D2)</f>
        <v>25.639172015</v>
      </c>
      <c r="D41">
        <f>(4*(I6+D3*B9*2.5)/D2+6*B16)/2.5</f>
        <v>21.392617611999999</v>
      </c>
      <c r="E41">
        <f>(4*(I6+D3*B9*2.5)/D2+12*B16)/4</f>
        <v>13.370386007499999</v>
      </c>
      <c r="F41">
        <f t="shared" si="7"/>
        <v>13.370386007499999</v>
      </c>
      <c r="G41">
        <f t="shared" si="8"/>
        <v>13.370386007499999</v>
      </c>
      <c r="H41" t="str">
        <f t="shared" si="9"/>
        <v>加速</v>
      </c>
      <c r="I41" t="s">
        <v>143</v>
      </c>
      <c r="J41">
        <f t="shared" si="6"/>
        <v>1428425.476219371</v>
      </c>
      <c r="K41" t="s">
        <v>310</v>
      </c>
    </row>
    <row r="42" spans="1:11" x14ac:dyDescent="0.2">
      <c r="A42" t="s">
        <v>49</v>
      </c>
      <c r="B42" t="s">
        <v>144</v>
      </c>
      <c r="C42">
        <f>1.5*(B6+C3*B9)/C2</f>
        <v>5.5872000000000002</v>
      </c>
      <c r="D42">
        <f>(1.5*(B6+C3*B9*2.5)/C2+B16)/1.25</f>
        <v>4.910400000000001</v>
      </c>
      <c r="E42">
        <f>(1.5*(B6+C3*B9*2.5)/C2+2*B16)/2</f>
        <v>3.0690000000000004</v>
      </c>
      <c r="F42">
        <f t="shared" si="7"/>
        <v>3.0690000000000004</v>
      </c>
      <c r="G42">
        <f t="shared" si="8"/>
        <v>3.0690000000000004</v>
      </c>
      <c r="H42" t="str">
        <f t="shared" si="9"/>
        <v>加速</v>
      </c>
      <c r="I42" t="s">
        <v>49</v>
      </c>
      <c r="J42">
        <f t="shared" si="6"/>
        <v>6223069.4037145646</v>
      </c>
      <c r="K42" t="s">
        <v>310</v>
      </c>
    </row>
    <row r="43" spans="1:11" x14ac:dyDescent="0.2">
      <c r="A43" t="s">
        <v>334</v>
      </c>
      <c r="B43" t="s">
        <v>215</v>
      </c>
      <c r="C43" t="s">
        <v>258</v>
      </c>
      <c r="D43" t="s">
        <v>217</v>
      </c>
      <c r="E43">
        <f>(T6+B9*H3+H2*B16)/H2</f>
        <v>8.7508119251977234</v>
      </c>
      <c r="F43">
        <f>MIN(C43:E43)</f>
        <v>8.7508119251977234</v>
      </c>
      <c r="G43">
        <f>F43</f>
        <v>8.7508119251977234</v>
      </c>
      <c r="H43" t="str">
        <f t="shared" si="9"/>
        <v>加速</v>
      </c>
      <c r="I43" t="s">
        <v>334</v>
      </c>
      <c r="J43">
        <f t="shared" si="6"/>
        <v>2182494.6260136277</v>
      </c>
      <c r="K43" t="s">
        <v>310</v>
      </c>
    </row>
    <row r="44" spans="1:11" x14ac:dyDescent="0.2">
      <c r="A44" t="s">
        <v>201</v>
      </c>
      <c r="B44" t="s">
        <v>216</v>
      </c>
      <c r="C44">
        <f>2.5*(J6+F3*B9)/F2/5</f>
        <v>24.0316525</v>
      </c>
      <c r="D44">
        <f>(2.5*(J6+F3*B9*2.5)/F2+10*B16)/6.25</f>
        <v>21.673322000000002</v>
      </c>
      <c r="E44">
        <f>(2.5*(J6+F3*B9*2.5)/F2+20*B16)/10</f>
        <v>13.545826250000001</v>
      </c>
      <c r="F44">
        <f>MIN(C44:E44)</f>
        <v>13.545826250000001</v>
      </c>
      <c r="G44">
        <f>F44</f>
        <v>13.545826250000001</v>
      </c>
      <c r="H44" t="str">
        <f t="shared" si="9"/>
        <v>加速</v>
      </c>
      <c r="I44" t="s">
        <v>201</v>
      </c>
      <c r="J44">
        <f t="shared" si="6"/>
        <v>1409925.0682474978</v>
      </c>
      <c r="K44" t="s">
        <v>310</v>
      </c>
    </row>
    <row r="45" spans="1:11" x14ac:dyDescent="0.2">
      <c r="A45" t="s">
        <v>462</v>
      </c>
      <c r="B45" t="s">
        <v>189</v>
      </c>
      <c r="C45">
        <f>((0.1*G80)+60*S6)/12</f>
        <v>276.21350368888892</v>
      </c>
      <c r="D45" t="s">
        <v>217</v>
      </c>
      <c r="E45">
        <f>((0.1*G80)+60*S6+0.1*B16)/24</f>
        <v>138.10675184444446</v>
      </c>
      <c r="F45">
        <f>MIN(C45:E45)</f>
        <v>138.10675184444446</v>
      </c>
      <c r="G45">
        <f>F45</f>
        <v>138.10675184444446</v>
      </c>
      <c r="H45" t="str">
        <f t="shared" si="9"/>
        <v>加速</v>
      </c>
      <c r="I45" t="s">
        <v>463</v>
      </c>
      <c r="J45">
        <f t="shared" si="6"/>
        <v>138288.67701929281</v>
      </c>
      <c r="K45" t="s">
        <v>310</v>
      </c>
    </row>
    <row r="49" spans="1:11" ht="19.5" x14ac:dyDescent="0.2">
      <c r="A49" s="21" t="s">
        <v>221</v>
      </c>
      <c r="B49" s="21"/>
      <c r="C49" s="21"/>
      <c r="D49" s="21"/>
      <c r="E49" s="21"/>
      <c r="F49" s="21"/>
    </row>
    <row r="50" spans="1:11" x14ac:dyDescent="0.2">
      <c r="A50" t="s">
        <v>50</v>
      </c>
      <c r="B50" t="s">
        <v>145</v>
      </c>
      <c r="C50">
        <f>((2*G42+G31)+(E6+B3*B9)/B2)/2</f>
        <v>7.8410666666666682</v>
      </c>
      <c r="D50">
        <f>((2*G42+G31)+(E6+B3*B9*2.5)/B2+3*B16)/2.5</f>
        <v>6.4197333333333333</v>
      </c>
      <c r="E50">
        <f>(2*(2*G42+G31)+(E6+2.5*B3*B9)/B2+6*B16)/4</f>
        <v>6.0583333333333345</v>
      </c>
      <c r="F50">
        <f t="shared" ref="F50:F75" si="10">MIN(C50:E50)</f>
        <v>6.0583333333333345</v>
      </c>
      <c r="G50">
        <f t="shared" ref="G50:G75" si="11">F50</f>
        <v>6.0583333333333345</v>
      </c>
      <c r="H50" t="str">
        <f t="shared" ref="H50:H75" si="12">IF(C50=G50,"不使用增产剂","")&amp;IF(D50=G50,"增产","")&amp;IF(E50=G50,"加速","")</f>
        <v>加速</v>
      </c>
      <c r="I50" t="s">
        <v>50</v>
      </c>
      <c r="J50">
        <f t="shared" si="6"/>
        <v>3152451.169188445</v>
      </c>
      <c r="K50" t="s">
        <v>310</v>
      </c>
    </row>
    <row r="51" spans="1:11" x14ac:dyDescent="0.2">
      <c r="A51" t="s">
        <v>54</v>
      </c>
      <c r="B51" t="s">
        <v>155</v>
      </c>
      <c r="C51">
        <f>((3*G30)+3*(B6+C3*B9)/C2)/1</f>
        <v>17.3124</v>
      </c>
      <c r="D51">
        <f>((3*G30)+3*(B6+C3*B9*2.5)/C2+3*B16)/1.25</f>
        <v>14.731200000000001</v>
      </c>
      <c r="E51">
        <f>(2*(3*G30)+3*(B6+C3*B9*2.5)/C2+6*B16)/2</f>
        <v>12.276000000000002</v>
      </c>
      <c r="F51">
        <f t="shared" si="10"/>
        <v>12.276000000000002</v>
      </c>
      <c r="G51">
        <f t="shared" si="11"/>
        <v>12.276000000000002</v>
      </c>
      <c r="H51" t="str">
        <f t="shared" si="12"/>
        <v>加速</v>
      </c>
      <c r="I51" t="s">
        <v>54</v>
      </c>
      <c r="J51">
        <f t="shared" si="6"/>
        <v>1555767.3509286412</v>
      </c>
      <c r="K51" t="s">
        <v>310</v>
      </c>
    </row>
    <row r="52" spans="1:11" x14ac:dyDescent="0.2">
      <c r="A52" t="s">
        <v>51</v>
      </c>
      <c r="B52" t="s">
        <v>248</v>
      </c>
      <c r="C52">
        <f>((4*G33+4*G51)+(12/C2)*(C6+C3*B9))/4</f>
        <v>29.342400000000001</v>
      </c>
      <c r="D52">
        <f>((4*G33+4*G51)+(12/C2)*(C6+C3*B9*2.5)+16*B16)/5</f>
        <v>24.355200000000004</v>
      </c>
      <c r="E52">
        <f>(2*(4*G33+4*G51)+(12/C2)*(C6+C3*B9*2.5)+32*B16)/8</f>
        <v>23.406000000000002</v>
      </c>
      <c r="F52">
        <f t="shared" si="10"/>
        <v>23.406000000000002</v>
      </c>
      <c r="G52">
        <f t="shared" si="11"/>
        <v>23.406000000000002</v>
      </c>
      <c r="H52" t="str">
        <f t="shared" si="12"/>
        <v>加速</v>
      </c>
      <c r="I52" t="s">
        <v>51</v>
      </c>
      <c r="J52">
        <f t="shared" si="6"/>
        <v>815970.26403486275</v>
      </c>
      <c r="K52" t="s">
        <v>310</v>
      </c>
    </row>
    <row r="53" spans="1:11" x14ac:dyDescent="0.2">
      <c r="A53" t="s">
        <v>57</v>
      </c>
      <c r="B53" t="s">
        <v>157</v>
      </c>
      <c r="C53">
        <f>((2*G36+2*G33)+(5/B2)*(F6+B3*B9))/2</f>
        <v>26.929333333333336</v>
      </c>
      <c r="D53">
        <f>((2*G36+2*G33)+(5/B2)*(F6+2.5*B3*B9)+6*B16)/2.5</f>
        <v>22.277866666666672</v>
      </c>
      <c r="E53">
        <f>(2*(2*G36+2*G33)+(5/B2)*(F6+2.5*B3*B9)+12*B16)/4</f>
        <v>18.015666666666668</v>
      </c>
      <c r="F53">
        <f t="shared" si="10"/>
        <v>18.015666666666668</v>
      </c>
      <c r="G53">
        <f t="shared" si="11"/>
        <v>18.015666666666668</v>
      </c>
      <c r="H53" t="str">
        <f t="shared" si="12"/>
        <v>加速</v>
      </c>
      <c r="I53" t="s">
        <v>57</v>
      </c>
      <c r="J53">
        <f t="shared" si="6"/>
        <v>1060110.6444390991</v>
      </c>
      <c r="K53" t="s">
        <v>310</v>
      </c>
    </row>
    <row r="54" spans="1:11" x14ac:dyDescent="0.2">
      <c r="A54" t="s">
        <v>58</v>
      </c>
      <c r="B54" t="s">
        <v>158</v>
      </c>
      <c r="C54">
        <f>((3*G36)+(2/B2)*(D6+B3*B9))/2</f>
        <v>13.636133333333333</v>
      </c>
      <c r="D54">
        <f>((3*G36)+(2/B2)*(D6+B3*B9*2.5)+3*B16)/2.5</f>
        <v>11.202666666666667</v>
      </c>
      <c r="E54">
        <f>((6*G36)+(2/B2)*(D6+B3*B9*2.5)+6*B16)/4</f>
        <v>10.070666666666668</v>
      </c>
      <c r="F54">
        <f t="shared" si="10"/>
        <v>10.070666666666668</v>
      </c>
      <c r="G54">
        <f t="shared" si="11"/>
        <v>10.070666666666668</v>
      </c>
      <c r="H54" t="str">
        <f t="shared" si="12"/>
        <v>加速</v>
      </c>
      <c r="I54" t="s">
        <v>58</v>
      </c>
      <c r="J54">
        <f t="shared" si="6"/>
        <v>1896458.3609161919</v>
      </c>
      <c r="K54" t="s">
        <v>310</v>
      </c>
    </row>
    <row r="55" spans="1:11" x14ac:dyDescent="0.2">
      <c r="A55" t="s">
        <v>69</v>
      </c>
      <c r="B55" t="s">
        <v>169</v>
      </c>
      <c r="C55">
        <f>((4*G50+2*G54)+(2/B2)*(E6+B3*B9))/1</f>
        <v>59.37093333333334</v>
      </c>
      <c r="D55">
        <f>((4*G50+2*G54)+(2/B2)*(E6+2.5*B3*B9)+6*B16)/1.25</f>
        <v>48.084266666666664</v>
      </c>
      <c r="E55">
        <f>(2*(4*G50+2*G54)+(2/B2)*(E6+2.5*B3*B9)+12*B16)/2</f>
        <v>52.24</v>
      </c>
      <c r="F55">
        <f t="shared" si="10"/>
        <v>48.084266666666664</v>
      </c>
      <c r="G55">
        <f t="shared" si="11"/>
        <v>48.084266666666664</v>
      </c>
      <c r="H55" t="str">
        <f t="shared" si="12"/>
        <v>增产</v>
      </c>
      <c r="I55" t="s">
        <v>69</v>
      </c>
      <c r="J55">
        <f t="shared" si="6"/>
        <v>397190.21051931055</v>
      </c>
      <c r="K55" t="s">
        <v>310</v>
      </c>
    </row>
    <row r="56" spans="1:11" x14ac:dyDescent="0.2">
      <c r="A56" t="s">
        <v>63</v>
      </c>
      <c r="B56" t="s">
        <v>163</v>
      </c>
      <c r="C56">
        <f>(G30+(1/B2)*(D6+B3*B9))</f>
        <v>9.5441333333333347</v>
      </c>
      <c r="D56">
        <f>(G30+(1/B2)*(D6+2.5*B3*B9)+B16)/1.25</f>
        <v>7.9290666666666683</v>
      </c>
      <c r="E56">
        <f>(2*G30+(1/B2)*(D6+2.5*B3*B9)+2*B16)/2</f>
        <v>5.9786666666666672</v>
      </c>
      <c r="F56">
        <f t="shared" si="10"/>
        <v>5.9786666666666672</v>
      </c>
      <c r="G56">
        <f t="shared" si="11"/>
        <v>5.9786666666666672</v>
      </c>
      <c r="H56" t="str">
        <f t="shared" si="12"/>
        <v>加速</v>
      </c>
      <c r="I56" t="s">
        <v>63</v>
      </c>
      <c r="J56">
        <f t="shared" si="6"/>
        <v>3194458.0731489738</v>
      </c>
      <c r="K56" t="s">
        <v>310</v>
      </c>
    </row>
    <row r="57" spans="1:11" x14ac:dyDescent="0.2">
      <c r="A57" t="s">
        <v>65</v>
      </c>
      <c r="B57" t="s">
        <v>165</v>
      </c>
      <c r="C57">
        <f>((2*G30+G31)+(E6+B3*B9)/B2)/2</f>
        <v>6.8180666666666676</v>
      </c>
      <c r="D57">
        <f>((2*G30+G31)+(E6+B3*B9*2.5)/B2+3*B16)/2.5</f>
        <v>5.6013333333333337</v>
      </c>
      <c r="E57">
        <f>(2*(2*G30+G31)+(E6+B3*B9*2.5)/B2+6*B16)/4</f>
        <v>5.0353333333333339</v>
      </c>
      <c r="F57">
        <f t="shared" si="10"/>
        <v>5.0353333333333339</v>
      </c>
      <c r="G57">
        <f t="shared" si="11"/>
        <v>5.0353333333333339</v>
      </c>
      <c r="H57" t="str">
        <f t="shared" si="12"/>
        <v>加速</v>
      </c>
      <c r="I57" t="s">
        <v>65</v>
      </c>
      <c r="J57">
        <f t="shared" si="6"/>
        <v>3792916.7218323839</v>
      </c>
      <c r="K57" t="s">
        <v>310</v>
      </c>
    </row>
    <row r="58" spans="1:11" x14ac:dyDescent="0.2">
      <c r="A58" t="s">
        <v>77</v>
      </c>
      <c r="B58" t="s">
        <v>187</v>
      </c>
      <c r="C58">
        <f>((2*G32+G31)+2*(E6+B3*B9)/B2)</f>
        <v>25.226266666666668</v>
      </c>
      <c r="D58">
        <f>((2*G32+G31)+2*(E6+B3*B9*2.5)/B2+3*B16)/1.25</f>
        <v>20.768533333333334</v>
      </c>
      <c r="E58">
        <f>(2*(2*G32+G31)+2*(E6+B3*B9*2.5)/B2+6*B16)/2</f>
        <v>18.095333333333333</v>
      </c>
      <c r="F58">
        <f t="shared" si="10"/>
        <v>18.095333333333333</v>
      </c>
      <c r="G58">
        <f t="shared" si="11"/>
        <v>18.095333333333333</v>
      </c>
      <c r="H58" t="str">
        <f t="shared" si="12"/>
        <v>加速</v>
      </c>
      <c r="I58" t="s">
        <v>77</v>
      </c>
      <c r="J58">
        <f t="shared" si="6"/>
        <v>1055443.3924031979</v>
      </c>
      <c r="K58" t="s">
        <v>310</v>
      </c>
    </row>
    <row r="59" spans="1:11" x14ac:dyDescent="0.2">
      <c r="A59" t="s">
        <v>72</v>
      </c>
      <c r="B59" t="s">
        <v>172</v>
      </c>
      <c r="C59">
        <f>((2*G57+2*G58)+(3/B2)*(E6+B3*B9))</f>
        <v>68.755733333333339</v>
      </c>
      <c r="D59">
        <f>((2*G57+2*G58)+(3/B2)*(E6+B3*B9*2.5)+4*B16)/1.25</f>
        <v>55.885866666666665</v>
      </c>
      <c r="E59">
        <f>(2*(2*G57+2*G58)+(3/B2)*(E6+B3*B9*2.5)+8*B16)/2</f>
        <v>58.059333333333335</v>
      </c>
      <c r="F59">
        <f t="shared" si="10"/>
        <v>55.885866666666665</v>
      </c>
      <c r="G59">
        <f t="shared" si="11"/>
        <v>55.885866666666665</v>
      </c>
      <c r="H59" t="str">
        <f t="shared" si="12"/>
        <v>增产</v>
      </c>
      <c r="I59" t="s">
        <v>72</v>
      </c>
      <c r="J59">
        <f t="shared" si="6"/>
        <v>341742.93321626936</v>
      </c>
      <c r="K59" t="s">
        <v>310</v>
      </c>
    </row>
    <row r="60" spans="1:11" x14ac:dyDescent="0.2">
      <c r="A60" t="s">
        <v>59</v>
      </c>
      <c r="B60" t="s">
        <v>156</v>
      </c>
      <c r="C60">
        <f>((2*G30+G56+G50)+(2/B2)*(F6+B3*B9))</f>
        <v>31.125266666666668</v>
      </c>
      <c r="D60">
        <f>((2*G30+G56+G50)+(2/B2)*(F6+2.5*B3*B9)+4*B16)/1.25</f>
        <v>25.487733333333335</v>
      </c>
      <c r="E60">
        <f>(2*(2*G30+G56+G50)+(2/B2)*(F6+2.5*B3*B9)+8*B16)/2</f>
        <v>23.994333333333337</v>
      </c>
      <c r="F60">
        <f t="shared" si="10"/>
        <v>23.994333333333337</v>
      </c>
      <c r="G60">
        <f t="shared" si="11"/>
        <v>23.994333333333337</v>
      </c>
      <c r="H60" t="str">
        <f t="shared" si="12"/>
        <v>加速</v>
      </c>
      <c r="I60" t="s">
        <v>59</v>
      </c>
      <c r="J60">
        <f t="shared" si="6"/>
        <v>795962.93569314969</v>
      </c>
      <c r="K60" t="s">
        <v>310</v>
      </c>
    </row>
    <row r="61" spans="1:11" x14ac:dyDescent="0.2">
      <c r="A61" t="s">
        <v>64</v>
      </c>
      <c r="B61" t="s">
        <v>164</v>
      </c>
      <c r="C61">
        <f>((2*G60+2*G50)+(2/B2)*(E6+B3*B9))</f>
        <v>75.101600000000005</v>
      </c>
      <c r="D61">
        <f>((2*G60+2*G50)+(2/B2)*(E6+2.5*B3*B9)+4*B16)/1.25</f>
        <v>60.668800000000012</v>
      </c>
      <c r="E61">
        <f>(2*(2*G60+2*G50)+(2/B2)*(E6+2.5*B3*B9)+8*B16)/2</f>
        <v>67.970666666666673</v>
      </c>
      <c r="F61">
        <f t="shared" si="10"/>
        <v>60.668800000000012</v>
      </c>
      <c r="G61">
        <f t="shared" si="11"/>
        <v>60.668800000000012</v>
      </c>
      <c r="H61" t="str">
        <f t="shared" si="12"/>
        <v>增产</v>
      </c>
      <c r="I61" t="s">
        <v>64</v>
      </c>
      <c r="J61">
        <f t="shared" si="6"/>
        <v>314801.01798618067</v>
      </c>
      <c r="K61" t="s">
        <v>310</v>
      </c>
    </row>
    <row r="62" spans="1:11" x14ac:dyDescent="0.2">
      <c r="A62" t="s">
        <v>229</v>
      </c>
      <c r="B62" t="s">
        <v>159</v>
      </c>
      <c r="C62">
        <f>((3*G33)+(4/B2)*(E6+B3*B9))</f>
        <v>42.268533333333338</v>
      </c>
      <c r="D62">
        <f>((3*G33)+(4/B2)*(E6+B3*B9*2.5)+4*B16)/1.25</f>
        <v>34.989866666666664</v>
      </c>
      <c r="E62">
        <f>(2*(3*G33)+(4/B2)*(E6+B3*B9*2.5)+8*B16)/2</f>
        <v>28.006666666666668</v>
      </c>
      <c r="F62">
        <f t="shared" si="10"/>
        <v>28.006666666666668</v>
      </c>
      <c r="G62">
        <f t="shared" si="11"/>
        <v>28.006666666666668</v>
      </c>
      <c r="H62" t="str">
        <f t="shared" si="12"/>
        <v>加速</v>
      </c>
      <c r="I62" t="s">
        <v>229</v>
      </c>
      <c r="J62">
        <f t="shared" si="6"/>
        <v>681930.49273982388</v>
      </c>
      <c r="K62" t="s">
        <v>310</v>
      </c>
    </row>
    <row r="63" spans="1:11" x14ac:dyDescent="0.2">
      <c r="A63" t="s">
        <v>173</v>
      </c>
      <c r="B63" t="s">
        <v>461</v>
      </c>
      <c r="C63">
        <f>((2*G39)+(4/B2)*(F6+B3*B9))</f>
        <v>43.362919340833329</v>
      </c>
      <c r="D63">
        <f>((2*G39)+(4/B2)*(F6+2.5*B3*B9)+22*B16)/1.25</f>
        <v>35.865375472666663</v>
      </c>
      <c r="E63">
        <f>(2*(2*G39)+(4/B2)*(F6+2.5*B3*B9)+44*B16)/2</f>
        <v>29.101052674166667</v>
      </c>
      <c r="F63">
        <f t="shared" si="10"/>
        <v>29.101052674166667</v>
      </c>
      <c r="G63">
        <f t="shared" si="11"/>
        <v>29.101052674166667</v>
      </c>
      <c r="H63" t="str">
        <f t="shared" si="12"/>
        <v>加速</v>
      </c>
      <c r="I63" t="s">
        <v>173</v>
      </c>
      <c r="J63">
        <f t="shared" si="6"/>
        <v>656285.53763465898</v>
      </c>
      <c r="K63" t="s">
        <v>310</v>
      </c>
    </row>
    <row r="64" spans="1:11" x14ac:dyDescent="0.2">
      <c r="A64" t="s">
        <v>175</v>
      </c>
      <c r="B64" t="s">
        <v>176</v>
      </c>
      <c r="C64">
        <f>((G62+2*G39)+(4/B2)*(F6+B3*B9))</f>
        <v>71.369586007500004</v>
      </c>
      <c r="D64">
        <f>((G62+2*G39)+(4/B2)*(F6+2.5*B3*B9)+18*B16)/1.25</f>
        <v>58.270708805999995</v>
      </c>
      <c r="E64">
        <f>(2*(G62+2*G39)+(4/B2)*(F6+2.5*B3*B9)+36*B16)/2</f>
        <v>57.107719340833327</v>
      </c>
      <c r="F64">
        <f t="shared" si="10"/>
        <v>57.107719340833327</v>
      </c>
      <c r="G64">
        <f t="shared" si="11"/>
        <v>57.107719340833327</v>
      </c>
      <c r="H64" t="str">
        <f t="shared" si="12"/>
        <v>加速</v>
      </c>
      <c r="I64" t="s">
        <v>175</v>
      </c>
      <c r="J64">
        <f t="shared" si="6"/>
        <v>334431.14556921314</v>
      </c>
      <c r="K64" t="s">
        <v>310</v>
      </c>
    </row>
    <row r="65" spans="1:11" x14ac:dyDescent="0.2">
      <c r="A65" t="s">
        <v>67</v>
      </c>
      <c r="B65" t="s">
        <v>167</v>
      </c>
      <c r="C65">
        <f>((D22+2*G53)+(12/B2)*(E6+B3*B9))</f>
        <v>155.10998600750003</v>
      </c>
      <c r="D65">
        <f>((D22+2*G53)+(12/B2)*(E6+2.5*B3*B9)+3*B16)/1.25</f>
        <v>127.61310880600001</v>
      </c>
      <c r="E65">
        <f>(2*(D22+2*G53)+(12/B2)*(E6+2.5*B3*B9)+6*B16)/2</f>
        <v>112.32438600750001</v>
      </c>
      <c r="F65">
        <f t="shared" si="10"/>
        <v>112.32438600750001</v>
      </c>
      <c r="G65">
        <f t="shared" si="11"/>
        <v>112.32438600750001</v>
      </c>
      <c r="H65" t="str">
        <f t="shared" si="12"/>
        <v>加速</v>
      </c>
      <c r="I65" t="s">
        <v>67</v>
      </c>
      <c r="J65">
        <f t="shared" si="6"/>
        <v>170030.75359543713</v>
      </c>
      <c r="K65" t="s">
        <v>310</v>
      </c>
    </row>
    <row r="66" spans="1:11" x14ac:dyDescent="0.2">
      <c r="A66" t="s">
        <v>138</v>
      </c>
      <c r="B66" t="s">
        <v>178</v>
      </c>
      <c r="C66">
        <f>((2*G31)+(4/B2)*(E6+B3*B9))</f>
        <v>34.084533333333333</v>
      </c>
      <c r="D66">
        <f>((2*G31)+(4/B2)*(E6+2.5*B3*B9)+12*B16)/1.25</f>
        <v>28.442666666666668</v>
      </c>
      <c r="E66">
        <f>(2*(2*G31)+(4/B2)*(E6+2.5*B3*B9)+24*B16)/2</f>
        <v>19.82266666666667</v>
      </c>
      <c r="F66">
        <f t="shared" si="10"/>
        <v>19.82266666666667</v>
      </c>
      <c r="G66">
        <f t="shared" si="11"/>
        <v>19.82266666666667</v>
      </c>
      <c r="H66" t="str">
        <f t="shared" si="12"/>
        <v>加速</v>
      </c>
      <c r="I66" t="s">
        <v>138</v>
      </c>
      <c r="J66">
        <f t="shared" si="6"/>
        <v>963472.79208986333</v>
      </c>
      <c r="K66" t="s">
        <v>310</v>
      </c>
    </row>
    <row r="67" spans="1:11" x14ac:dyDescent="0.2">
      <c r="A67" t="s">
        <v>139</v>
      </c>
      <c r="B67" t="s">
        <v>177</v>
      </c>
      <c r="C67">
        <f>((2*G61+2*G31+2*G39)+(4/B2)*(F6+B3*B9))</f>
        <v>168.79251934083337</v>
      </c>
      <c r="D67">
        <f>((2*G61+2*G31+2*G39)+(4/B2)*(F6+2.5*B3*B9)+6*B16)/1.25</f>
        <v>136.20905547266668</v>
      </c>
      <c r="E67">
        <f>(2*(2*G61+2*G31+2*G39)+(4/B2)*(F6+2.5*B3*B9)+12*B16)/2</f>
        <v>154.5306526741667</v>
      </c>
      <c r="F67">
        <f t="shared" si="10"/>
        <v>136.20905547266668</v>
      </c>
      <c r="G67">
        <f t="shared" si="11"/>
        <v>136.20905547266668</v>
      </c>
      <c r="H67" t="str">
        <f t="shared" si="12"/>
        <v>增产</v>
      </c>
      <c r="I67" t="s">
        <v>139</v>
      </c>
      <c r="J67">
        <f t="shared" si="6"/>
        <v>140215.34716414323</v>
      </c>
      <c r="K67" t="s">
        <v>310</v>
      </c>
    </row>
    <row r="68" spans="1:11" x14ac:dyDescent="0.2">
      <c r="A68" t="s">
        <v>62</v>
      </c>
      <c r="B68" t="s">
        <v>162</v>
      </c>
      <c r="C68">
        <f>((2*B22+2*G30+10*C22)+(8/F2)*(L6+F3*B9))</f>
        <v>428.24377333333337</v>
      </c>
      <c r="D68">
        <f>((2*B22+2*G30+10*C22)+(8/F2)*(L6+2.5*F3*B9)+14*B16)/1.25</f>
        <v>381.76301866666671</v>
      </c>
      <c r="E68">
        <f>(2*(2*B22+2*G30+10*C22)+(8/F2)*(L6+2.5*F3*B9)+28*B16)/2</f>
        <v>260.47055333333333</v>
      </c>
      <c r="F68">
        <f t="shared" si="10"/>
        <v>260.47055333333333</v>
      </c>
      <c r="G68">
        <f t="shared" si="11"/>
        <v>260.47055333333333</v>
      </c>
      <c r="H68" t="str">
        <f t="shared" si="12"/>
        <v>加速</v>
      </c>
      <c r="I68" t="s">
        <v>62</v>
      </c>
      <c r="J68">
        <f t="shared" si="6"/>
        <v>73323.451559450754</v>
      </c>
      <c r="K68" t="s">
        <v>310</v>
      </c>
    </row>
    <row r="69" spans="1:11" x14ac:dyDescent="0.2">
      <c r="A69" t="s">
        <v>199</v>
      </c>
      <c r="B69" t="s">
        <v>200</v>
      </c>
      <c r="C69">
        <f>((2*G54+G57)+(3/B2)*(E6+B3*B9))</f>
        <v>47.671066666666675</v>
      </c>
      <c r="D69">
        <f>((2*G54+G57)+(3/B2)*(E6+2.5*B3*B9)+3*B16)/1.25</f>
        <v>39.018133333333338</v>
      </c>
      <c r="E69">
        <f>(2*(2*G54+G57)+(3/B2)*(E6+2.5*B3*B9)+6*B16)/2</f>
        <v>36.974666666666671</v>
      </c>
      <c r="F69">
        <f t="shared" si="10"/>
        <v>36.974666666666671</v>
      </c>
      <c r="G69">
        <f t="shared" si="11"/>
        <v>36.974666666666671</v>
      </c>
      <c r="H69" t="str">
        <f t="shared" si="12"/>
        <v>加速</v>
      </c>
      <c r="I69" t="s">
        <v>199</v>
      </c>
      <c r="J69">
        <f t="shared" si="6"/>
        <v>516532.03995528462</v>
      </c>
      <c r="K69" t="s">
        <v>310</v>
      </c>
    </row>
    <row r="70" spans="1:11" x14ac:dyDescent="0.2">
      <c r="A70" t="s">
        <v>185</v>
      </c>
      <c r="B70" t="s">
        <v>186</v>
      </c>
      <c r="C70">
        <f>((G57)+(3/B2)*(E6+B3*B9))</f>
        <v>27.529733333333336</v>
      </c>
      <c r="D70">
        <f>((G57)+(3/B2)*(E6+2.5*B3*B9)+2*B16)/1.25</f>
        <v>22.90506666666667</v>
      </c>
      <c r="E70">
        <f>(2*(G57)+(3/B2)*(E6+2.5*B3*B9)+4*B16)/2</f>
        <v>16.833333333333336</v>
      </c>
      <c r="F70">
        <f t="shared" si="10"/>
        <v>16.833333333333336</v>
      </c>
      <c r="G70">
        <f t="shared" si="11"/>
        <v>16.833333333333336</v>
      </c>
      <c r="H70" t="str">
        <f t="shared" si="12"/>
        <v>加速</v>
      </c>
      <c r="I70" t="s">
        <v>185</v>
      </c>
      <c r="J70">
        <f t="shared" si="6"/>
        <v>1134570.2970297029</v>
      </c>
      <c r="K70" t="s">
        <v>310</v>
      </c>
    </row>
    <row r="71" spans="1:11" x14ac:dyDescent="0.2">
      <c r="A71" t="s">
        <v>74</v>
      </c>
      <c r="B71" t="s">
        <v>182</v>
      </c>
      <c r="C71">
        <f>((G39+E22)+(4/B2)*(E6+B3*B9))/2</f>
        <v>26.755529835208335</v>
      </c>
      <c r="D71">
        <f>((G39+E22)+(4/B2)*(E6+2.5*B3*B9)+2*B16)/2.5</f>
        <v>21.991943868166668</v>
      </c>
      <c r="E71">
        <f>(2*(G39+E22)+(4/B2)*(E6+2.5*B3*B9)+4*B16)/4</f>
        <v>19.624596501875004</v>
      </c>
      <c r="F71">
        <f t="shared" si="10"/>
        <v>19.624596501875004</v>
      </c>
      <c r="G71">
        <f t="shared" si="11"/>
        <v>19.624596501875004</v>
      </c>
      <c r="H71" t="str">
        <f t="shared" si="12"/>
        <v>加速</v>
      </c>
      <c r="I71" t="s">
        <v>74</v>
      </c>
      <c r="J71">
        <f t="shared" si="6"/>
        <v>973197.07939856243</v>
      </c>
      <c r="K71" t="s">
        <v>310</v>
      </c>
    </row>
    <row r="72" spans="1:11" x14ac:dyDescent="0.2">
      <c r="A72" t="s">
        <v>79</v>
      </c>
      <c r="B72" t="s">
        <v>190</v>
      </c>
      <c r="C72">
        <f>((2*F22)+(2/F2)*(L6+F3*B9))/2</f>
        <v>48.063305</v>
      </c>
      <c r="D72" t="s">
        <v>232</v>
      </c>
      <c r="E72">
        <f>(2*(2*F22)+(2/F2)*(L6+2.5*F3*B9)+4*B16)/4</f>
        <v>27.091652500000002</v>
      </c>
      <c r="F72">
        <f t="shared" si="10"/>
        <v>27.091652500000002</v>
      </c>
      <c r="G72">
        <f t="shared" si="11"/>
        <v>27.091652500000002</v>
      </c>
      <c r="H72" t="str">
        <f t="shared" si="12"/>
        <v>加速</v>
      </c>
      <c r="I72" t="s">
        <v>79</v>
      </c>
      <c r="J72">
        <f t="shared" si="6"/>
        <v>704962.53412374889</v>
      </c>
      <c r="K72" t="s">
        <v>310</v>
      </c>
    </row>
    <row r="73" spans="1:11" x14ac:dyDescent="0.2">
      <c r="A73" t="s">
        <v>44</v>
      </c>
      <c r="B73" t="s">
        <v>92</v>
      </c>
      <c r="C73">
        <f>((2*G40+G35)+(3/D2)*(I6+D3*B9))</f>
        <v>79.213558022499996</v>
      </c>
      <c r="D73">
        <f>((2*G40+G35)+(3/D2)*(I6+2.5*D3*B9)+3*B16)/1.25</f>
        <v>64.692766417999991</v>
      </c>
      <c r="E73">
        <f>(2*(2*G40+G35)+(3/D2)*(I6+2.5*D3*B9)+6*B16)/2</f>
        <v>60.810379011249985</v>
      </c>
      <c r="F73">
        <f t="shared" si="10"/>
        <v>60.810379011249985</v>
      </c>
      <c r="G73">
        <f t="shared" si="11"/>
        <v>60.810379011249985</v>
      </c>
      <c r="H73" t="str">
        <f t="shared" si="12"/>
        <v>加速</v>
      </c>
      <c r="I73" t="s">
        <v>44</v>
      </c>
      <c r="J73">
        <f t="shared" si="6"/>
        <v>314068.09677122289</v>
      </c>
      <c r="K73" t="s">
        <v>310</v>
      </c>
    </row>
    <row r="74" spans="1:11" x14ac:dyDescent="0.2">
      <c r="A74" t="s">
        <v>71</v>
      </c>
      <c r="B74" t="s">
        <v>171</v>
      </c>
      <c r="C74">
        <f>((2*G41+2*G37+G73)+(8/B2)*(F6+B3*B9))</f>
        <v>153.43521769291664</v>
      </c>
      <c r="D74">
        <f>((2*G41+2*G37+G73)+(8/B2)*(F6+2.5*B3*B9)+5*B16)/1.25</f>
        <v>125.09825415433333</v>
      </c>
      <c r="E74">
        <f>(2*(2*G41+2*G37+G73)+(8/B2)*(F6+2.5*B3*B9)+10*B16)/2</f>
        <v>124.91148435958331</v>
      </c>
      <c r="F74">
        <f t="shared" si="10"/>
        <v>124.91148435958331</v>
      </c>
      <c r="G74">
        <f t="shared" si="11"/>
        <v>124.91148435958331</v>
      </c>
      <c r="H74" t="str">
        <f t="shared" si="12"/>
        <v>加速</v>
      </c>
      <c r="I74" t="s">
        <v>71</v>
      </c>
      <c r="J74">
        <f t="shared" si="6"/>
        <v>152897.07025673287</v>
      </c>
      <c r="K74" t="s">
        <v>310</v>
      </c>
    </row>
    <row r="75" spans="1:11" x14ac:dyDescent="0.2">
      <c r="A75" t="s">
        <v>467</v>
      </c>
      <c r="B75" t="s">
        <v>468</v>
      </c>
      <c r="C75">
        <f>((3*G39+G33)+(4/D2)*(I6+D3*B9))/2</f>
        <v>37.712961520625001</v>
      </c>
      <c r="D75">
        <f>((3*G39+G33)+(4/D2)*(I6+2.5*D3*B9)+4*B16)/2.5</f>
        <v>31.051649216499992</v>
      </c>
      <c r="E75">
        <f>((3*G39+G33)+(2/D2)*(I6+2.5*D3*B9)+4*B16)/2</f>
        <v>25.444175513124996</v>
      </c>
      <c r="F75">
        <f t="shared" si="10"/>
        <v>25.444175513124996</v>
      </c>
      <c r="G75">
        <f t="shared" si="11"/>
        <v>25.444175513124996</v>
      </c>
      <c r="H75" t="str">
        <f t="shared" si="12"/>
        <v>加速</v>
      </c>
      <c r="I75" t="s">
        <v>467</v>
      </c>
      <c r="J75">
        <f t="shared" si="6"/>
        <v>750607.93344033777</v>
      </c>
      <c r="K75" t="s">
        <v>310</v>
      </c>
    </row>
    <row r="78" spans="1:11" ht="19.5" x14ac:dyDescent="0.2">
      <c r="A78" s="21" t="s">
        <v>222</v>
      </c>
      <c r="B78" s="21"/>
      <c r="C78" s="21"/>
      <c r="D78" s="21"/>
      <c r="E78" s="21"/>
      <c r="F78" s="21"/>
    </row>
    <row r="79" spans="1:11" x14ac:dyDescent="0.2">
      <c r="A79" t="s">
        <v>70</v>
      </c>
      <c r="B79" t="s">
        <v>170</v>
      </c>
      <c r="C79">
        <f>((2*G61+3*G42+G35)+(3/B2)*(F6+B3*B9))</f>
        <v>157.13100000000006</v>
      </c>
      <c r="D79">
        <f>((2*G61+3*G42+G35)+(3/B2)*(F6+2.5*B3*B9)+6*B16)/1.25</f>
        <v>126.58608000000004</v>
      </c>
      <c r="E79">
        <f>(2*(2*G61+3*G42+G35)+(3/B2)*(F6+2.5*B3*B9)+12*B16)/2</f>
        <v>146.43460000000005</v>
      </c>
      <c r="F79">
        <f t="shared" ref="F79:F94" si="13">MIN(C79:E79)</f>
        <v>126.58608000000004</v>
      </c>
      <c r="G79">
        <f t="shared" ref="G79:G94" si="14">F79</f>
        <v>126.58608000000004</v>
      </c>
      <c r="H79" t="str">
        <f t="shared" ref="H79:H94" si="15">IF(C79=G79,"不使用增产剂","")&amp;IF(D79=G79,"增产","")&amp;IF(E79=G79,"加速","")</f>
        <v>增产</v>
      </c>
      <c r="I79" t="s">
        <v>70</v>
      </c>
      <c r="J79">
        <f t="shared" si="6"/>
        <v>150874.40893975069</v>
      </c>
      <c r="K79" t="s">
        <v>310</v>
      </c>
    </row>
    <row r="80" spans="1:11" x14ac:dyDescent="0.2">
      <c r="A80" t="s">
        <v>66</v>
      </c>
      <c r="B80" t="s">
        <v>166</v>
      </c>
      <c r="C80">
        <f>(4*G38+G68)+(6/B2)*(E6+B3*B9)</f>
        <v>311.59735333333333</v>
      </c>
      <c r="D80">
        <f>((4*G38+G68)+(6/B2)*(E6+2.5*B3*B9)+5*B16)/1.25</f>
        <v>251.04044266666665</v>
      </c>
      <c r="E80">
        <f>(2*(4*G38+G68)+(6/B2)*(E6+2.5*B3*B9)+10*B16)/2</f>
        <v>290.20455333333331</v>
      </c>
      <c r="F80">
        <f t="shared" si="13"/>
        <v>251.04044266666665</v>
      </c>
      <c r="G80">
        <f t="shared" si="14"/>
        <v>251.04044266666665</v>
      </c>
      <c r="H80" t="str">
        <f t="shared" si="15"/>
        <v>增产</v>
      </c>
      <c r="I80" t="s">
        <v>66</v>
      </c>
      <c r="J80">
        <f t="shared" si="6"/>
        <v>76077.781719654085</v>
      </c>
      <c r="K80" t="s">
        <v>310</v>
      </c>
    </row>
    <row r="81" spans="1:11" x14ac:dyDescent="0.2">
      <c r="A81" t="s">
        <v>78</v>
      </c>
      <c r="B81" t="s">
        <v>188</v>
      </c>
      <c r="C81">
        <f>(2*G59+2*G65)+(6/B2)*(E6+B3*B9)</f>
        <v>381.40930534833336</v>
      </c>
      <c r="D81">
        <f>((2*G59+2*G65)+(6/B2)*(E6+2.5*B3*B9)+4*B16)/1.25</f>
        <v>306.89000427866665</v>
      </c>
      <c r="E81">
        <f>(2*(2*G59+2*G65)+(6/B2)*(E6+2.5*B3*B9)+8*B16)/2</f>
        <v>360.01650534833334</v>
      </c>
      <c r="F81">
        <f t="shared" si="13"/>
        <v>306.89000427866665</v>
      </c>
      <c r="G81">
        <f t="shared" si="14"/>
        <v>306.89000427866665</v>
      </c>
      <c r="H81" t="str">
        <f t="shared" si="15"/>
        <v>增产</v>
      </c>
      <c r="I81" t="s">
        <v>78</v>
      </c>
      <c r="J81">
        <f t="shared" si="6"/>
        <v>62232.72095450139</v>
      </c>
      <c r="K81" t="s">
        <v>310</v>
      </c>
    </row>
    <row r="82" spans="1:11" x14ac:dyDescent="0.2">
      <c r="A82" t="s">
        <v>75</v>
      </c>
      <c r="B82" t="s">
        <v>183</v>
      </c>
      <c r="C82">
        <f>((4*G41+G52+G32)+(6/B2)*(F6+B3*B9))</f>
        <v>125.96834403</v>
      </c>
      <c r="D82">
        <f>((4*G41+G52+G32)+(6/B2)*(F6+2.5*B3*B9)+6*B16)/1.25</f>
        <v>102.537235224</v>
      </c>
      <c r="E82">
        <f>(2*(4*G41+G52+G32)+(6/B2)*(F6+2.5*B3*B9)+12*B16)/2</f>
        <v>104.57554403</v>
      </c>
      <c r="F82">
        <f t="shared" si="13"/>
        <v>102.537235224</v>
      </c>
      <c r="G82">
        <f t="shared" si="14"/>
        <v>102.537235224</v>
      </c>
      <c r="H82" t="str">
        <f t="shared" si="15"/>
        <v>增产</v>
      </c>
      <c r="I82" t="s">
        <v>75</v>
      </c>
      <c r="J82">
        <f t="shared" si="6"/>
        <v>186260.14206719858</v>
      </c>
      <c r="K82" t="s">
        <v>310</v>
      </c>
    </row>
    <row r="83" spans="1:11" x14ac:dyDescent="0.2">
      <c r="A83" t="s">
        <v>76</v>
      </c>
      <c r="B83" t="s">
        <v>184</v>
      </c>
      <c r="C83">
        <f>((3*G82+3*G71+3*G59)+(8/B2)*(F6+B3*B9))</f>
        <v>594.12816184429164</v>
      </c>
      <c r="D83">
        <f>((3*G82+3*G71+3*G59)+(8/B2)*(F6+2.5*B3*B9)+9*B16)/1.25</f>
        <v>477.65260947543339</v>
      </c>
      <c r="E83">
        <f>(2*(3*G82+3*G71+3*G59)+(8/B2)*(F6+2.5*B3*B9)+18*B16)/2</f>
        <v>565.60442851095831</v>
      </c>
      <c r="F83">
        <f t="shared" si="13"/>
        <v>477.65260947543339</v>
      </c>
      <c r="G83">
        <f t="shared" si="14"/>
        <v>477.65260947543339</v>
      </c>
      <c r="H83" t="str">
        <f t="shared" si="15"/>
        <v>增产</v>
      </c>
      <c r="I83" t="s">
        <v>76</v>
      </c>
      <c r="J83">
        <f t="shared" si="6"/>
        <v>39984.289044237448</v>
      </c>
      <c r="K83" t="s">
        <v>310</v>
      </c>
    </row>
    <row r="84" spans="1:11" x14ac:dyDescent="0.2">
      <c r="A84" t="s">
        <v>73</v>
      </c>
      <c r="B84" t="s">
        <v>181</v>
      </c>
      <c r="C84">
        <f>((B22+G59)+(20/B2)*(E6+B3*B9))</f>
        <v>225.6712</v>
      </c>
      <c r="D84">
        <f>((B22+G59)+(20/B2)*(E6+2.5*B3*B9)+2*B16)/1.25</f>
        <v>186.41216000000003</v>
      </c>
      <c r="E84">
        <f>(2*(B22+G59)+(20/B2)*(E6+2.5*B3*B9)+4*B16)/2</f>
        <v>154.36186666666669</v>
      </c>
      <c r="F84">
        <f t="shared" si="13"/>
        <v>154.36186666666669</v>
      </c>
      <c r="G84">
        <f t="shared" si="14"/>
        <v>154.36186666666669</v>
      </c>
      <c r="H84" t="str">
        <f t="shared" si="15"/>
        <v>加速</v>
      </c>
      <c r="I84" t="s">
        <v>73</v>
      </c>
      <c r="J84">
        <f t="shared" si="6"/>
        <v>123726.15343685918</v>
      </c>
      <c r="K84" t="s">
        <v>310</v>
      </c>
    </row>
    <row r="85" spans="1:11" x14ac:dyDescent="0.2">
      <c r="A85" t="s">
        <v>179</v>
      </c>
      <c r="B85" t="s">
        <v>180</v>
      </c>
      <c r="C85">
        <f>(G105+(10/B2)*(D6+B3*B9))/8</f>
        <v>39.504789013933333</v>
      </c>
      <c r="D85">
        <f>(G105+(10/B2)*(D6+2.5*B3*B9)+B16)/10</f>
        <v>31.97103121114667</v>
      </c>
      <c r="E85">
        <f>(2*G105+(10/B2)*(D6+2.5*B3*B9)+2*B16)/16</f>
        <v>35.047955680599998</v>
      </c>
      <c r="F85">
        <f t="shared" si="13"/>
        <v>31.97103121114667</v>
      </c>
      <c r="G85">
        <f t="shared" si="14"/>
        <v>31.97103121114667</v>
      </c>
      <c r="H85" t="str">
        <f t="shared" si="15"/>
        <v>增产</v>
      </c>
      <c r="I85" t="s">
        <v>179</v>
      </c>
      <c r="J85">
        <f t="shared" si="6"/>
        <v>597372.03576158942</v>
      </c>
      <c r="K85" t="s">
        <v>310</v>
      </c>
    </row>
    <row r="86" spans="1:11" x14ac:dyDescent="0.2">
      <c r="A86" t="s">
        <v>68</v>
      </c>
      <c r="B86" t="s">
        <v>168</v>
      </c>
      <c r="C86">
        <f>((2*G83+4*G91+2*G81)+(6/B2)*(F6+B3*B9))</f>
        <v>2005.0757555082002</v>
      </c>
      <c r="D86">
        <f>((2*G83+4*G91+2*G81)+(6/B2)*(F6+2.5*B3*B9)+8*B16)/1.25</f>
        <v>1605.8231644065602</v>
      </c>
      <c r="E86">
        <f>(2*(2*G83+4*G91+2*G81)+(6/B2)*(F6+2.5*B3*B9)+16*B16)/2</f>
        <v>1983.6829555082002</v>
      </c>
      <c r="F86">
        <f t="shared" si="13"/>
        <v>1605.8231644065602</v>
      </c>
      <c r="G86">
        <f t="shared" si="14"/>
        <v>1605.8231644065602</v>
      </c>
      <c r="H86" t="str">
        <f t="shared" si="15"/>
        <v>增产</v>
      </c>
      <c r="I86" t="s">
        <v>68</v>
      </c>
      <c r="J86">
        <f t="shared" si="6"/>
        <v>11893.339455629277</v>
      </c>
      <c r="K86" t="s">
        <v>310</v>
      </c>
    </row>
    <row r="87" spans="1:11" x14ac:dyDescent="0.2">
      <c r="A87" t="s">
        <v>46</v>
      </c>
      <c r="B87" t="s">
        <v>140</v>
      </c>
      <c r="C87">
        <f>(0.5/B2)*(D6+B3*B9)</f>
        <v>3.7490666666666668</v>
      </c>
      <c r="D87">
        <f>((0.5/B2)*(D6+2.5*B3*B9)+B16)/1.25</f>
        <v>3.1461333333333337</v>
      </c>
      <c r="E87">
        <f>((0.5/B2)*(D6+2.5*B3*B9)+2*B16)/2</f>
        <v>1.9663333333333335</v>
      </c>
      <c r="F87">
        <f t="shared" si="13"/>
        <v>1.9663333333333335</v>
      </c>
      <c r="G87">
        <f t="shared" si="14"/>
        <v>1.9663333333333335</v>
      </c>
      <c r="H87" t="str">
        <f t="shared" si="15"/>
        <v>加速</v>
      </c>
      <c r="I87" t="s">
        <v>46</v>
      </c>
      <c r="J87">
        <f t="shared" si="6"/>
        <v>9712798.7794541437</v>
      </c>
      <c r="K87" t="s">
        <v>310</v>
      </c>
    </row>
    <row r="88" spans="1:11" x14ac:dyDescent="0.2">
      <c r="A88" t="s">
        <v>47</v>
      </c>
      <c r="B88" t="s">
        <v>141</v>
      </c>
      <c r="C88">
        <f>((2*G87+G38)+(1/B2)*(E6+B3*B9))</f>
        <v>12.965300000000001</v>
      </c>
      <c r="D88">
        <f>((2*G87+G38)+(1/B2)*(E6+2.5*B3*B9)+3*B16)/1.25</f>
        <v>10.666</v>
      </c>
      <c r="E88">
        <f>(2*(2*G87+G38)+(1/B2)*(E6+2.5*B3*B9)+6*B16)/2</f>
        <v>9.3998333333333335</v>
      </c>
      <c r="F88">
        <f t="shared" si="13"/>
        <v>9.3998333333333335</v>
      </c>
      <c r="G88">
        <f t="shared" si="14"/>
        <v>9.3998333333333335</v>
      </c>
      <c r="H88" t="str">
        <f t="shared" si="15"/>
        <v>加速</v>
      </c>
      <c r="I88" t="s">
        <v>47</v>
      </c>
      <c r="J88">
        <f t="shared" si="6"/>
        <v>2031801.9823046508</v>
      </c>
      <c r="K88" t="s">
        <v>310</v>
      </c>
    </row>
    <row r="89" spans="1:11" x14ac:dyDescent="0.2">
      <c r="A89" t="s">
        <v>48</v>
      </c>
      <c r="B89" t="s">
        <v>142</v>
      </c>
      <c r="C89">
        <f>((2*G88+G22)+(2/B2)*(E6+B3*B9))</f>
        <v>47.16631934083334</v>
      </c>
      <c r="D89">
        <f>((2*G88+G22)+(2/B2)*(E6+2.5*B3*B9)+3*B16)/1.25</f>
        <v>38.320575472666668</v>
      </c>
      <c r="E89">
        <f>(2*(2*G88+G22)+(2/B2)*(E6+2.5*B3*B9)+6*B16)/2</f>
        <v>40.035386007500001</v>
      </c>
      <c r="F89">
        <f t="shared" si="13"/>
        <v>38.320575472666668</v>
      </c>
      <c r="G89">
        <f t="shared" si="14"/>
        <v>38.320575472666668</v>
      </c>
      <c r="H89" t="str">
        <f t="shared" si="15"/>
        <v>增产</v>
      </c>
      <c r="I89" t="s">
        <v>48</v>
      </c>
      <c r="J89">
        <f t="shared" si="6"/>
        <v>498390.21894706838</v>
      </c>
      <c r="K89" t="s">
        <v>310</v>
      </c>
    </row>
    <row r="90" spans="1:11" x14ac:dyDescent="0.2">
      <c r="A90" t="s">
        <v>56</v>
      </c>
      <c r="B90" t="s">
        <v>151</v>
      </c>
      <c r="C90">
        <f>(G33+(6/B2)*(E6+B3*B9))/2</f>
        <v>24.540400000000002</v>
      </c>
      <c r="D90">
        <f>(G33+(6/B2)*(E6+2.5*B3*B9)+11*B16)/2.5</f>
        <v>20.513600000000004</v>
      </c>
      <c r="E90">
        <f>(2*G33+(6/B2)*(E6+2.5*B3*B9)+22*B16)/4</f>
        <v>13.844000000000001</v>
      </c>
      <c r="F90">
        <f t="shared" si="13"/>
        <v>13.844000000000001</v>
      </c>
      <c r="G90">
        <f t="shared" si="14"/>
        <v>13.844000000000001</v>
      </c>
      <c r="H90" t="str">
        <f t="shared" si="15"/>
        <v>加速</v>
      </c>
      <c r="I90" t="s">
        <v>56</v>
      </c>
      <c r="J90">
        <f t="shared" si="6"/>
        <v>1379557.9312337474</v>
      </c>
      <c r="K90" t="s">
        <v>310</v>
      </c>
    </row>
    <row r="91" spans="1:11" x14ac:dyDescent="0.2">
      <c r="A91" t="s">
        <v>55</v>
      </c>
      <c r="B91" t="s">
        <v>152</v>
      </c>
      <c r="C91">
        <f>((G52+20*C22+G79)+(12/B2)*(F6+B3*B9))/2</f>
        <v>119.98484000000002</v>
      </c>
      <c r="D91">
        <f>((G52+20*C22+G79)+(12/B2)*(F6+2.5*B3*B9)+22*B16)/2.5</f>
        <v>97.750432000000018</v>
      </c>
      <c r="E91">
        <f>(2*(G52+20*C22+G79)+(12/B2)*(F6+2.5*B3*B9)+44*B16)/4</f>
        <v>98.592040000000026</v>
      </c>
      <c r="F91">
        <f t="shared" si="13"/>
        <v>97.750432000000018</v>
      </c>
      <c r="G91">
        <f t="shared" si="14"/>
        <v>97.750432000000018</v>
      </c>
      <c r="H91" t="str">
        <f t="shared" si="15"/>
        <v>增产</v>
      </c>
      <c r="I91" t="s">
        <v>55</v>
      </c>
      <c r="J91">
        <f t="shared" si="6"/>
        <v>195381.23371158089</v>
      </c>
      <c r="K91" t="s">
        <v>310</v>
      </c>
    </row>
    <row r="92" spans="1:11" x14ac:dyDescent="0.2">
      <c r="A92" t="s">
        <v>53</v>
      </c>
      <c r="B92" t="s">
        <v>154</v>
      </c>
      <c r="C92">
        <f>((12*G72+G84+G52)+(24/B2)*(G6+B3*B9))/2</f>
        <v>346.53144833333334</v>
      </c>
      <c r="D92" t="s">
        <v>245</v>
      </c>
      <c r="E92">
        <f>(2*(12*G72+G84+G52)+(24/B2)*(G6+2.5*B3*B9)+52*B16)/4</f>
        <v>301.18584833333335</v>
      </c>
      <c r="F92">
        <f t="shared" si="13"/>
        <v>301.18584833333335</v>
      </c>
      <c r="G92">
        <f t="shared" si="14"/>
        <v>301.18584833333335</v>
      </c>
      <c r="H92" t="str">
        <f t="shared" si="15"/>
        <v>加速</v>
      </c>
      <c r="I92" t="s">
        <v>53</v>
      </c>
      <c r="J92">
        <f t="shared" si="6"/>
        <v>63411.345870616351</v>
      </c>
      <c r="K92" t="s">
        <v>310</v>
      </c>
    </row>
    <row r="93" spans="1:11" x14ac:dyDescent="0.2">
      <c r="A93" t="s">
        <v>60</v>
      </c>
      <c r="B93" t="s">
        <v>160</v>
      </c>
      <c r="C93">
        <f>(2*G51+3*G31)+(4/B2)*(E6+B3*B9)</f>
        <v>60.682533333333339</v>
      </c>
      <c r="D93">
        <f>((2*G51+3*G31)+(4/B2)*(E6+2.5*B3*B9)+5*B16)/1.25</f>
        <v>49.721066666666673</v>
      </c>
      <c r="E93">
        <f>(2*(2*G51+3*G31)+(4/B2)*(E6+2.5*B3*B9)+10*B16)/2</f>
        <v>46.420666666666676</v>
      </c>
      <c r="F93">
        <f t="shared" si="13"/>
        <v>46.420666666666676</v>
      </c>
      <c r="G93">
        <f t="shared" si="14"/>
        <v>46.420666666666676</v>
      </c>
      <c r="H93" t="str">
        <f t="shared" si="15"/>
        <v>加速</v>
      </c>
      <c r="I93" t="s">
        <v>60</v>
      </c>
      <c r="J93">
        <f t="shared" si="6"/>
        <v>411424.50919848908</v>
      </c>
      <c r="K93" t="s">
        <v>310</v>
      </c>
    </row>
    <row r="94" spans="1:11" x14ac:dyDescent="0.2">
      <c r="A94" t="s">
        <v>61</v>
      </c>
      <c r="B94" t="s">
        <v>161</v>
      </c>
      <c r="C94">
        <f>(5*G52+5*G61)+(6/B2)*(E6+B3*B9)</f>
        <v>465.36280000000011</v>
      </c>
      <c r="D94">
        <f>((5*G52+5*G61)+(6/B2)*(E6+2.5*B3*B9)+10*B16)/1.25</f>
        <v>374.05280000000005</v>
      </c>
      <c r="E94">
        <f>(2*(5*G52+5*G61)+(6/B2)*(E6+2.5*B3*B9)+20*B16)/2</f>
        <v>443.97000000000008</v>
      </c>
      <c r="F94">
        <f t="shared" si="13"/>
        <v>374.05280000000005</v>
      </c>
      <c r="G94">
        <f t="shared" si="14"/>
        <v>374.05280000000005</v>
      </c>
      <c r="H94" t="str">
        <f t="shared" si="15"/>
        <v>增产</v>
      </c>
      <c r="I94" t="s">
        <v>61</v>
      </c>
      <c r="J94">
        <f t="shared" si="6"/>
        <v>51058.567132768418</v>
      </c>
      <c r="K94" t="s">
        <v>310</v>
      </c>
    </row>
    <row r="100" spans="1:11" ht="19.5" x14ac:dyDescent="0.2">
      <c r="A100" s="21" t="s">
        <v>22</v>
      </c>
      <c r="B100" s="21"/>
      <c r="C100" s="21"/>
      <c r="D100" s="21"/>
      <c r="E100" s="21"/>
      <c r="F100" s="21"/>
    </row>
    <row r="101" spans="1:11" x14ac:dyDescent="0.2">
      <c r="A101" t="s">
        <v>80</v>
      </c>
      <c r="B101" t="s">
        <v>191</v>
      </c>
      <c r="C101">
        <f>(G50+G57)+(3/G2)*(P6+G3*B9)</f>
        <v>15.948266666666669</v>
      </c>
      <c r="D101">
        <f>((G50+G57)+(3/G2)*(P6+2.5*G3*B9)+2*B16)/1.25</f>
        <v>13.346133333333336</v>
      </c>
      <c r="E101">
        <f>(2*(G50+G57)+(3/G2)*(P6+2.5*G3*B9)+4*B16)/2</f>
        <v>13.888166666666667</v>
      </c>
      <c r="F101">
        <f t="shared" ref="F101:F106" si="16">MIN(C101:E101)</f>
        <v>13.346133333333336</v>
      </c>
      <c r="G101">
        <f t="shared" ref="G101:G106" si="17">F101</f>
        <v>13.346133333333336</v>
      </c>
      <c r="H101" t="str">
        <f t="shared" ref="H101:H106" si="18">IF(C101=G101,"不使用增产剂","")&amp;IF(D101=G101,"增产","")&amp;IF(E101=G101,"加速","")</f>
        <v>增产</v>
      </c>
      <c r="I101" t="s">
        <v>80</v>
      </c>
      <c r="J101">
        <f t="shared" ref="J101:J106" si="19">60*318310/G101</f>
        <v>1431021.2196291557</v>
      </c>
      <c r="K101" t="s">
        <v>310</v>
      </c>
    </row>
    <row r="102" spans="1:11" x14ac:dyDescent="0.2">
      <c r="A102" t="s">
        <v>81</v>
      </c>
      <c r="B102" t="s">
        <v>192</v>
      </c>
      <c r="C102">
        <f>((2*G35)+(6/G2)*(P6+G3*B9))</f>
        <v>17.8932</v>
      </c>
      <c r="D102">
        <f>((2*G35)+(6/G2)*(P6+2.5*G3*B9)+4*B16)/1.25</f>
        <v>15.489600000000001</v>
      </c>
      <c r="E102">
        <f>(2*(2*G35)+(6/G2)*(P6+2.5*G3*B9)+8*B16)/2</f>
        <v>13.773000000000001</v>
      </c>
      <c r="F102">
        <f t="shared" si="16"/>
        <v>13.773000000000001</v>
      </c>
      <c r="G102">
        <f t="shared" si="17"/>
        <v>13.773000000000001</v>
      </c>
      <c r="H102" t="str">
        <f t="shared" si="18"/>
        <v>加速</v>
      </c>
      <c r="I102" t="s">
        <v>81</v>
      </c>
      <c r="J102">
        <f t="shared" si="19"/>
        <v>1386669.570899586</v>
      </c>
      <c r="K102" t="s">
        <v>310</v>
      </c>
    </row>
    <row r="103" spans="1:11" x14ac:dyDescent="0.2">
      <c r="A103" t="s">
        <v>82</v>
      </c>
      <c r="B103" t="s">
        <v>193</v>
      </c>
      <c r="C103">
        <f>((G38+G62)+(8/G2)*(P6+G3*B9))</f>
        <v>42.486766666666668</v>
      </c>
      <c r="D103">
        <f>((G38+G62)+(8/G2)*(P6+2.5*G3*B9)+2*B16)/1.25</f>
        <v>35.556133333333335</v>
      </c>
      <c r="E103">
        <f>(2*(G38+G62)+(8/G2)*(P6+2.5*G3*B9)+4*B16)/2</f>
        <v>36.993166666666667</v>
      </c>
      <c r="F103">
        <f t="shared" si="16"/>
        <v>35.556133333333335</v>
      </c>
      <c r="G103">
        <f t="shared" si="17"/>
        <v>35.556133333333335</v>
      </c>
      <c r="H103" t="str">
        <f t="shared" si="18"/>
        <v>增产</v>
      </c>
      <c r="I103" t="s">
        <v>82</v>
      </c>
      <c r="J103">
        <f t="shared" si="19"/>
        <v>537139.39648480713</v>
      </c>
      <c r="K103" t="s">
        <v>310</v>
      </c>
    </row>
    <row r="104" spans="1:11" x14ac:dyDescent="0.2">
      <c r="A104" t="s">
        <v>83</v>
      </c>
      <c r="B104" t="s">
        <v>194</v>
      </c>
      <c r="C104">
        <f>((2*G59+G74)+(10/G2)*(P6+G3*B9))</f>
        <v>252.86521769291662</v>
      </c>
      <c r="D104">
        <f>((2*G59+G74)+(10/G2)*(P6+2.5*G3*B9)+3*B16)/1.25</f>
        <v>204.25057415433329</v>
      </c>
      <c r="E104">
        <f>(2*(2*G59+G74)+(10/G2)*(P6+2.5*G3*B9)+6*B16)/2</f>
        <v>245.99821769291663</v>
      </c>
      <c r="F104">
        <f t="shared" si="16"/>
        <v>204.25057415433329</v>
      </c>
      <c r="G104">
        <f t="shared" si="17"/>
        <v>204.25057415433329</v>
      </c>
      <c r="H104" t="str">
        <f t="shared" si="18"/>
        <v>增产</v>
      </c>
      <c r="I104" t="s">
        <v>83</v>
      </c>
      <c r="J104">
        <f t="shared" si="19"/>
        <v>93505.734703927694</v>
      </c>
      <c r="K104" t="s">
        <v>310</v>
      </c>
    </row>
    <row r="105" spans="1:11" x14ac:dyDescent="0.2">
      <c r="A105" t="s">
        <v>84</v>
      </c>
      <c r="B105" t="s">
        <v>195</v>
      </c>
      <c r="C105">
        <f>((G81+G80)+(24/G2)*(P6+G3*B9))/2</f>
        <v>298.38362347266667</v>
      </c>
      <c r="D105">
        <f>((G81+G80)+(24/G2)*(P6+2.5*G3*B9)+2*B16)/2.5</f>
        <v>241.05697877813333</v>
      </c>
      <c r="E105">
        <f>(2*(G81+G80)+(24/G2)*(P6+2.5*G3*B9)+4*B16)/4</f>
        <v>290.14322347266665</v>
      </c>
      <c r="F105">
        <f t="shared" si="16"/>
        <v>241.05697877813333</v>
      </c>
      <c r="G105">
        <f t="shared" si="17"/>
        <v>241.05697877813333</v>
      </c>
      <c r="H105" t="str">
        <f t="shared" si="18"/>
        <v>增产</v>
      </c>
      <c r="I105" t="s">
        <v>84</v>
      </c>
      <c r="J105">
        <f t="shared" si="19"/>
        <v>79228.571173532298</v>
      </c>
      <c r="K105" t="s">
        <v>310</v>
      </c>
    </row>
    <row r="106" spans="1:11" x14ac:dyDescent="0.2">
      <c r="A106" t="s">
        <v>85</v>
      </c>
      <c r="B106" t="s">
        <v>196</v>
      </c>
      <c r="C106">
        <f>(G101+G102+G103+G104+G105+G72)+(15/G2)*(Q6+G3*B9)</f>
        <v>559.34747209913326</v>
      </c>
      <c r="D106">
        <f>((G101+G102+G103+G104+G105+G72)+(15/G2)*(Q6+2.5*G3*B9)+6*B16)/1.25</f>
        <v>450.41557767930664</v>
      </c>
      <c r="E106">
        <f>(2*(G101+G102+G103+G104+G105+G72)+(15/G2)*(Q6+2.5*G3*B9)+12*B16)/2</f>
        <v>549.0469720991332</v>
      </c>
      <c r="F106">
        <f t="shared" si="16"/>
        <v>450.41557767930664</v>
      </c>
      <c r="G106">
        <f t="shared" si="17"/>
        <v>450.41557767930664</v>
      </c>
      <c r="H106" t="str">
        <f t="shared" si="18"/>
        <v>增产</v>
      </c>
      <c r="I106" t="s">
        <v>85</v>
      </c>
      <c r="J106">
        <f t="shared" si="19"/>
        <v>42402.174672560053</v>
      </c>
      <c r="K106" t="s">
        <v>310</v>
      </c>
    </row>
  </sheetData>
  <mergeCells count="6">
    <mergeCell ref="A100:F100"/>
    <mergeCell ref="A26:F26"/>
    <mergeCell ref="A29:F29"/>
    <mergeCell ref="C27:G27"/>
    <mergeCell ref="A49:F49"/>
    <mergeCell ref="A78:F78"/>
  </mergeCells>
  <phoneticPr fontId="1" type="noConversion"/>
  <conditionalFormatting sqref="A43:B75">
    <cfRule type="cellIs" dxfId="33" priority="4" operator="equal">
      <formula>"不使用增产剂"</formula>
    </cfRule>
    <cfRule type="cellIs" dxfId="32" priority="5" operator="equal">
      <formula>"加速"</formula>
    </cfRule>
    <cfRule type="cellIs" dxfId="31" priority="6" operator="equal">
      <formula>"增产"</formula>
    </cfRule>
  </conditionalFormatting>
  <conditionalFormatting sqref="A49:F49">
    <cfRule type="cellIs" dxfId="30" priority="25" operator="equal">
      <formula>"不使用增产剂"</formula>
    </cfRule>
    <cfRule type="cellIs" dxfId="29" priority="26" operator="equal">
      <formula>"加速"</formula>
    </cfRule>
    <cfRule type="cellIs" dxfId="28" priority="27" operator="equal">
      <formula>"增产"</formula>
    </cfRule>
  </conditionalFormatting>
  <conditionalFormatting sqref="A78:F78">
    <cfRule type="cellIs" dxfId="27" priority="22" operator="equal">
      <formula>"不使用增产剂"</formula>
    </cfRule>
    <cfRule type="cellIs" dxfId="26" priority="23" operator="equal">
      <formula>"加速"</formula>
    </cfRule>
    <cfRule type="cellIs" dxfId="25" priority="24" operator="equal">
      <formula>"增产"</formula>
    </cfRule>
  </conditionalFormatting>
  <conditionalFormatting sqref="A100:F100">
    <cfRule type="cellIs" dxfId="24" priority="19" operator="equal">
      <formula>"不使用增产剂"</formula>
    </cfRule>
    <cfRule type="cellIs" dxfId="23" priority="20" operator="equal">
      <formula>"加速"</formula>
    </cfRule>
    <cfRule type="cellIs" dxfId="22" priority="21" operator="equal">
      <formula>"增产"</formula>
    </cfRule>
  </conditionalFormatting>
  <conditionalFormatting sqref="A26:H38 A39:G42 H39:H49 F43:G44 A45:G47 F48 A50:H74 F75:H75">
    <cfRule type="cellIs" dxfId="21" priority="28" operator="equal">
      <formula>"不使用增产剂"</formula>
    </cfRule>
    <cfRule type="cellIs" dxfId="20" priority="29" operator="equal">
      <formula>"加速"</formula>
    </cfRule>
    <cfRule type="cellIs" dxfId="19" priority="30" operator="equal">
      <formula>"增产"</formula>
    </cfRule>
  </conditionalFormatting>
  <conditionalFormatting sqref="A79:I94">
    <cfRule type="cellIs" dxfId="18" priority="10" operator="equal">
      <formula>"不使用增产剂"</formula>
    </cfRule>
    <cfRule type="cellIs" dxfId="17" priority="11" operator="equal">
      <formula>"加速"</formula>
    </cfRule>
    <cfRule type="cellIs" dxfId="16" priority="12" operator="equal">
      <formula>"增产"</formula>
    </cfRule>
  </conditionalFormatting>
  <conditionalFormatting sqref="A101:I106">
    <cfRule type="cellIs" dxfId="15" priority="7" operator="equal">
      <formula>"不使用增产剂"</formula>
    </cfRule>
    <cfRule type="cellIs" dxfId="14" priority="8" operator="equal">
      <formula>"加速"</formula>
    </cfRule>
    <cfRule type="cellIs" dxfId="13" priority="9" operator="equal">
      <formula>"增产"</formula>
    </cfRule>
  </conditionalFormatting>
  <conditionalFormatting sqref="I30:I45">
    <cfRule type="cellIs" dxfId="12" priority="16" operator="equal">
      <formula>"不使用增产剂"</formula>
    </cfRule>
    <cfRule type="cellIs" dxfId="11" priority="17" operator="equal">
      <formula>"加速"</formula>
    </cfRule>
    <cfRule type="cellIs" dxfId="10" priority="18" operator="equal">
      <formula>"增产"</formula>
    </cfRule>
  </conditionalFormatting>
  <conditionalFormatting sqref="I50:I75">
    <cfRule type="cellIs" dxfId="9" priority="1" operator="equal">
      <formula>"不使用增产剂"</formula>
    </cfRule>
    <cfRule type="cellIs" dxfId="8" priority="2" operator="equal">
      <formula>"加速"</formula>
    </cfRule>
    <cfRule type="cellIs" dxfId="7" priority="3" operator="equal">
      <formula>"增产"</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5"/>
  <sheetViews>
    <sheetView workbookViewId="0">
      <selection sqref="A1:XFD1048576"/>
    </sheetView>
  </sheetViews>
  <sheetFormatPr defaultRowHeight="14.25" x14ac:dyDescent="0.2"/>
  <cols>
    <col min="1" max="1" width="42.625" customWidth="1"/>
    <col min="2" max="2" width="12.25" customWidth="1"/>
    <col min="3" max="3" width="13.125" customWidth="1"/>
    <col min="4" max="4" width="13" customWidth="1"/>
    <col min="5" max="5" width="12.125" customWidth="1"/>
    <col min="6" max="6" width="13" customWidth="1"/>
    <col min="7" max="7" width="13.75" customWidth="1"/>
    <col min="8" max="8" width="13" customWidth="1"/>
    <col min="9" max="9" width="12" customWidth="1"/>
    <col min="10" max="10" width="12.625" customWidth="1"/>
    <col min="11" max="11" width="12.125" customWidth="1"/>
    <col min="12" max="12" width="11.875" customWidth="1"/>
    <col min="13" max="13" width="10.75" customWidth="1"/>
    <col min="14" max="15" width="11.125" customWidth="1"/>
    <col min="16" max="16" width="11.875" customWidth="1"/>
    <col min="17" max="17" width="16.875" customWidth="1"/>
    <col min="18" max="18" width="13.625" customWidth="1"/>
    <col min="19" max="19" width="11.25" customWidth="1"/>
    <col min="20" max="20" width="13.75" customWidth="1"/>
    <col min="21" max="21" width="12" customWidth="1"/>
  </cols>
  <sheetData>
    <row r="1" spans="1:21" x14ac:dyDescent="0.2">
      <c r="A1" t="s">
        <v>243</v>
      </c>
      <c r="B1" t="s">
        <v>101</v>
      </c>
      <c r="C1" t="s">
        <v>102</v>
      </c>
      <c r="D1" t="s">
        <v>103</v>
      </c>
      <c r="E1" t="s">
        <v>105</v>
      </c>
      <c r="F1" t="s">
        <v>104</v>
      </c>
      <c r="G1" t="s">
        <v>153</v>
      </c>
      <c r="H1" t="s">
        <v>109</v>
      </c>
      <c r="I1" t="s">
        <v>110</v>
      </c>
      <c r="J1" t="s">
        <v>106</v>
      </c>
      <c r="K1" t="s">
        <v>107</v>
      </c>
      <c r="L1" t="s">
        <v>108</v>
      </c>
      <c r="M1" t="s">
        <v>111</v>
      </c>
      <c r="N1" t="s">
        <v>112</v>
      </c>
      <c r="O1" t="s">
        <v>236</v>
      </c>
      <c r="P1" t="s">
        <v>235</v>
      </c>
      <c r="Q1" t="s">
        <v>237</v>
      </c>
      <c r="R1" t="s">
        <v>32</v>
      </c>
      <c r="S1" t="s">
        <v>123</v>
      </c>
      <c r="T1" t="s">
        <v>241</v>
      </c>
      <c r="U1" t="s">
        <v>227</v>
      </c>
    </row>
    <row r="2" spans="1:21" x14ac:dyDescent="0.2">
      <c r="A2" t="s">
        <v>240</v>
      </c>
      <c r="B2">
        <v>6.96</v>
      </c>
      <c r="C2">
        <v>8.16</v>
      </c>
      <c r="D2">
        <v>11.52</v>
      </c>
      <c r="E2">
        <v>11.52</v>
      </c>
      <c r="F2">
        <v>12.8</v>
      </c>
      <c r="G2">
        <v>12.8</v>
      </c>
      <c r="H2">
        <f>6.5972906*3.775</f>
        <v>24.904772014999999</v>
      </c>
      <c r="I2">
        <v>26.4</v>
      </c>
      <c r="J2">
        <v>47.5</v>
      </c>
      <c r="K2">
        <v>47.5</v>
      </c>
      <c r="L2">
        <v>52.25</v>
      </c>
      <c r="M2">
        <v>19.5</v>
      </c>
      <c r="N2">
        <v>19.5</v>
      </c>
      <c r="O2">
        <v>22.5</v>
      </c>
      <c r="P2">
        <v>22.5</v>
      </c>
      <c r="Q2">
        <v>25.961500000000001</v>
      </c>
      <c r="R2">
        <v>48.96</v>
      </c>
      <c r="S2">
        <v>54.824300000000001</v>
      </c>
      <c r="T2">
        <v>16.670000000000002</v>
      </c>
      <c r="U2">
        <v>10.5</v>
      </c>
    </row>
    <row r="3" spans="1:21" x14ac:dyDescent="0.2">
      <c r="A3" t="s">
        <v>242</v>
      </c>
      <c r="B3">
        <v>12</v>
      </c>
      <c r="C3">
        <v>15</v>
      </c>
      <c r="D3">
        <v>16</v>
      </c>
      <c r="E3">
        <v>16</v>
      </c>
      <c r="F3">
        <v>20</v>
      </c>
      <c r="G3">
        <v>20</v>
      </c>
      <c r="H3">
        <v>35</v>
      </c>
      <c r="I3">
        <v>35</v>
      </c>
      <c r="J3">
        <v>55</v>
      </c>
      <c r="K3">
        <v>55</v>
      </c>
      <c r="L3">
        <v>55</v>
      </c>
      <c r="M3">
        <v>21</v>
      </c>
      <c r="N3">
        <v>21</v>
      </c>
      <c r="O3">
        <v>30</v>
      </c>
      <c r="P3">
        <v>30</v>
      </c>
      <c r="Q3">
        <v>38.5</v>
      </c>
      <c r="R3">
        <v>60</v>
      </c>
      <c r="S3">
        <v>63.92</v>
      </c>
      <c r="T3">
        <v>24</v>
      </c>
      <c r="U3">
        <v>12</v>
      </c>
    </row>
    <row r="4" spans="1:21" x14ac:dyDescent="0.2">
      <c r="A4" t="s">
        <v>244</v>
      </c>
      <c r="B4">
        <v>12</v>
      </c>
      <c r="C4">
        <v>15</v>
      </c>
      <c r="D4">
        <v>20</v>
      </c>
      <c r="E4">
        <v>22</v>
      </c>
      <c r="F4">
        <v>24</v>
      </c>
      <c r="G4">
        <v>26</v>
      </c>
      <c r="H4">
        <v>42</v>
      </c>
      <c r="I4">
        <v>45.5</v>
      </c>
      <c r="J4">
        <v>55</v>
      </c>
      <c r="K4">
        <v>57.5</v>
      </c>
      <c r="L4">
        <v>60</v>
      </c>
      <c r="M4">
        <v>22.5</v>
      </c>
      <c r="N4">
        <v>24</v>
      </c>
      <c r="O4">
        <v>30</v>
      </c>
      <c r="P4">
        <v>40</v>
      </c>
      <c r="Q4">
        <v>60.5</v>
      </c>
      <c r="R4">
        <v>60</v>
      </c>
      <c r="S4">
        <v>63.92</v>
      </c>
      <c r="T4">
        <v>24</v>
      </c>
      <c r="U4">
        <v>12</v>
      </c>
    </row>
    <row r="5" spans="1:21" x14ac:dyDescent="0.2">
      <c r="A5" t="s">
        <v>340</v>
      </c>
      <c r="B5">
        <v>7.68</v>
      </c>
      <c r="C5">
        <v>9.6</v>
      </c>
      <c r="D5">
        <v>12.8</v>
      </c>
      <c r="E5">
        <v>12.8</v>
      </c>
      <c r="F5">
        <v>12.8</v>
      </c>
      <c r="G5">
        <v>14.4</v>
      </c>
      <c r="H5">
        <v>30.6</v>
      </c>
      <c r="I5">
        <v>30.6</v>
      </c>
      <c r="J5">
        <v>47.5</v>
      </c>
      <c r="K5">
        <v>47.5</v>
      </c>
      <c r="L5">
        <v>52.25</v>
      </c>
      <c r="M5">
        <v>21</v>
      </c>
      <c r="N5">
        <v>21</v>
      </c>
      <c r="O5">
        <v>24.75</v>
      </c>
      <c r="P5">
        <v>24.75</v>
      </c>
      <c r="Q5">
        <v>27.5</v>
      </c>
      <c r="R5">
        <v>48.96</v>
      </c>
      <c r="S5">
        <v>54.824300000000001</v>
      </c>
      <c r="T5">
        <v>16.670000000000002</v>
      </c>
      <c r="U5">
        <v>10.5</v>
      </c>
    </row>
    <row r="6" spans="1:21" x14ac:dyDescent="0.2">
      <c r="A6" t="s">
        <v>341</v>
      </c>
      <c r="B6">
        <f>J29+2*J28</f>
        <v>7.9042119565217395E-2</v>
      </c>
      <c r="C6">
        <f>J29+4*J28</f>
        <v>0.12972146739130436</v>
      </c>
      <c r="D6">
        <f>J29+2*J28</f>
        <v>7.9042119565217395E-2</v>
      </c>
      <c r="E6">
        <f>J29+3*J28</f>
        <v>0.10438179347826086</v>
      </c>
      <c r="F6">
        <f>J29+4*J28</f>
        <v>0.12972146739130436</v>
      </c>
      <c r="G6">
        <f>J29+5*J28</f>
        <v>0.15506114130434781</v>
      </c>
      <c r="H6">
        <f>J29+2*J28</f>
        <v>7.9042119565217395E-2</v>
      </c>
      <c r="I6">
        <f>J29+3*J28</f>
        <v>0.10438179347826086</v>
      </c>
      <c r="J6">
        <f>J29+2*J28</f>
        <v>7.9042119565217395E-2</v>
      </c>
      <c r="K6">
        <f>J29+3*J28</f>
        <v>0.10438179347826086</v>
      </c>
      <c r="L6">
        <f>J29+4*J28</f>
        <v>0.12972146739130436</v>
      </c>
      <c r="M6">
        <f>J29+2*J28</f>
        <v>7.9042119565217395E-2</v>
      </c>
      <c r="N6">
        <f>J29+3*J28</f>
        <v>0.10438179347826086</v>
      </c>
      <c r="O6">
        <f>15*J31+J28</f>
        <v>1.348523434596804</v>
      </c>
      <c r="P6">
        <f>15*J31+3*J28</f>
        <v>1.399202782422891</v>
      </c>
      <c r="Q6">
        <f>15*J31+7*J28</f>
        <v>1.5005614780750649</v>
      </c>
      <c r="R6">
        <f>J29+J28</f>
        <v>5.3702445652173914E-2</v>
      </c>
      <c r="S6">
        <f>J29+J28</f>
        <v>5.3702445652173914E-2</v>
      </c>
      <c r="T6">
        <f>J29+J28/3</f>
        <v>3.6809329710144931E-2</v>
      </c>
      <c r="U6">
        <f>J29</f>
        <v>2.8362771739130436E-2</v>
      </c>
    </row>
    <row r="7" spans="1:21" x14ac:dyDescent="0.2">
      <c r="A7" t="s">
        <v>475</v>
      </c>
      <c r="B7">
        <v>5.9590126811594202E-2</v>
      </c>
      <c r="C7">
        <v>5.9590126811594202E-2</v>
      </c>
      <c r="D7">
        <v>5.9590126811594202E-2</v>
      </c>
      <c r="E7">
        <v>5.9590126811594202E-2</v>
      </c>
      <c r="F7">
        <v>5.9590126811594202E-2</v>
      </c>
      <c r="G7">
        <v>5.9590126811594202E-2</v>
      </c>
      <c r="H7">
        <v>0.47672101449275361</v>
      </c>
      <c r="I7">
        <v>0.47672101449275361</v>
      </c>
      <c r="J7">
        <v>0.47672101449275361</v>
      </c>
      <c r="K7">
        <v>0.47672101449275361</v>
      </c>
      <c r="L7">
        <v>0.47672101449275361</v>
      </c>
      <c r="M7">
        <v>0.47672101449275361</v>
      </c>
      <c r="N7">
        <v>0.47672101449275361</v>
      </c>
      <c r="O7">
        <v>1.2720108695652175</v>
      </c>
      <c r="P7">
        <v>1.2720108695652175</v>
      </c>
      <c r="Q7">
        <v>1.2720108695652175</v>
      </c>
      <c r="R7">
        <v>0.27400362318840576</v>
      </c>
      <c r="S7">
        <v>0.27400362318840576</v>
      </c>
      <c r="T7">
        <v>0.1388586956521739</v>
      </c>
      <c r="U7">
        <v>7.1286231884057971E-2</v>
      </c>
    </row>
    <row r="8" spans="1:21" x14ac:dyDescent="0.2">
      <c r="A8" t="s">
        <v>492</v>
      </c>
      <c r="B8">
        <v>6.96</v>
      </c>
      <c r="C8">
        <v>8.16</v>
      </c>
      <c r="D8">
        <v>10.88</v>
      </c>
      <c r="E8">
        <v>10.88</v>
      </c>
      <c r="F8">
        <v>11.52</v>
      </c>
      <c r="G8">
        <v>11.52</v>
      </c>
      <c r="H8">
        <f>6.5972906*3.775</f>
        <v>24.904772014999999</v>
      </c>
      <c r="I8">
        <v>26.4</v>
      </c>
      <c r="J8">
        <f>4.7*9.35815</f>
        <v>43.983305000000001</v>
      </c>
      <c r="K8">
        <f>4.7*9.35815</f>
        <v>43.983305000000001</v>
      </c>
      <c r="L8">
        <v>52.25</v>
      </c>
      <c r="M8">
        <v>19.5</v>
      </c>
      <c r="N8">
        <v>19.5</v>
      </c>
      <c r="O8">
        <v>22.5</v>
      </c>
      <c r="P8">
        <v>22.5</v>
      </c>
      <c r="Q8">
        <v>22.5</v>
      </c>
      <c r="R8">
        <v>48.96</v>
      </c>
      <c r="S8">
        <v>54.824300000000001</v>
      </c>
      <c r="T8">
        <v>16.670000000000002</v>
      </c>
      <c r="U8">
        <v>10.5</v>
      </c>
    </row>
    <row r="9" spans="1:21" x14ac:dyDescent="0.2">
      <c r="A9" t="s">
        <v>667</v>
      </c>
      <c r="B9">
        <v>6.96</v>
      </c>
      <c r="C9">
        <v>8.16</v>
      </c>
      <c r="D9">
        <v>10.88</v>
      </c>
      <c r="E9">
        <v>10.88</v>
      </c>
      <c r="F9">
        <v>11.52</v>
      </c>
      <c r="G9">
        <v>11.52</v>
      </c>
      <c r="H9">
        <f>6.5972906*3.775</f>
        <v>24.904772014999999</v>
      </c>
      <c r="I9">
        <f>6.5972906*3.775</f>
        <v>24.904772014999999</v>
      </c>
      <c r="J9">
        <f>4.7*9.35815</f>
        <v>43.983305000000001</v>
      </c>
      <c r="K9">
        <f>4.7*9.35815</f>
        <v>43.983305000000001</v>
      </c>
      <c r="L9">
        <f>4.7*9.35815</f>
        <v>43.983305000000001</v>
      </c>
      <c r="M9">
        <f>6.2555*2.8</f>
        <v>17.515399999999996</v>
      </c>
      <c r="N9">
        <f>6.2555*2.8</f>
        <v>17.515399999999996</v>
      </c>
      <c r="O9">
        <f>4.5*(4.5+5.2)/2</f>
        <v>21.824999999999999</v>
      </c>
      <c r="P9">
        <f>4.5*(4.5+5.2)/2</f>
        <v>21.824999999999999</v>
      </c>
      <c r="Q9">
        <f>4.5*(4.5+5.2)/2</f>
        <v>21.824999999999999</v>
      </c>
      <c r="R9">
        <v>48.96</v>
      </c>
      <c r="S9">
        <v>54.824300000000001</v>
      </c>
      <c r="T9">
        <v>16.670000000000002</v>
      </c>
      <c r="U9">
        <v>10.5</v>
      </c>
    </row>
    <row r="18" spans="1:21" x14ac:dyDescent="0.2">
      <c r="A18" t="s">
        <v>348</v>
      </c>
      <c r="B18">
        <f>B6+2.4*J27</f>
        <v>8.7958786231884065E-2</v>
      </c>
      <c r="C18">
        <f>C6+2.4*J27</f>
        <v>0.13863813405797101</v>
      </c>
      <c r="D18">
        <f>D6+3.2*J27</f>
        <v>9.0931008454106288E-2</v>
      </c>
      <c r="E18">
        <f>E6+3.2*J27</f>
        <v>0.11627068236714976</v>
      </c>
      <c r="F18">
        <f>F6+3.2*J27</f>
        <v>0.14161035628019325</v>
      </c>
      <c r="G18">
        <f>G6+3.2*J27</f>
        <v>0.1669500301932367</v>
      </c>
      <c r="H18">
        <f>H6+6.6*J27</f>
        <v>0.10356295289855072</v>
      </c>
      <c r="I18">
        <f>I6+6.6*J27</f>
        <v>0.1289026268115942</v>
      </c>
      <c r="J18">
        <f>J6+5*J27</f>
        <v>9.7618508454106287E-2</v>
      </c>
      <c r="K18">
        <f>K6+5*J27</f>
        <v>0.12295818236714975</v>
      </c>
      <c r="L18">
        <f>L6+5*J27</f>
        <v>0.14829785628019324</v>
      </c>
      <c r="M18">
        <f>M6+2*J27</f>
        <v>8.6472675120772946E-2</v>
      </c>
      <c r="N18">
        <f>N6+2*J27</f>
        <v>0.11181234903381641</v>
      </c>
      <c r="O18">
        <f>O6+4.5*J27</f>
        <v>1.3652421845968039</v>
      </c>
      <c r="P18">
        <f>P6+4.5*J27</f>
        <v>1.4159215324228909</v>
      </c>
      <c r="Q18">
        <f>Q6+4.5*J27</f>
        <v>1.5172802280750648</v>
      </c>
      <c r="R18">
        <f>R6+3.2*U27</f>
        <v>5.3702445652173914E-2</v>
      </c>
      <c r="S18">
        <f>S6+3.2*V27</f>
        <v>5.3702445652173914E-2</v>
      </c>
      <c r="T18">
        <f>T6+3.2*W27</f>
        <v>3.6809329710144931E-2</v>
      </c>
      <c r="U18">
        <v>44</v>
      </c>
    </row>
    <row r="25" spans="1:21" x14ac:dyDescent="0.2">
      <c r="A25" s="24" t="s">
        <v>564</v>
      </c>
      <c r="B25" s="24"/>
      <c r="C25" s="24"/>
      <c r="D25" s="24"/>
    </row>
    <row r="26" spans="1:21" x14ac:dyDescent="0.2">
      <c r="B26" t="s">
        <v>565</v>
      </c>
      <c r="C26" t="s">
        <v>554</v>
      </c>
      <c r="D26" t="s">
        <v>566</v>
      </c>
      <c r="I26" s="23" t="s">
        <v>557</v>
      </c>
      <c r="J26" s="23"/>
      <c r="K26" s="23"/>
    </row>
    <row r="27" spans="1:21" x14ac:dyDescent="0.2">
      <c r="A27" t="s">
        <v>548</v>
      </c>
      <c r="B27">
        <v>0.64200000000000002</v>
      </c>
      <c r="C27">
        <v>172800</v>
      </c>
      <c r="D27">
        <f>1000*B27/C27</f>
        <v>3.7152777777777778E-3</v>
      </c>
      <c r="F27">
        <f>C27*8</f>
        <v>1382400</v>
      </c>
      <c r="I27" t="s">
        <v>556</v>
      </c>
      <c r="J27">
        <f>D27</f>
        <v>3.7152777777777778E-3</v>
      </c>
      <c r="K27" t="s">
        <v>555</v>
      </c>
    </row>
    <row r="28" spans="1:21" x14ac:dyDescent="0.2">
      <c r="A28" t="s">
        <v>549</v>
      </c>
      <c r="B28">
        <v>0</v>
      </c>
      <c r="C28">
        <v>0</v>
      </c>
      <c r="D28" t="e">
        <f>1000*B28/C28</f>
        <v>#DIV/0!</v>
      </c>
      <c r="F28">
        <f>C28*8</f>
        <v>0</v>
      </c>
      <c r="I28" t="s">
        <v>550</v>
      </c>
      <c r="J28">
        <f>D29</f>
        <v>2.5339673913043478E-2</v>
      </c>
      <c r="K28" t="s">
        <v>563</v>
      </c>
    </row>
    <row r="29" spans="1:21" x14ac:dyDescent="0.2">
      <c r="A29" t="s">
        <v>550</v>
      </c>
      <c r="B29">
        <v>2.984</v>
      </c>
      <c r="C29">
        <v>117760</v>
      </c>
      <c r="D29">
        <f>1000*B29/C29</f>
        <v>2.5339673913043478E-2</v>
      </c>
      <c r="F29">
        <f>C29*8</f>
        <v>942080</v>
      </c>
      <c r="I29" t="s">
        <v>558</v>
      </c>
      <c r="J29">
        <v>2.8362771739130436E-2</v>
      </c>
      <c r="K29" t="s">
        <v>562</v>
      </c>
    </row>
    <row r="30" spans="1:21" x14ac:dyDescent="0.2">
      <c r="A30" t="s">
        <v>551</v>
      </c>
      <c r="B30">
        <v>1.5740000000000001</v>
      </c>
      <c r="C30">
        <v>176640</v>
      </c>
      <c r="D30">
        <f>1000*B30/C30</f>
        <v>8.9107789855072464E-3</v>
      </c>
      <c r="F30">
        <f>C30*8</f>
        <v>1413120</v>
      </c>
      <c r="I30" t="s">
        <v>559</v>
      </c>
      <c r="J30">
        <v>8.9107789855072464E-3</v>
      </c>
      <c r="K30" t="s">
        <v>562</v>
      </c>
    </row>
    <row r="31" spans="1:21" x14ac:dyDescent="0.2">
      <c r="A31" t="s">
        <v>552</v>
      </c>
      <c r="B31">
        <v>1.67</v>
      </c>
      <c r="C31">
        <v>58880</v>
      </c>
      <c r="D31">
        <f>1000*B31/C31</f>
        <v>2.8362771739130436E-2</v>
      </c>
      <c r="F31">
        <f>C31*8</f>
        <v>471040</v>
      </c>
      <c r="I31" t="s">
        <v>560</v>
      </c>
      <c r="J31">
        <v>8.8212250712250709E-2</v>
      </c>
      <c r="K31" t="s">
        <v>561</v>
      </c>
    </row>
    <row r="32" spans="1:21" x14ac:dyDescent="0.2">
      <c r="A32" t="s">
        <v>553</v>
      </c>
      <c r="B32">
        <v>0.33600000000000002</v>
      </c>
    </row>
    <row r="40" spans="9:11" x14ac:dyDescent="0.2">
      <c r="I40" s="23" t="s">
        <v>474</v>
      </c>
      <c r="J40" s="23"/>
      <c r="K40" s="23"/>
    </row>
    <row r="41" spans="9:11" x14ac:dyDescent="0.2">
      <c r="I41" t="s">
        <v>342</v>
      </c>
      <c r="J41">
        <v>8</v>
      </c>
      <c r="K41" t="s">
        <v>343</v>
      </c>
    </row>
    <row r="42" spans="9:11" x14ac:dyDescent="0.2">
      <c r="I42" t="s">
        <v>344</v>
      </c>
      <c r="J42">
        <v>12</v>
      </c>
      <c r="K42" t="s">
        <v>345</v>
      </c>
    </row>
    <row r="43" spans="9:11" x14ac:dyDescent="0.2">
      <c r="I43" t="s">
        <v>346</v>
      </c>
      <c r="J43">
        <v>5</v>
      </c>
      <c r="K43" t="s">
        <v>345</v>
      </c>
    </row>
    <row r="44" spans="9:11" x14ac:dyDescent="0.2">
      <c r="I44" t="s">
        <v>347</v>
      </c>
      <c r="J44">
        <v>20</v>
      </c>
      <c r="K44" t="s">
        <v>345</v>
      </c>
    </row>
    <row r="49" spans="1:15" x14ac:dyDescent="0.2">
      <c r="A49" s="8"/>
      <c r="B49" s="8"/>
      <c r="C49" s="8">
        <v>1</v>
      </c>
      <c r="D49" s="8">
        <v>2</v>
      </c>
      <c r="E49" s="8">
        <v>4</v>
      </c>
      <c r="F49" s="8">
        <v>8</v>
      </c>
      <c r="G49" s="8">
        <v>16</v>
      </c>
      <c r="H49" s="8"/>
      <c r="I49" s="8" t="s">
        <v>476</v>
      </c>
      <c r="J49" s="8"/>
      <c r="K49" s="8" t="s">
        <v>477</v>
      </c>
      <c r="L49" s="8" t="s">
        <v>478</v>
      </c>
      <c r="M49" s="8"/>
      <c r="N49" s="8" t="s">
        <v>479</v>
      </c>
      <c r="O49" s="8" t="s">
        <v>480</v>
      </c>
    </row>
    <row r="50" spans="1:15" x14ac:dyDescent="0.2">
      <c r="A50" s="14" t="s">
        <v>481</v>
      </c>
      <c r="B50" s="8" t="s">
        <v>482</v>
      </c>
      <c r="C50" s="8">
        <v>28.594999999999999</v>
      </c>
      <c r="D50" s="8">
        <v>16.672999999999998</v>
      </c>
      <c r="E50" s="8">
        <v>10.972</v>
      </c>
      <c r="F50" s="8">
        <v>8.4250000000000007</v>
      </c>
      <c r="G50" s="8">
        <v>7.431</v>
      </c>
      <c r="H50" s="8"/>
      <c r="I50" s="8">
        <f t="shared" ref="I50:I55" si="0">C50/G50</f>
        <v>3.8480689005517426</v>
      </c>
      <c r="J50" s="8"/>
      <c r="K50" s="8">
        <v>3</v>
      </c>
      <c r="L50" s="8">
        <v>84240</v>
      </c>
      <c r="M50" s="8"/>
      <c r="N50" s="8">
        <f t="shared" ref="N50:N55" si="1">G50/L50*1000</f>
        <v>8.8212250712250709E-2</v>
      </c>
      <c r="O50" s="8"/>
    </row>
    <row r="51" spans="1:15" x14ac:dyDescent="0.2">
      <c r="A51" s="23" t="s">
        <v>483</v>
      </c>
      <c r="B51" t="s">
        <v>484</v>
      </c>
      <c r="C51">
        <v>1.639</v>
      </c>
      <c r="D51">
        <v>1.208</v>
      </c>
      <c r="E51">
        <v>0.85399999999999998</v>
      </c>
      <c r="F51">
        <v>0.64700000000000002</v>
      </c>
      <c r="G51">
        <v>0.64200000000000002</v>
      </c>
      <c r="H51" s="8"/>
      <c r="I51" s="8">
        <f t="shared" si="0"/>
        <v>2.5529595015576323</v>
      </c>
      <c r="J51" s="8"/>
      <c r="K51" s="8">
        <v>8</v>
      </c>
      <c r="L51" s="8">
        <v>172800</v>
      </c>
      <c r="M51" s="8"/>
      <c r="N51" s="8">
        <f t="shared" si="1"/>
        <v>3.7152777777777778E-3</v>
      </c>
      <c r="O51" s="8"/>
    </row>
    <row r="52" spans="1:15" x14ac:dyDescent="0.2">
      <c r="A52" s="23"/>
      <c r="B52" t="s">
        <v>485</v>
      </c>
      <c r="C52">
        <v>14.948</v>
      </c>
      <c r="D52">
        <v>9.7629999999999999</v>
      </c>
      <c r="E52">
        <v>5.8849999999999998</v>
      </c>
      <c r="F52">
        <v>3.9129999999999998</v>
      </c>
      <c r="G52">
        <v>3.391</v>
      </c>
      <c r="H52" s="8"/>
      <c r="I52" s="8">
        <f t="shared" si="0"/>
        <v>4.4081391919787674</v>
      </c>
      <c r="J52" s="8"/>
      <c r="K52" s="8">
        <v>8</v>
      </c>
      <c r="L52" s="8">
        <v>117760</v>
      </c>
      <c r="M52" s="8"/>
      <c r="N52" s="8">
        <f t="shared" si="1"/>
        <v>2.8795855978260867E-2</v>
      </c>
      <c r="O52" s="8"/>
    </row>
    <row r="53" spans="1:15" x14ac:dyDescent="0.2">
      <c r="A53" s="23"/>
      <c r="B53" t="s">
        <v>486</v>
      </c>
      <c r="C53">
        <v>2.5419999999999998</v>
      </c>
      <c r="D53">
        <v>1.875</v>
      </c>
      <c r="E53">
        <v>1.6439999999999999</v>
      </c>
      <c r="F53">
        <v>1.655</v>
      </c>
      <c r="G53">
        <v>1.661</v>
      </c>
      <c r="H53" s="8"/>
      <c r="I53" s="8">
        <f t="shared" si="0"/>
        <v>1.5304033714629739</v>
      </c>
      <c r="J53" s="8"/>
      <c r="K53" s="8">
        <v>8</v>
      </c>
      <c r="L53" s="8">
        <v>179040</v>
      </c>
      <c r="M53" s="8"/>
      <c r="N53" s="8">
        <f t="shared" si="1"/>
        <v>9.2772564789991071E-3</v>
      </c>
      <c r="O53" s="8"/>
    </row>
    <row r="54" spans="1:15" x14ac:dyDescent="0.2">
      <c r="A54" s="23"/>
      <c r="B54" t="s">
        <v>487</v>
      </c>
      <c r="C54">
        <v>3.839</v>
      </c>
      <c r="D54">
        <v>2.7189999999999999</v>
      </c>
      <c r="E54">
        <v>2.0569999999999999</v>
      </c>
      <c r="F54">
        <v>1.7769999999999999</v>
      </c>
      <c r="G54">
        <v>1.7649999999999999</v>
      </c>
      <c r="H54" s="8"/>
      <c r="I54" s="8">
        <f t="shared" si="0"/>
        <v>2.175070821529745</v>
      </c>
      <c r="J54" s="8"/>
      <c r="K54" s="8">
        <v>8</v>
      </c>
      <c r="L54" s="8">
        <v>58880</v>
      </c>
      <c r="M54" s="8"/>
      <c r="N54" s="8">
        <f t="shared" si="1"/>
        <v>2.9976222826086953E-2</v>
      </c>
      <c r="O54" s="8"/>
    </row>
    <row r="55" spans="1:15" x14ac:dyDescent="0.2">
      <c r="A55" s="15" t="s">
        <v>488</v>
      </c>
      <c r="B55" t="s">
        <v>489</v>
      </c>
      <c r="C55">
        <v>2.798</v>
      </c>
      <c r="D55">
        <v>3.8010000000000002</v>
      </c>
      <c r="E55">
        <v>3.7170000000000001</v>
      </c>
      <c r="F55">
        <v>3.5990000000000002</v>
      </c>
      <c r="G55">
        <v>3.8479999999999999</v>
      </c>
      <c r="H55" s="8"/>
      <c r="I55" s="8">
        <f t="shared" si="0"/>
        <v>0.72713097713097719</v>
      </c>
      <c r="J55" s="8"/>
      <c r="K55" s="8">
        <v>3</v>
      </c>
      <c r="L55" s="8">
        <v>9000</v>
      </c>
      <c r="M55" s="8"/>
      <c r="N55" s="8">
        <f t="shared" si="1"/>
        <v>0.42755555555555552</v>
      </c>
      <c r="O55" s="8" t="s">
        <v>490</v>
      </c>
    </row>
  </sheetData>
  <mergeCells count="4">
    <mergeCell ref="A25:D25"/>
    <mergeCell ref="I40:K40"/>
    <mergeCell ref="A51:A54"/>
    <mergeCell ref="I26:K26"/>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selection sqref="A1:XFD1048576"/>
    </sheetView>
  </sheetViews>
  <sheetFormatPr defaultRowHeight="14.25" x14ac:dyDescent="0.2"/>
  <cols>
    <col min="4" max="4" width="11.625" customWidth="1"/>
    <col min="5" max="5" width="15.625" customWidth="1"/>
    <col min="6" max="6" width="12.75" customWidth="1"/>
    <col min="8" max="8" width="12.625" customWidth="1"/>
    <col min="12" max="12" width="16.625" customWidth="1"/>
  </cols>
  <sheetData>
    <row r="1" spans="1:17" ht="25.5" x14ac:dyDescent="0.2">
      <c r="A1" s="25" t="s">
        <v>234</v>
      </c>
      <c r="B1" s="25"/>
      <c r="C1" s="25"/>
      <c r="D1" s="25"/>
      <c r="E1" s="25"/>
      <c r="F1" s="25"/>
      <c r="G1" s="25"/>
      <c r="H1" s="25"/>
    </row>
    <row r="2" spans="1:17" x14ac:dyDescent="0.2">
      <c r="A2" t="s">
        <v>203</v>
      </c>
      <c r="B2" t="s">
        <v>233</v>
      </c>
      <c r="C2" t="s">
        <v>204</v>
      </c>
      <c r="D2" t="s">
        <v>206</v>
      </c>
      <c r="E2" t="s">
        <v>207</v>
      </c>
      <c r="F2" t="s">
        <v>205</v>
      </c>
      <c r="G2" t="s">
        <v>213</v>
      </c>
      <c r="H2" t="s">
        <v>214</v>
      </c>
      <c r="N2" t="s">
        <v>211</v>
      </c>
    </row>
    <row r="3" spans="1:17" x14ac:dyDescent="0.2">
      <c r="A3">
        <v>4</v>
      </c>
      <c r="B3">
        <v>1</v>
      </c>
      <c r="C3">
        <f>16*B3+A3</f>
        <v>20</v>
      </c>
      <c r="D3">
        <f>120*2%</f>
        <v>2.4</v>
      </c>
      <c r="E3" s="3">
        <f>D3/C3</f>
        <v>0.12</v>
      </c>
      <c r="F3">
        <f>D3/B3</f>
        <v>2.4</v>
      </c>
      <c r="G3">
        <f>50*F3</f>
        <v>120</v>
      </c>
      <c r="H3">
        <f>C3/B3</f>
        <v>20</v>
      </c>
      <c r="N3" t="s">
        <v>210</v>
      </c>
    </row>
    <row r="4" spans="1:17" x14ac:dyDescent="0.2">
      <c r="A4">
        <v>4</v>
      </c>
      <c r="B4">
        <v>2</v>
      </c>
      <c r="C4">
        <f t="shared" ref="C4:C23" si="0">16*B4+A4</f>
        <v>36</v>
      </c>
      <c r="D4">
        <f>D3+(120-D3)*2%</f>
        <v>4.7519999999999998</v>
      </c>
      <c r="E4" s="4">
        <f t="shared" ref="E4:E23" si="1">D4/C4</f>
        <v>0.13200000000000001</v>
      </c>
      <c r="F4">
        <f t="shared" ref="F4:F23" si="2">D4/B4</f>
        <v>2.3759999999999999</v>
      </c>
      <c r="G4">
        <f t="shared" ref="G4:G23" si="3">50*F4</f>
        <v>118.8</v>
      </c>
      <c r="H4">
        <f t="shared" ref="H4:H23" si="4">C4/B4</f>
        <v>18</v>
      </c>
      <c r="N4" t="s">
        <v>209</v>
      </c>
    </row>
    <row r="5" spans="1:17" x14ac:dyDescent="0.2">
      <c r="A5">
        <v>4</v>
      </c>
      <c r="B5">
        <v>3</v>
      </c>
      <c r="C5">
        <f t="shared" si="0"/>
        <v>52</v>
      </c>
      <c r="D5">
        <f t="shared" ref="D5:D23" si="5">D4+(120-D4)*2%</f>
        <v>7.0569600000000001</v>
      </c>
      <c r="E5" s="5">
        <f t="shared" si="1"/>
        <v>0.13571076923076925</v>
      </c>
      <c r="F5">
        <f t="shared" si="2"/>
        <v>2.3523200000000002</v>
      </c>
      <c r="G5">
        <f t="shared" si="3"/>
        <v>117.61600000000001</v>
      </c>
      <c r="H5">
        <f t="shared" si="4"/>
        <v>17.333333333333332</v>
      </c>
      <c r="N5" t="s">
        <v>208</v>
      </c>
    </row>
    <row r="6" spans="1:17" x14ac:dyDescent="0.2">
      <c r="A6">
        <v>4</v>
      </c>
      <c r="B6">
        <v>4</v>
      </c>
      <c r="C6">
        <f t="shared" si="0"/>
        <v>68</v>
      </c>
      <c r="D6">
        <f t="shared" si="5"/>
        <v>9.3158208000000009</v>
      </c>
      <c r="E6" s="6">
        <f t="shared" si="1"/>
        <v>0.13699736470588236</v>
      </c>
      <c r="F6">
        <f t="shared" si="2"/>
        <v>2.3289552000000002</v>
      </c>
      <c r="G6">
        <f t="shared" si="3"/>
        <v>116.44776000000002</v>
      </c>
      <c r="H6">
        <f t="shared" si="4"/>
        <v>17</v>
      </c>
    </row>
    <row r="7" spans="1:17" x14ac:dyDescent="0.2">
      <c r="A7">
        <v>4</v>
      </c>
      <c r="B7">
        <v>5</v>
      </c>
      <c r="C7">
        <f t="shared" si="0"/>
        <v>84</v>
      </c>
      <c r="D7">
        <f t="shared" si="5"/>
        <v>11.529504384000001</v>
      </c>
      <c r="E7" s="7">
        <f t="shared" si="1"/>
        <v>0.13725600457142859</v>
      </c>
      <c r="F7">
        <f t="shared" si="2"/>
        <v>2.3059008768</v>
      </c>
      <c r="G7">
        <f t="shared" si="3"/>
        <v>115.29504384000001</v>
      </c>
      <c r="H7">
        <f t="shared" si="4"/>
        <v>16.8</v>
      </c>
    </row>
    <row r="8" spans="1:17" x14ac:dyDescent="0.2">
      <c r="A8">
        <v>4</v>
      </c>
      <c r="B8">
        <v>6</v>
      </c>
      <c r="C8">
        <f t="shared" si="0"/>
        <v>100</v>
      </c>
      <c r="D8">
        <f t="shared" si="5"/>
        <v>13.698914296320002</v>
      </c>
      <c r="E8" s="7">
        <f>D8/C8</f>
        <v>0.13698914296320003</v>
      </c>
      <c r="F8">
        <f t="shared" si="2"/>
        <v>2.2831523827200004</v>
      </c>
      <c r="G8">
        <f t="shared" si="3"/>
        <v>114.15761913600002</v>
      </c>
      <c r="H8">
        <f t="shared" si="4"/>
        <v>16.666666666666668</v>
      </c>
    </row>
    <row r="9" spans="1:17" x14ac:dyDescent="0.2">
      <c r="A9">
        <v>4</v>
      </c>
      <c r="B9">
        <v>7</v>
      </c>
      <c r="C9">
        <f t="shared" si="0"/>
        <v>116</v>
      </c>
      <c r="D9">
        <f t="shared" si="5"/>
        <v>15.824936010393602</v>
      </c>
      <c r="E9" s="6">
        <f t="shared" si="1"/>
        <v>0.13642186215856553</v>
      </c>
      <c r="F9">
        <f t="shared" si="2"/>
        <v>2.260705144341943</v>
      </c>
      <c r="G9">
        <f t="shared" si="3"/>
        <v>113.03525721709715</v>
      </c>
      <c r="H9">
        <f t="shared" si="4"/>
        <v>16.571428571428573</v>
      </c>
    </row>
    <row r="10" spans="1:17" x14ac:dyDescent="0.2">
      <c r="A10">
        <v>4</v>
      </c>
      <c r="B10">
        <v>8</v>
      </c>
      <c r="C10">
        <f t="shared" si="0"/>
        <v>132</v>
      </c>
      <c r="D10">
        <f t="shared" si="5"/>
        <v>17.908437290185731</v>
      </c>
      <c r="E10" s="6">
        <f t="shared" si="1"/>
        <v>0.13566997947110401</v>
      </c>
      <c r="F10">
        <f t="shared" si="2"/>
        <v>2.2385546612732163</v>
      </c>
      <c r="G10">
        <f t="shared" si="3"/>
        <v>111.92773306366081</v>
      </c>
      <c r="H10">
        <f t="shared" si="4"/>
        <v>16.5</v>
      </c>
    </row>
    <row r="11" spans="1:17" x14ac:dyDescent="0.2">
      <c r="A11">
        <v>4</v>
      </c>
      <c r="B11">
        <v>9</v>
      </c>
      <c r="C11">
        <f t="shared" si="0"/>
        <v>148</v>
      </c>
      <c r="D11">
        <f t="shared" si="5"/>
        <v>19.950268544382016</v>
      </c>
      <c r="E11" s="6">
        <f t="shared" si="1"/>
        <v>0.13479911178636497</v>
      </c>
      <c r="F11">
        <f t="shared" si="2"/>
        <v>2.2166965049313352</v>
      </c>
      <c r="G11">
        <f t="shared" si="3"/>
        <v>110.83482524656677</v>
      </c>
      <c r="H11">
        <f t="shared" si="4"/>
        <v>16.444444444444443</v>
      </c>
    </row>
    <row r="12" spans="1:17" x14ac:dyDescent="0.2">
      <c r="A12">
        <v>4</v>
      </c>
      <c r="B12">
        <v>10</v>
      </c>
      <c r="C12">
        <f t="shared" si="0"/>
        <v>164</v>
      </c>
      <c r="D12">
        <f t="shared" si="5"/>
        <v>21.951263173494375</v>
      </c>
      <c r="E12" s="5">
        <f t="shared" si="1"/>
        <v>0.13384916569203886</v>
      </c>
      <c r="F12">
        <f t="shared" si="2"/>
        <v>2.1951263173494375</v>
      </c>
      <c r="G12">
        <f t="shared" si="3"/>
        <v>109.75631586747187</v>
      </c>
      <c r="H12">
        <f t="shared" si="4"/>
        <v>16.399999999999999</v>
      </c>
    </row>
    <row r="13" spans="1:17" x14ac:dyDescent="0.2">
      <c r="A13">
        <v>4</v>
      </c>
      <c r="B13">
        <v>11</v>
      </c>
      <c r="C13">
        <f t="shared" si="0"/>
        <v>180</v>
      </c>
      <c r="D13">
        <f t="shared" si="5"/>
        <v>23.912237910024487</v>
      </c>
      <c r="E13" s="5">
        <f t="shared" si="1"/>
        <v>0.13284576616680271</v>
      </c>
      <c r="F13">
        <f t="shared" si="2"/>
        <v>2.1738398100022263</v>
      </c>
      <c r="G13">
        <f t="shared" si="3"/>
        <v>108.69199050011132</v>
      </c>
      <c r="H13">
        <f t="shared" si="4"/>
        <v>16.363636363636363</v>
      </c>
      <c r="K13" s="23" t="s">
        <v>246</v>
      </c>
      <c r="L13" s="23"/>
      <c r="M13" s="23"/>
      <c r="N13" s="23"/>
      <c r="O13" s="23"/>
      <c r="P13" s="23"/>
      <c r="Q13" s="23"/>
    </row>
    <row r="14" spans="1:17" x14ac:dyDescent="0.2">
      <c r="A14">
        <v>4</v>
      </c>
      <c r="B14">
        <v>12</v>
      </c>
      <c r="C14">
        <f t="shared" si="0"/>
        <v>196</v>
      </c>
      <c r="D14">
        <f t="shared" si="5"/>
        <v>25.833993151823996</v>
      </c>
      <c r="E14" s="5">
        <f t="shared" si="1"/>
        <v>0.13180608750930611</v>
      </c>
      <c r="F14">
        <f t="shared" si="2"/>
        <v>2.1528327626519999</v>
      </c>
      <c r="G14">
        <f t="shared" si="3"/>
        <v>107.64163813259999</v>
      </c>
      <c r="H14">
        <f t="shared" si="4"/>
        <v>16.333333333333332</v>
      </c>
      <c r="L14" s="23" t="s">
        <v>212</v>
      </c>
      <c r="M14" s="23"/>
      <c r="N14" s="23"/>
      <c r="O14" s="23"/>
      <c r="P14" s="23"/>
    </row>
    <row r="15" spans="1:17" x14ac:dyDescent="0.2">
      <c r="A15">
        <v>4</v>
      </c>
      <c r="B15">
        <v>13</v>
      </c>
      <c r="C15">
        <f t="shared" si="0"/>
        <v>212</v>
      </c>
      <c r="D15">
        <f t="shared" si="5"/>
        <v>27.717313288787516</v>
      </c>
      <c r="E15" s="4">
        <f t="shared" si="1"/>
        <v>0.13074204381503546</v>
      </c>
      <c r="F15">
        <f t="shared" si="2"/>
        <v>2.1321010222144241</v>
      </c>
      <c r="G15">
        <f t="shared" si="3"/>
        <v>106.60505111072121</v>
      </c>
      <c r="H15">
        <f t="shared" si="4"/>
        <v>16.307692307692307</v>
      </c>
    </row>
    <row r="16" spans="1:17" x14ac:dyDescent="0.2">
      <c r="A16">
        <v>4</v>
      </c>
      <c r="B16">
        <v>14</v>
      </c>
      <c r="C16">
        <f t="shared" si="0"/>
        <v>228</v>
      </c>
      <c r="D16">
        <f t="shared" si="5"/>
        <v>29.562967023011765</v>
      </c>
      <c r="E16" s="4">
        <f t="shared" si="1"/>
        <v>0.12966213606584107</v>
      </c>
      <c r="F16">
        <f t="shared" si="2"/>
        <v>2.1116405016436977</v>
      </c>
      <c r="G16">
        <f t="shared" si="3"/>
        <v>105.58202508218488</v>
      </c>
      <c r="H16">
        <f t="shared" si="4"/>
        <v>16.285714285714285</v>
      </c>
    </row>
    <row r="17" spans="1:17" x14ac:dyDescent="0.2">
      <c r="A17">
        <v>4</v>
      </c>
      <c r="B17">
        <v>15</v>
      </c>
      <c r="C17">
        <f t="shared" si="0"/>
        <v>244</v>
      </c>
      <c r="D17">
        <f t="shared" si="5"/>
        <v>31.371707682551531</v>
      </c>
      <c r="E17" s="4">
        <f t="shared" si="1"/>
        <v>0.12857257246947348</v>
      </c>
      <c r="F17">
        <f t="shared" si="2"/>
        <v>2.0914471788367686</v>
      </c>
      <c r="G17">
        <f t="shared" si="3"/>
        <v>104.57235894183843</v>
      </c>
      <c r="H17">
        <f t="shared" si="4"/>
        <v>16.266666666666666</v>
      </c>
    </row>
    <row r="18" spans="1:17" x14ac:dyDescent="0.2">
      <c r="A18">
        <v>4</v>
      </c>
      <c r="B18">
        <v>16</v>
      </c>
      <c r="C18">
        <f t="shared" si="0"/>
        <v>260</v>
      </c>
      <c r="D18">
        <f t="shared" si="5"/>
        <v>33.144273528900499</v>
      </c>
      <c r="E18" s="4">
        <f t="shared" si="1"/>
        <v>0.12747797511115577</v>
      </c>
      <c r="F18">
        <f t="shared" si="2"/>
        <v>2.0715170955562812</v>
      </c>
      <c r="G18">
        <f t="shared" si="3"/>
        <v>103.57585477781406</v>
      </c>
      <c r="H18">
        <f t="shared" si="4"/>
        <v>16.25</v>
      </c>
    </row>
    <row r="19" spans="1:17" x14ac:dyDescent="0.2">
      <c r="A19">
        <v>4</v>
      </c>
      <c r="B19">
        <v>17</v>
      </c>
      <c r="C19">
        <f t="shared" si="0"/>
        <v>276</v>
      </c>
      <c r="D19">
        <f t="shared" si="5"/>
        <v>34.881388058322486</v>
      </c>
      <c r="E19" s="4">
        <f t="shared" si="1"/>
        <v>0.12638184079102349</v>
      </c>
      <c r="F19">
        <f t="shared" si="2"/>
        <v>2.0518463563719109</v>
      </c>
      <c r="G19">
        <f t="shared" si="3"/>
        <v>102.59231781859555</v>
      </c>
      <c r="H19">
        <f t="shared" si="4"/>
        <v>16.235294117647058</v>
      </c>
      <c r="K19" s="23" t="s">
        <v>238</v>
      </c>
      <c r="L19" s="23"/>
      <c r="M19">
        <f>2.5*(G8/27.78-0.36)</f>
        <v>9.3733638531317514</v>
      </c>
      <c r="N19" t="s">
        <v>291</v>
      </c>
    </row>
    <row r="20" spans="1:17" x14ac:dyDescent="0.2">
      <c r="A20">
        <v>4</v>
      </c>
      <c r="B20">
        <v>18</v>
      </c>
      <c r="C20">
        <f t="shared" si="0"/>
        <v>292</v>
      </c>
      <c r="D20">
        <f t="shared" si="5"/>
        <v>36.583760297156033</v>
      </c>
      <c r="E20" s="4">
        <f t="shared" si="1"/>
        <v>0.12528685033272613</v>
      </c>
      <c r="F20">
        <f t="shared" si="2"/>
        <v>2.0324311276197795</v>
      </c>
      <c r="G20">
        <f t="shared" si="3"/>
        <v>101.62155638098898</v>
      </c>
      <c r="H20">
        <f t="shared" si="4"/>
        <v>16.222222222222221</v>
      </c>
      <c r="K20" s="23"/>
      <c r="L20" s="23"/>
    </row>
    <row r="21" spans="1:17" x14ac:dyDescent="0.2">
      <c r="A21">
        <v>4</v>
      </c>
      <c r="B21">
        <v>19</v>
      </c>
      <c r="C21">
        <f t="shared" si="0"/>
        <v>308</v>
      </c>
      <c r="D21">
        <f t="shared" si="5"/>
        <v>38.252085091212912</v>
      </c>
      <c r="E21" s="4">
        <f t="shared" si="1"/>
        <v>0.12419508146497699</v>
      </c>
      <c r="F21">
        <f t="shared" si="2"/>
        <v>2.0132676363796271</v>
      </c>
      <c r="G21">
        <f t="shared" si="3"/>
        <v>100.66338181898135</v>
      </c>
      <c r="H21">
        <f t="shared" si="4"/>
        <v>16.210526315789473</v>
      </c>
    </row>
    <row r="22" spans="1:17" x14ac:dyDescent="0.2">
      <c r="A22">
        <v>4</v>
      </c>
      <c r="B22">
        <v>20</v>
      </c>
      <c r="C22">
        <f t="shared" si="0"/>
        <v>324</v>
      </c>
      <c r="D22">
        <f t="shared" si="5"/>
        <v>39.887043389388651</v>
      </c>
      <c r="E22" s="4">
        <f t="shared" si="1"/>
        <v>0.12310815860922424</v>
      </c>
      <c r="F22">
        <f t="shared" si="2"/>
        <v>1.9943521694694326</v>
      </c>
      <c r="G22">
        <f t="shared" si="3"/>
        <v>99.717608473471628</v>
      </c>
      <c r="H22">
        <f t="shared" si="4"/>
        <v>16.2</v>
      </c>
    </row>
    <row r="23" spans="1:17" x14ac:dyDescent="0.2">
      <c r="A23">
        <v>4</v>
      </c>
      <c r="B23">
        <v>21</v>
      </c>
      <c r="C23">
        <f t="shared" si="0"/>
        <v>340</v>
      </c>
      <c r="D23">
        <f t="shared" si="5"/>
        <v>41.489302521600877</v>
      </c>
      <c r="E23" s="4">
        <f t="shared" si="1"/>
        <v>0.12202736035764963</v>
      </c>
      <c r="F23">
        <f t="shared" si="2"/>
        <v>1.9756810724571845</v>
      </c>
      <c r="G23">
        <f t="shared" si="3"/>
        <v>98.784053622859219</v>
      </c>
      <c r="H23">
        <f t="shared" si="4"/>
        <v>16.19047619047619</v>
      </c>
    </row>
    <row r="24" spans="1:17" x14ac:dyDescent="0.2">
      <c r="A24" s="8"/>
      <c r="B24" s="8"/>
      <c r="C24" s="8"/>
      <c r="D24" s="8"/>
      <c r="E24" s="8"/>
      <c r="F24" s="8"/>
      <c r="G24" s="8"/>
      <c r="H24" s="8"/>
      <c r="I24" s="8"/>
      <c r="J24" s="8"/>
      <c r="K24" s="8"/>
      <c r="L24" s="8"/>
      <c r="M24" s="8"/>
      <c r="N24" s="8"/>
      <c r="O24" s="8"/>
      <c r="P24" s="8"/>
      <c r="Q24" s="8"/>
    </row>
    <row r="25" spans="1:17" x14ac:dyDescent="0.2">
      <c r="A25" s="8"/>
      <c r="B25" s="8"/>
      <c r="C25" s="8"/>
      <c r="D25" s="8"/>
      <c r="E25" s="8"/>
      <c r="F25" s="8"/>
      <c r="G25" s="8"/>
      <c r="H25" s="8"/>
      <c r="I25" s="8"/>
      <c r="J25" s="8"/>
      <c r="K25" s="8"/>
      <c r="L25" s="8"/>
      <c r="M25" s="8"/>
      <c r="N25" s="8"/>
      <c r="O25" s="8"/>
      <c r="P25" s="8"/>
      <c r="Q25" s="8"/>
    </row>
    <row r="26" spans="1:17" x14ac:dyDescent="0.2">
      <c r="A26" s="8"/>
      <c r="B26" s="8"/>
      <c r="C26" s="8"/>
      <c r="D26" s="8"/>
      <c r="E26" s="8"/>
      <c r="F26" s="8"/>
      <c r="G26" s="8"/>
      <c r="H26" s="8"/>
      <c r="I26" s="8"/>
      <c r="J26" s="8"/>
      <c r="K26" s="8"/>
      <c r="L26" s="8"/>
      <c r="M26" s="8"/>
      <c r="N26" s="8"/>
      <c r="O26" s="8"/>
      <c r="P26" s="8"/>
      <c r="Q26" s="8"/>
    </row>
    <row r="27" spans="1:17" x14ac:dyDescent="0.2">
      <c r="A27" s="8"/>
      <c r="B27" s="8"/>
      <c r="C27" s="8"/>
      <c r="D27" s="8"/>
      <c r="E27" s="8"/>
      <c r="F27" s="8"/>
      <c r="G27" s="8"/>
      <c r="H27" s="8"/>
      <c r="I27" s="8"/>
      <c r="J27" s="8"/>
      <c r="K27" s="8"/>
      <c r="L27" s="8"/>
      <c r="M27" s="8"/>
      <c r="N27" s="8"/>
      <c r="O27" s="8"/>
      <c r="P27" s="8"/>
      <c r="Q27" s="8"/>
    </row>
    <row r="28" spans="1:17" x14ac:dyDescent="0.2">
      <c r="A28" s="8"/>
      <c r="B28" s="8"/>
      <c r="C28" s="8"/>
      <c r="D28" s="8"/>
      <c r="E28" s="8"/>
      <c r="F28" s="8"/>
      <c r="G28" s="8"/>
      <c r="H28" s="8"/>
      <c r="I28" s="8"/>
      <c r="J28" s="8"/>
      <c r="K28" s="8"/>
      <c r="L28" s="8"/>
      <c r="M28" s="8"/>
      <c r="N28" s="8"/>
      <c r="O28" s="8"/>
      <c r="P28" s="8"/>
      <c r="Q28" s="8"/>
    </row>
    <row r="29" spans="1:17" x14ac:dyDescent="0.2">
      <c r="A29" s="8"/>
      <c r="B29" s="8"/>
      <c r="C29" s="8"/>
      <c r="D29" s="8"/>
      <c r="E29" s="8"/>
      <c r="F29" s="8"/>
      <c r="G29" s="8"/>
      <c r="H29" s="8"/>
      <c r="I29" s="8"/>
      <c r="J29" s="8"/>
      <c r="K29" s="8"/>
      <c r="L29" s="8"/>
      <c r="M29" s="8"/>
      <c r="N29" s="8"/>
      <c r="O29" s="8"/>
      <c r="P29" s="8"/>
      <c r="Q29" s="8"/>
    </row>
    <row r="30" spans="1:17" x14ac:dyDescent="0.2">
      <c r="A30" t="s">
        <v>203</v>
      </c>
      <c r="B30" t="s">
        <v>233</v>
      </c>
      <c r="C30" t="s">
        <v>204</v>
      </c>
      <c r="D30" t="s">
        <v>289</v>
      </c>
      <c r="E30" t="s">
        <v>207</v>
      </c>
      <c r="F30" t="s">
        <v>205</v>
      </c>
      <c r="G30" t="s">
        <v>213</v>
      </c>
      <c r="H30" t="s">
        <v>214</v>
      </c>
      <c r="I30" t="s">
        <v>290</v>
      </c>
    </row>
    <row r="31" spans="1:17" x14ac:dyDescent="0.2">
      <c r="A31">
        <v>6</v>
      </c>
      <c r="B31">
        <v>6</v>
      </c>
      <c r="C31">
        <f>16*B31+A31</f>
        <v>102</v>
      </c>
      <c r="D31">
        <v>13.6989143</v>
      </c>
      <c r="E31" s="7">
        <f>D31/C31</f>
        <v>0.13430308137254901</v>
      </c>
      <c r="F31">
        <f>D31/B31</f>
        <v>2.2831523833333334</v>
      </c>
      <c r="G31">
        <f>50*F31</f>
        <v>114.15761916666666</v>
      </c>
      <c r="H31">
        <f>C31/B31</f>
        <v>17</v>
      </c>
      <c r="I31">
        <f>60*D31</f>
        <v>821.93485799999996</v>
      </c>
    </row>
    <row r="32" spans="1:17" x14ac:dyDescent="0.2">
      <c r="F32">
        <f>F31*60*50</f>
        <v>6849.4571500000002</v>
      </c>
    </row>
    <row r="42" spans="1:14" ht="25.5" x14ac:dyDescent="0.2">
      <c r="A42" s="25" t="s">
        <v>307</v>
      </c>
      <c r="B42" s="25"/>
      <c r="C42" s="25"/>
      <c r="D42" s="25"/>
      <c r="E42" s="25"/>
      <c r="F42" s="25"/>
      <c r="G42" s="25"/>
      <c r="H42" s="25"/>
    </row>
    <row r="43" spans="1:14" x14ac:dyDescent="0.2">
      <c r="A43" t="s">
        <v>203</v>
      </c>
      <c r="B43" t="s">
        <v>233</v>
      </c>
      <c r="C43" t="s">
        <v>204</v>
      </c>
      <c r="D43" t="s">
        <v>206</v>
      </c>
      <c r="E43" t="s">
        <v>207</v>
      </c>
      <c r="F43" t="s">
        <v>205</v>
      </c>
      <c r="G43" t="s">
        <v>213</v>
      </c>
      <c r="H43" t="s">
        <v>214</v>
      </c>
      <c r="N43" t="s">
        <v>211</v>
      </c>
    </row>
    <row r="44" spans="1:14" x14ac:dyDescent="0.2">
      <c r="A44">
        <v>4</v>
      </c>
      <c r="B44">
        <v>1</v>
      </c>
      <c r="C44">
        <f t="shared" ref="C44:C83" si="6">16*B44+A44</f>
        <v>20</v>
      </c>
      <c r="D44">
        <f>120*1%</f>
        <v>1.2</v>
      </c>
      <c r="E44" s="3">
        <f t="shared" ref="E44:E83" si="7">D44/C44</f>
        <v>0.06</v>
      </c>
      <c r="F44">
        <f t="shared" ref="F44:F83" si="8">D44/B44</f>
        <v>1.2</v>
      </c>
      <c r="G44">
        <f>100*F44</f>
        <v>120</v>
      </c>
      <c r="H44">
        <f t="shared" ref="H44:H83" si="9">C44/B44</f>
        <v>20</v>
      </c>
      <c r="N44" t="s">
        <v>210</v>
      </c>
    </row>
    <row r="45" spans="1:14" x14ac:dyDescent="0.2">
      <c r="A45">
        <v>4</v>
      </c>
      <c r="B45">
        <v>2</v>
      </c>
      <c r="C45">
        <f t="shared" si="6"/>
        <v>36</v>
      </c>
      <c r="D45">
        <f t="shared" ref="D45:D83" si="10">D44+(120-D44)*1%</f>
        <v>2.3879999999999999</v>
      </c>
      <c r="E45" s="3">
        <f t="shared" si="7"/>
        <v>6.6333333333333327E-2</v>
      </c>
      <c r="F45">
        <f t="shared" si="8"/>
        <v>1.194</v>
      </c>
      <c r="G45">
        <f t="shared" ref="G45:G82" si="11">100*F45</f>
        <v>119.39999999999999</v>
      </c>
      <c r="H45">
        <f t="shared" si="9"/>
        <v>18</v>
      </c>
      <c r="N45" t="s">
        <v>209</v>
      </c>
    </row>
    <row r="46" spans="1:14" x14ac:dyDescent="0.2">
      <c r="A46">
        <v>4</v>
      </c>
      <c r="B46">
        <v>3</v>
      </c>
      <c r="C46">
        <f t="shared" si="6"/>
        <v>52</v>
      </c>
      <c r="D46">
        <f t="shared" si="10"/>
        <v>3.56412</v>
      </c>
      <c r="E46" s="4">
        <f t="shared" si="7"/>
        <v>6.8540769230769225E-2</v>
      </c>
      <c r="F46">
        <f t="shared" si="8"/>
        <v>1.18804</v>
      </c>
      <c r="G46">
        <f t="shared" si="11"/>
        <v>118.804</v>
      </c>
      <c r="H46">
        <f t="shared" si="9"/>
        <v>17.333333333333332</v>
      </c>
      <c r="N46" t="s">
        <v>208</v>
      </c>
    </row>
    <row r="47" spans="1:14" x14ac:dyDescent="0.2">
      <c r="A47">
        <v>4</v>
      </c>
      <c r="B47">
        <v>4</v>
      </c>
      <c r="C47">
        <f t="shared" si="6"/>
        <v>68</v>
      </c>
      <c r="D47">
        <f t="shared" si="10"/>
        <v>4.7284787999999995</v>
      </c>
      <c r="E47" s="4">
        <f t="shared" si="7"/>
        <v>6.9536452941176469E-2</v>
      </c>
      <c r="F47">
        <f t="shared" si="8"/>
        <v>1.1821196999999999</v>
      </c>
      <c r="G47">
        <f t="shared" si="11"/>
        <v>118.21196999999999</v>
      </c>
      <c r="H47">
        <f t="shared" si="9"/>
        <v>17</v>
      </c>
    </row>
    <row r="48" spans="1:14" x14ac:dyDescent="0.2">
      <c r="A48">
        <v>4</v>
      </c>
      <c r="B48">
        <v>5</v>
      </c>
      <c r="C48">
        <f t="shared" si="6"/>
        <v>84</v>
      </c>
      <c r="D48">
        <f t="shared" si="10"/>
        <v>5.8811940119999999</v>
      </c>
      <c r="E48" s="5">
        <f t="shared" si="7"/>
        <v>7.0014214428571434E-2</v>
      </c>
      <c r="F48">
        <f t="shared" si="8"/>
        <v>1.1762388023999999</v>
      </c>
      <c r="G48">
        <f t="shared" si="11"/>
        <v>117.62388023999999</v>
      </c>
      <c r="H48">
        <f t="shared" si="9"/>
        <v>16.8</v>
      </c>
    </row>
    <row r="49" spans="1:17" x14ac:dyDescent="0.2">
      <c r="A49">
        <v>4</v>
      </c>
      <c r="B49">
        <v>6</v>
      </c>
      <c r="C49">
        <f t="shared" si="6"/>
        <v>100</v>
      </c>
      <c r="D49">
        <f t="shared" si="10"/>
        <v>7.0223820718800001</v>
      </c>
      <c r="E49" s="5">
        <f t="shared" si="7"/>
        <v>7.0223820718799998E-2</v>
      </c>
      <c r="F49">
        <f t="shared" si="8"/>
        <v>1.17039701198</v>
      </c>
      <c r="G49">
        <f t="shared" si="11"/>
        <v>117.039701198</v>
      </c>
      <c r="H49">
        <f t="shared" si="9"/>
        <v>16.666666666666668</v>
      </c>
    </row>
    <row r="50" spans="1:17" x14ac:dyDescent="0.2">
      <c r="A50">
        <v>4</v>
      </c>
      <c r="B50">
        <v>7</v>
      </c>
      <c r="C50">
        <f t="shared" si="6"/>
        <v>116</v>
      </c>
      <c r="D50">
        <f t="shared" si="10"/>
        <v>8.1521582511612003</v>
      </c>
      <c r="E50" s="6">
        <f t="shared" si="7"/>
        <v>7.0277226303113796E-2</v>
      </c>
      <c r="F50">
        <f t="shared" si="8"/>
        <v>1.1645940358801714</v>
      </c>
      <c r="G50">
        <f t="shared" si="11"/>
        <v>116.45940358801714</v>
      </c>
      <c r="H50">
        <f t="shared" si="9"/>
        <v>16.571428571428573</v>
      </c>
    </row>
    <row r="51" spans="1:17" x14ac:dyDescent="0.2">
      <c r="A51">
        <v>4</v>
      </c>
      <c r="B51">
        <v>8</v>
      </c>
      <c r="C51">
        <f t="shared" si="6"/>
        <v>132</v>
      </c>
      <c r="D51">
        <f t="shared" si="10"/>
        <v>9.2706366686495887</v>
      </c>
      <c r="E51" s="6">
        <f t="shared" si="7"/>
        <v>7.0232095974618103E-2</v>
      </c>
      <c r="F51">
        <f t="shared" si="8"/>
        <v>1.1588295835811986</v>
      </c>
      <c r="G51">
        <f t="shared" si="11"/>
        <v>115.88295835811986</v>
      </c>
      <c r="H51">
        <f t="shared" si="9"/>
        <v>16.5</v>
      </c>
    </row>
    <row r="52" spans="1:17" x14ac:dyDescent="0.2">
      <c r="A52">
        <v>4</v>
      </c>
      <c r="B52">
        <v>9</v>
      </c>
      <c r="C52">
        <f t="shared" si="6"/>
        <v>148</v>
      </c>
      <c r="D52">
        <f t="shared" si="10"/>
        <v>10.377930301963094</v>
      </c>
      <c r="E52" s="7">
        <f t="shared" si="7"/>
        <v>7.0121150688939829E-2</v>
      </c>
      <c r="F52">
        <f t="shared" si="8"/>
        <v>1.1531033668847881</v>
      </c>
      <c r="G52">
        <f t="shared" si="11"/>
        <v>115.31033668847881</v>
      </c>
      <c r="H52">
        <f t="shared" si="9"/>
        <v>16.444444444444443</v>
      </c>
    </row>
    <row r="53" spans="1:17" x14ac:dyDescent="0.2">
      <c r="A53">
        <v>4</v>
      </c>
      <c r="B53">
        <v>10</v>
      </c>
      <c r="C53">
        <f t="shared" si="6"/>
        <v>164</v>
      </c>
      <c r="D53">
        <f t="shared" si="10"/>
        <v>11.474150998943463</v>
      </c>
      <c r="E53" s="6">
        <f t="shared" si="7"/>
        <v>6.9964335359411364E-2</v>
      </c>
      <c r="F53">
        <f t="shared" si="8"/>
        <v>1.1474150998943462</v>
      </c>
      <c r="G53">
        <f t="shared" si="11"/>
        <v>114.74150998943462</v>
      </c>
      <c r="H53">
        <f t="shared" si="9"/>
        <v>16.399999999999999</v>
      </c>
    </row>
    <row r="54" spans="1:17" x14ac:dyDescent="0.2">
      <c r="A54">
        <v>4</v>
      </c>
      <c r="B54">
        <v>11</v>
      </c>
      <c r="C54">
        <f t="shared" si="6"/>
        <v>180</v>
      </c>
      <c r="D54">
        <f t="shared" si="10"/>
        <v>12.559409488954028</v>
      </c>
      <c r="E54" s="6">
        <f t="shared" si="7"/>
        <v>6.9774497160855709E-2</v>
      </c>
      <c r="F54">
        <f t="shared" si="8"/>
        <v>1.1417644989958207</v>
      </c>
      <c r="G54">
        <f t="shared" si="11"/>
        <v>114.17644989958207</v>
      </c>
      <c r="H54">
        <f t="shared" si="9"/>
        <v>16.363636363636363</v>
      </c>
      <c r="K54" s="23" t="s">
        <v>246</v>
      </c>
      <c r="L54" s="23"/>
      <c r="M54" s="23"/>
      <c r="N54" s="23"/>
      <c r="O54" s="23"/>
      <c r="P54" s="23"/>
      <c r="Q54" s="23"/>
    </row>
    <row r="55" spans="1:17" x14ac:dyDescent="0.2">
      <c r="A55">
        <v>4</v>
      </c>
      <c r="B55">
        <v>12</v>
      </c>
      <c r="C55">
        <f t="shared" si="6"/>
        <v>196</v>
      </c>
      <c r="D55">
        <f t="shared" si="10"/>
        <v>13.633815394064488</v>
      </c>
      <c r="E55" s="5">
        <f t="shared" si="7"/>
        <v>6.9560282622777997E-2</v>
      </c>
      <c r="F55">
        <f t="shared" si="8"/>
        <v>1.1361512828387073</v>
      </c>
      <c r="G55">
        <f t="shared" si="11"/>
        <v>113.61512828387073</v>
      </c>
      <c r="H55">
        <f t="shared" si="9"/>
        <v>16.333333333333332</v>
      </c>
      <c r="L55" s="23" t="s">
        <v>212</v>
      </c>
      <c r="M55" s="23"/>
      <c r="N55" s="23"/>
      <c r="O55" s="23"/>
      <c r="P55" s="23"/>
    </row>
    <row r="56" spans="1:17" x14ac:dyDescent="0.2">
      <c r="A56">
        <v>4</v>
      </c>
      <c r="B56">
        <v>13</v>
      </c>
      <c r="C56">
        <f t="shared" si="6"/>
        <v>212</v>
      </c>
      <c r="D56">
        <f t="shared" si="10"/>
        <v>14.697477240123844</v>
      </c>
      <c r="E56" s="5">
        <f t="shared" si="7"/>
        <v>6.9327722830772848E-2</v>
      </c>
      <c r="F56">
        <f t="shared" si="8"/>
        <v>1.1305751723172188</v>
      </c>
      <c r="G56">
        <f t="shared" si="11"/>
        <v>113.05751723172189</v>
      </c>
      <c r="H56">
        <f t="shared" si="9"/>
        <v>16.307692307692307</v>
      </c>
    </row>
    <row r="57" spans="1:17" x14ac:dyDescent="0.2">
      <c r="A57">
        <v>4</v>
      </c>
      <c r="B57">
        <v>14</v>
      </c>
      <c r="C57">
        <f t="shared" si="6"/>
        <v>228</v>
      </c>
      <c r="D57">
        <f t="shared" si="10"/>
        <v>15.750502467722605</v>
      </c>
      <c r="E57" s="5">
        <f t="shared" si="7"/>
        <v>6.908115117422195E-2</v>
      </c>
      <c r="F57">
        <f t="shared" si="8"/>
        <v>1.1250358905516147</v>
      </c>
      <c r="G57">
        <f t="shared" si="11"/>
        <v>112.50358905516147</v>
      </c>
      <c r="H57">
        <f t="shared" si="9"/>
        <v>16.285714285714285</v>
      </c>
    </row>
    <row r="58" spans="1:17" x14ac:dyDescent="0.2">
      <c r="A58">
        <v>4</v>
      </c>
      <c r="B58">
        <v>15</v>
      </c>
      <c r="C58">
        <f t="shared" si="6"/>
        <v>244</v>
      </c>
      <c r="D58">
        <f t="shared" si="10"/>
        <v>16.79299744304538</v>
      </c>
      <c r="E58" s="5">
        <f t="shared" si="7"/>
        <v>6.8823760012481069E-2</v>
      </c>
      <c r="F58">
        <f t="shared" si="8"/>
        <v>1.1195331628696921</v>
      </c>
      <c r="G58">
        <f t="shared" si="11"/>
        <v>111.95331628696921</v>
      </c>
      <c r="H58">
        <f t="shared" si="9"/>
        <v>16.266666666666666</v>
      </c>
    </row>
    <row r="59" spans="1:17" x14ac:dyDescent="0.2">
      <c r="A59">
        <v>4</v>
      </c>
      <c r="B59">
        <v>16</v>
      </c>
      <c r="C59">
        <f t="shared" si="6"/>
        <v>260</v>
      </c>
      <c r="D59">
        <f t="shared" si="10"/>
        <v>17.825067468614925</v>
      </c>
      <c r="E59" s="5">
        <f t="shared" si="7"/>
        <v>6.8557951802365097E-2</v>
      </c>
      <c r="F59">
        <f t="shared" si="8"/>
        <v>1.1140667167884328</v>
      </c>
      <c r="G59">
        <f t="shared" si="11"/>
        <v>111.40667167884328</v>
      </c>
      <c r="H59">
        <f t="shared" si="9"/>
        <v>16.25</v>
      </c>
    </row>
    <row r="60" spans="1:17" x14ac:dyDescent="0.2">
      <c r="A60">
        <v>4</v>
      </c>
      <c r="B60">
        <v>17</v>
      </c>
      <c r="C60">
        <f t="shared" si="6"/>
        <v>276</v>
      </c>
      <c r="D60">
        <f t="shared" si="10"/>
        <v>18.846816793928777</v>
      </c>
      <c r="E60" s="4">
        <f t="shared" si="7"/>
        <v>6.8285568093944843E-2</v>
      </c>
      <c r="F60">
        <f t="shared" si="8"/>
        <v>1.1086362819958104</v>
      </c>
      <c r="G60">
        <f t="shared" si="11"/>
        <v>110.86362819958104</v>
      </c>
      <c r="H60">
        <f t="shared" si="9"/>
        <v>16.235294117647058</v>
      </c>
      <c r="K60" s="23" t="s">
        <v>238</v>
      </c>
      <c r="L60" s="23"/>
      <c r="M60">
        <f>2.5*(G49/27.78-0.36)</f>
        <v>9.632730489380851</v>
      </c>
      <c r="N60" t="s">
        <v>291</v>
      </c>
    </row>
    <row r="61" spans="1:17" x14ac:dyDescent="0.2">
      <c r="A61">
        <v>4</v>
      </c>
      <c r="B61">
        <v>18</v>
      </c>
      <c r="C61">
        <f t="shared" si="6"/>
        <v>292</v>
      </c>
      <c r="D61">
        <f t="shared" si="10"/>
        <v>19.858348625989489</v>
      </c>
      <c r="E61" s="4">
        <f t="shared" si="7"/>
        <v>6.8008043239690036E-2</v>
      </c>
      <c r="F61">
        <f t="shared" si="8"/>
        <v>1.1032415903327495</v>
      </c>
      <c r="G61">
        <f t="shared" si="11"/>
        <v>110.32415903327495</v>
      </c>
      <c r="H61">
        <f t="shared" si="9"/>
        <v>16.222222222222221</v>
      </c>
      <c r="K61" s="23"/>
      <c r="L61" s="23"/>
    </row>
    <row r="62" spans="1:17" x14ac:dyDescent="0.2">
      <c r="A62">
        <v>4</v>
      </c>
      <c r="B62">
        <v>19</v>
      </c>
      <c r="C62">
        <f t="shared" si="6"/>
        <v>308</v>
      </c>
      <c r="D62">
        <f t="shared" si="10"/>
        <v>20.859765139729593</v>
      </c>
      <c r="E62" s="4">
        <f t="shared" si="7"/>
        <v>6.7726510193927253E-2</v>
      </c>
      <c r="F62">
        <f t="shared" si="8"/>
        <v>1.0978823757752416</v>
      </c>
      <c r="G62">
        <f t="shared" si="11"/>
        <v>109.78823757752416</v>
      </c>
      <c r="H62">
        <f t="shared" si="9"/>
        <v>16.210526315789473</v>
      </c>
    </row>
    <row r="63" spans="1:17" x14ac:dyDescent="0.2">
      <c r="A63">
        <v>4</v>
      </c>
      <c r="B63">
        <v>20</v>
      </c>
      <c r="C63">
        <f t="shared" si="6"/>
        <v>324</v>
      </c>
      <c r="D63">
        <f t="shared" si="10"/>
        <v>21.851167488332297</v>
      </c>
      <c r="E63" s="4">
        <f t="shared" si="7"/>
        <v>6.7441874963988568E-2</v>
      </c>
      <c r="F63">
        <f t="shared" si="8"/>
        <v>1.092558374416615</v>
      </c>
      <c r="G63">
        <f t="shared" si="11"/>
        <v>109.2558374416615</v>
      </c>
      <c r="H63">
        <f t="shared" si="9"/>
        <v>16.2</v>
      </c>
    </row>
    <row r="64" spans="1:17" x14ac:dyDescent="0.2">
      <c r="A64">
        <v>4</v>
      </c>
      <c r="B64">
        <v>21</v>
      </c>
      <c r="C64">
        <f t="shared" si="6"/>
        <v>340</v>
      </c>
      <c r="D64">
        <f t="shared" si="10"/>
        <v>22.832655813448973</v>
      </c>
      <c r="E64" s="4">
        <f t="shared" si="7"/>
        <v>6.7154870039555808E-2</v>
      </c>
      <c r="F64">
        <f t="shared" si="8"/>
        <v>1.0872693244499512</v>
      </c>
      <c r="G64">
        <f t="shared" si="11"/>
        <v>108.72693244499511</v>
      </c>
      <c r="H64">
        <f t="shared" si="9"/>
        <v>16.19047619047619</v>
      </c>
    </row>
    <row r="65" spans="1:17" x14ac:dyDescent="0.2">
      <c r="A65">
        <v>4</v>
      </c>
      <c r="B65">
        <v>22</v>
      </c>
      <c r="C65">
        <f t="shared" si="6"/>
        <v>356</v>
      </c>
      <c r="D65">
        <f t="shared" si="10"/>
        <v>23.804329255314482</v>
      </c>
      <c r="E65" s="4">
        <f t="shared" si="7"/>
        <v>6.6866093413804728E-2</v>
      </c>
      <c r="F65">
        <f t="shared" si="8"/>
        <v>1.0820149661506582</v>
      </c>
      <c r="G65">
        <f t="shared" si="11"/>
        <v>108.20149661506582</v>
      </c>
      <c r="H65">
        <f t="shared" si="9"/>
        <v>16.181818181818183</v>
      </c>
      <c r="I65" s="8"/>
      <c r="J65" s="8"/>
      <c r="K65" s="8"/>
      <c r="L65" s="8"/>
      <c r="M65" s="8"/>
      <c r="N65" s="8"/>
      <c r="O65" s="8"/>
      <c r="P65" s="8"/>
      <c r="Q65" s="8"/>
    </row>
    <row r="66" spans="1:17" x14ac:dyDescent="0.2">
      <c r="A66">
        <v>4</v>
      </c>
      <c r="B66">
        <v>23</v>
      </c>
      <c r="C66">
        <f t="shared" si="6"/>
        <v>372</v>
      </c>
      <c r="D66">
        <f t="shared" si="10"/>
        <v>24.766285962761337</v>
      </c>
      <c r="E66" s="4">
        <f t="shared" si="7"/>
        <v>6.6576037534304675E-2</v>
      </c>
      <c r="F66">
        <f t="shared" si="8"/>
        <v>1.0767950418591885</v>
      </c>
      <c r="G66">
        <f t="shared" si="11"/>
        <v>107.67950418591884</v>
      </c>
      <c r="H66">
        <f t="shared" si="9"/>
        <v>16.173913043478262</v>
      </c>
      <c r="I66" s="8"/>
      <c r="J66" s="8"/>
      <c r="K66" s="8"/>
      <c r="L66" s="8"/>
      <c r="M66" s="8"/>
      <c r="N66" s="8"/>
      <c r="O66" s="8"/>
      <c r="P66" s="8"/>
      <c r="Q66" s="8"/>
    </row>
    <row r="67" spans="1:17" x14ac:dyDescent="0.2">
      <c r="A67">
        <v>4</v>
      </c>
      <c r="B67">
        <v>24</v>
      </c>
      <c r="C67">
        <f t="shared" si="6"/>
        <v>388</v>
      </c>
      <c r="D67">
        <f t="shared" si="10"/>
        <v>25.718623103133723</v>
      </c>
      <c r="E67" s="4">
        <f t="shared" si="7"/>
        <v>6.6285111090550838E-2</v>
      </c>
      <c r="F67">
        <f t="shared" si="8"/>
        <v>1.0716092959639052</v>
      </c>
      <c r="G67">
        <f t="shared" si="11"/>
        <v>107.16092959639052</v>
      </c>
      <c r="H67">
        <f t="shared" si="9"/>
        <v>16.166666666666668</v>
      </c>
      <c r="I67" s="8"/>
      <c r="J67" s="8"/>
      <c r="K67" s="8"/>
      <c r="L67" s="8"/>
      <c r="M67" s="8"/>
      <c r="N67" s="8"/>
      <c r="O67" s="8"/>
      <c r="P67" s="8"/>
      <c r="Q67" s="8"/>
    </row>
    <row r="68" spans="1:17" x14ac:dyDescent="0.2">
      <c r="A68">
        <v>4</v>
      </c>
      <c r="B68">
        <v>25</v>
      </c>
      <c r="C68">
        <f t="shared" si="6"/>
        <v>404</v>
      </c>
      <c r="D68">
        <f t="shared" si="10"/>
        <v>26.661436872102385</v>
      </c>
      <c r="E68" s="4">
        <f t="shared" si="7"/>
        <v>6.599365562401581E-2</v>
      </c>
      <c r="F68">
        <f t="shared" si="8"/>
        <v>1.0664574748840954</v>
      </c>
      <c r="G68">
        <f t="shared" si="11"/>
        <v>106.64574748840954</v>
      </c>
      <c r="H68">
        <f t="shared" si="9"/>
        <v>16.16</v>
      </c>
      <c r="I68" s="8"/>
      <c r="J68" s="8"/>
      <c r="K68" s="8"/>
      <c r="L68" s="8"/>
      <c r="M68" s="8"/>
      <c r="N68" s="8"/>
      <c r="O68" s="8"/>
      <c r="P68" s="8"/>
      <c r="Q68" s="8"/>
    </row>
    <row r="69" spans="1:17" x14ac:dyDescent="0.2">
      <c r="A69">
        <v>4</v>
      </c>
      <c r="B69">
        <v>26</v>
      </c>
      <c r="C69">
        <f t="shared" si="6"/>
        <v>420</v>
      </c>
      <c r="D69">
        <f t="shared" si="10"/>
        <v>27.594822503381362</v>
      </c>
      <c r="E69" s="4">
        <f t="shared" si="7"/>
        <v>6.570195834138419E-2</v>
      </c>
      <c r="F69">
        <f t="shared" si="8"/>
        <v>1.0613393270531293</v>
      </c>
      <c r="G69">
        <f t="shared" si="11"/>
        <v>106.13393270531293</v>
      </c>
      <c r="H69">
        <f t="shared" si="9"/>
        <v>16.153846153846153</v>
      </c>
      <c r="I69" s="8"/>
      <c r="J69" s="8"/>
      <c r="K69" s="8"/>
      <c r="L69" s="8"/>
      <c r="M69" s="8"/>
      <c r="N69" s="8"/>
      <c r="O69" s="8"/>
      <c r="P69" s="8"/>
      <c r="Q69" s="8"/>
    </row>
    <row r="70" spans="1:17" x14ac:dyDescent="0.2">
      <c r="A70">
        <v>4</v>
      </c>
      <c r="B70">
        <v>27</v>
      </c>
      <c r="C70">
        <f t="shared" si="6"/>
        <v>436</v>
      </c>
      <c r="D70">
        <f t="shared" si="10"/>
        <v>28.51887427834755</v>
      </c>
      <c r="E70" s="4">
        <f t="shared" si="7"/>
        <v>6.5410262106301714E-2</v>
      </c>
      <c r="F70">
        <f t="shared" si="8"/>
        <v>1.0562546029017612</v>
      </c>
      <c r="G70">
        <f t="shared" si="11"/>
        <v>105.62546029017612</v>
      </c>
      <c r="H70">
        <f t="shared" si="9"/>
        <v>16.148148148148149</v>
      </c>
      <c r="I70" s="8"/>
      <c r="J70" s="8"/>
      <c r="K70" s="8"/>
      <c r="L70" s="8"/>
      <c r="M70" s="8"/>
      <c r="N70" s="8"/>
      <c r="O70" s="8"/>
      <c r="P70" s="8"/>
      <c r="Q70" s="8"/>
    </row>
    <row r="71" spans="1:17" x14ac:dyDescent="0.2">
      <c r="A71">
        <v>4</v>
      </c>
      <c r="B71">
        <v>28</v>
      </c>
      <c r="C71">
        <f t="shared" si="6"/>
        <v>452</v>
      </c>
      <c r="D71">
        <f t="shared" si="10"/>
        <v>29.433685535564074</v>
      </c>
      <c r="E71" s="3">
        <f t="shared" si="7"/>
        <v>6.511877330877007E-2</v>
      </c>
      <c r="F71">
        <f t="shared" si="8"/>
        <v>1.0512030548415741</v>
      </c>
      <c r="G71">
        <f t="shared" si="11"/>
        <v>105.1203054841574</v>
      </c>
      <c r="H71">
        <f t="shared" si="9"/>
        <v>16.142857142857142</v>
      </c>
    </row>
    <row r="72" spans="1:17" x14ac:dyDescent="0.2">
      <c r="A72">
        <v>4</v>
      </c>
      <c r="B72">
        <v>29</v>
      </c>
      <c r="C72">
        <f t="shared" si="6"/>
        <v>468</v>
      </c>
      <c r="D72">
        <f t="shared" si="10"/>
        <v>30.339348680208431</v>
      </c>
      <c r="E72" s="3">
        <f t="shared" si="7"/>
        <v>6.4827668120103488E-2</v>
      </c>
      <c r="F72">
        <f t="shared" si="8"/>
        <v>1.0461844372485667</v>
      </c>
      <c r="G72">
        <f t="shared" si="11"/>
        <v>104.61844372485668</v>
      </c>
      <c r="H72">
        <f t="shared" si="9"/>
        <v>16.137931034482758</v>
      </c>
    </row>
    <row r="73" spans="1:17" x14ac:dyDescent="0.2">
      <c r="A73">
        <v>4</v>
      </c>
      <c r="B73">
        <v>30</v>
      </c>
      <c r="C73">
        <f t="shared" si="6"/>
        <v>484</v>
      </c>
      <c r="D73">
        <f t="shared" si="10"/>
        <v>31.235955193406348</v>
      </c>
      <c r="E73" s="3">
        <f t="shared" si="7"/>
        <v>6.4537097507037913E-2</v>
      </c>
      <c r="F73">
        <f t="shared" si="8"/>
        <v>1.0411985064468783</v>
      </c>
      <c r="G73">
        <f t="shared" si="11"/>
        <v>104.11985064468783</v>
      </c>
      <c r="H73">
        <f t="shared" si="9"/>
        <v>16.133333333333333</v>
      </c>
    </row>
    <row r="74" spans="1:17" x14ac:dyDescent="0.2">
      <c r="A74">
        <v>4</v>
      </c>
      <c r="B74">
        <v>31</v>
      </c>
      <c r="C74">
        <f t="shared" si="6"/>
        <v>500</v>
      </c>
      <c r="D74">
        <f t="shared" si="10"/>
        <v>32.123595641472285</v>
      </c>
      <c r="E74" s="3">
        <f t="shared" si="7"/>
        <v>6.4247191282944566E-2</v>
      </c>
      <c r="F74">
        <f t="shared" si="8"/>
        <v>1.0362450206926543</v>
      </c>
      <c r="G74">
        <f t="shared" si="11"/>
        <v>103.62450206926543</v>
      </c>
      <c r="H74">
        <f t="shared" si="9"/>
        <v>16.129032258064516</v>
      </c>
    </row>
    <row r="75" spans="1:17" x14ac:dyDescent="0.2">
      <c r="A75">
        <v>4</v>
      </c>
      <c r="B75">
        <v>32</v>
      </c>
      <c r="C75">
        <f t="shared" si="6"/>
        <v>516</v>
      </c>
      <c r="D75">
        <f t="shared" si="10"/>
        <v>33.002359685057563</v>
      </c>
      <c r="E75" s="3">
        <f t="shared" si="7"/>
        <v>6.3958061405150313E-2</v>
      </c>
      <c r="F75">
        <f t="shared" si="8"/>
        <v>1.0313237401580488</v>
      </c>
      <c r="G75">
        <f t="shared" si="11"/>
        <v>103.13237401580488</v>
      </c>
      <c r="H75">
        <f t="shared" si="9"/>
        <v>16.125</v>
      </c>
    </row>
    <row r="76" spans="1:17" x14ac:dyDescent="0.2">
      <c r="A76">
        <v>4</v>
      </c>
      <c r="B76">
        <v>33</v>
      </c>
      <c r="C76">
        <f t="shared" si="6"/>
        <v>532</v>
      </c>
      <c r="D76">
        <f t="shared" si="10"/>
        <v>33.872336088206985</v>
      </c>
      <c r="E76" s="3">
        <f t="shared" si="7"/>
        <v>6.3669804677080805E-2</v>
      </c>
      <c r="F76">
        <f t="shared" si="8"/>
        <v>1.0264344269153631</v>
      </c>
      <c r="G76">
        <f t="shared" si="11"/>
        <v>102.64344269153631</v>
      </c>
      <c r="H76">
        <f t="shared" si="9"/>
        <v>16.121212121212121</v>
      </c>
    </row>
    <row r="77" spans="1:17" x14ac:dyDescent="0.2">
      <c r="A77">
        <v>4</v>
      </c>
      <c r="B77">
        <v>34</v>
      </c>
      <c r="C77">
        <f t="shared" si="6"/>
        <v>548</v>
      </c>
      <c r="D77">
        <f t="shared" si="10"/>
        <v>34.733612727324918</v>
      </c>
      <c r="E77" s="3">
        <f t="shared" si="7"/>
        <v>6.3382504976870285E-2</v>
      </c>
      <c r="F77">
        <f t="shared" si="8"/>
        <v>1.0215768449213212</v>
      </c>
      <c r="G77">
        <f t="shared" si="11"/>
        <v>102.15768449213212</v>
      </c>
      <c r="H77">
        <f t="shared" si="9"/>
        <v>16.117647058823529</v>
      </c>
    </row>
    <row r="78" spans="1:17" x14ac:dyDescent="0.2">
      <c r="A78">
        <v>4</v>
      </c>
      <c r="B78">
        <v>35</v>
      </c>
      <c r="C78">
        <f t="shared" si="6"/>
        <v>564</v>
      </c>
      <c r="D78">
        <f t="shared" si="10"/>
        <v>35.586276600051669</v>
      </c>
      <c r="E78" s="3">
        <f t="shared" si="7"/>
        <v>6.3096235106474594E-2</v>
      </c>
      <c r="F78">
        <f t="shared" si="8"/>
        <v>1.0167507600014762</v>
      </c>
      <c r="G78">
        <f t="shared" si="11"/>
        <v>101.67507600014763</v>
      </c>
      <c r="H78">
        <f t="shared" si="9"/>
        <v>16.114285714285714</v>
      </c>
    </row>
    <row r="79" spans="1:17" x14ac:dyDescent="0.2">
      <c r="A79">
        <v>4</v>
      </c>
      <c r="B79">
        <v>36</v>
      </c>
      <c r="C79">
        <f t="shared" si="6"/>
        <v>580</v>
      </c>
      <c r="D79">
        <f t="shared" si="10"/>
        <v>36.430413834051151</v>
      </c>
      <c r="E79" s="3">
        <f t="shared" si="7"/>
        <v>6.2811058334570957E-2</v>
      </c>
      <c r="F79">
        <f t="shared" si="8"/>
        <v>1.0119559398347542</v>
      </c>
      <c r="G79">
        <f t="shared" si="11"/>
        <v>101.19559398347542</v>
      </c>
      <c r="H79">
        <f t="shared" si="9"/>
        <v>16.111111111111111</v>
      </c>
    </row>
    <row r="80" spans="1:17" x14ac:dyDescent="0.2">
      <c r="A80">
        <v>4</v>
      </c>
      <c r="B80">
        <v>37</v>
      </c>
      <c r="C80">
        <f t="shared" si="6"/>
        <v>596</v>
      </c>
      <c r="D80">
        <f t="shared" si="10"/>
        <v>37.266109695710639</v>
      </c>
      <c r="E80" s="3">
        <f t="shared" si="7"/>
        <v>6.2527029690789659E-2</v>
      </c>
      <c r="F80">
        <f t="shared" si="8"/>
        <v>1.0071921539381254</v>
      </c>
      <c r="G80">
        <f t="shared" si="11"/>
        <v>100.71921539381255</v>
      </c>
      <c r="H80">
        <f t="shared" si="9"/>
        <v>16.108108108108109</v>
      </c>
    </row>
    <row r="81" spans="1:9" x14ac:dyDescent="0.2">
      <c r="A81">
        <v>4</v>
      </c>
      <c r="B81">
        <v>38</v>
      </c>
      <c r="C81">
        <f t="shared" si="6"/>
        <v>612</v>
      </c>
      <c r="D81">
        <f t="shared" si="10"/>
        <v>38.093448598753533</v>
      </c>
      <c r="E81" s="3">
        <f t="shared" si="7"/>
        <v>6.2244197056786819E-2</v>
      </c>
      <c r="F81">
        <f t="shared" si="8"/>
        <v>1.0024591736514088</v>
      </c>
      <c r="G81">
        <f t="shared" si="11"/>
        <v>100.24591736514088</v>
      </c>
      <c r="H81">
        <f t="shared" si="9"/>
        <v>16.105263157894736</v>
      </c>
    </row>
    <row r="82" spans="1:9" x14ac:dyDescent="0.2">
      <c r="A82">
        <v>4</v>
      </c>
      <c r="B82">
        <v>39</v>
      </c>
      <c r="C82">
        <f t="shared" si="6"/>
        <v>628</v>
      </c>
      <c r="D82">
        <f t="shared" si="10"/>
        <v>38.912514112765997</v>
      </c>
      <c r="E82" s="3">
        <f t="shared" si="7"/>
        <v>6.1962602090391714E-2</v>
      </c>
      <c r="F82">
        <f t="shared" si="8"/>
        <v>0.99775677212220504</v>
      </c>
      <c r="G82">
        <f t="shared" si="11"/>
        <v>99.775677212220501</v>
      </c>
      <c r="H82">
        <f t="shared" si="9"/>
        <v>16.102564102564102</v>
      </c>
    </row>
    <row r="83" spans="1:9" x14ac:dyDescent="0.2">
      <c r="A83">
        <v>4</v>
      </c>
      <c r="B83">
        <v>40</v>
      </c>
      <c r="C83">
        <f t="shared" si="6"/>
        <v>644</v>
      </c>
      <c r="D83">
        <f t="shared" si="10"/>
        <v>39.723388971638336</v>
      </c>
      <c r="E83" s="3">
        <f t="shared" si="7"/>
        <v>6.1682281011860768E-2</v>
      </c>
      <c r="F83">
        <f t="shared" si="8"/>
        <v>0.9930847242909584</v>
      </c>
      <c r="G83">
        <f>100*F83</f>
        <v>99.308472429095843</v>
      </c>
      <c r="H83">
        <f t="shared" si="9"/>
        <v>16.100000000000001</v>
      </c>
    </row>
    <row r="86" spans="1:9" x14ac:dyDescent="0.2">
      <c r="A86" t="s">
        <v>203</v>
      </c>
      <c r="B86" t="s">
        <v>233</v>
      </c>
      <c r="C86" t="s">
        <v>204</v>
      </c>
      <c r="D86" t="s">
        <v>289</v>
      </c>
      <c r="E86" t="s">
        <v>207</v>
      </c>
      <c r="F86" t="s">
        <v>205</v>
      </c>
      <c r="G86" t="s">
        <v>213</v>
      </c>
      <c r="H86" t="s">
        <v>214</v>
      </c>
      <c r="I86" t="s">
        <v>290</v>
      </c>
    </row>
    <row r="87" spans="1:9" x14ac:dyDescent="0.2">
      <c r="A87">
        <v>4</v>
      </c>
      <c r="B87">
        <v>7</v>
      </c>
      <c r="C87">
        <v>116</v>
      </c>
      <c r="D87">
        <v>8.1521582511612003</v>
      </c>
      <c r="E87" s="7">
        <v>7.0277226303113796E-2</v>
      </c>
      <c r="F87">
        <v>1.1645940358801714</v>
      </c>
      <c r="G87">
        <v>116.45940358801714</v>
      </c>
      <c r="H87">
        <v>16.571428571428573</v>
      </c>
      <c r="I87">
        <f>60*D87</f>
        <v>489.12949506967203</v>
      </c>
    </row>
  </sheetData>
  <sortState ref="A45:H83">
    <sortCondition ref="A44:A83"/>
  </sortState>
  <mergeCells count="10">
    <mergeCell ref="A42:H42"/>
    <mergeCell ref="K54:Q54"/>
    <mergeCell ref="L55:P55"/>
    <mergeCell ref="K60:L60"/>
    <mergeCell ref="K61:L61"/>
    <mergeCell ref="L14:P14"/>
    <mergeCell ref="A1:H1"/>
    <mergeCell ref="K19:L19"/>
    <mergeCell ref="K20:L20"/>
    <mergeCell ref="K13:Q13"/>
  </mergeCells>
  <phoneticPr fontId="1" type="noConversion"/>
  <conditionalFormatting sqref="E3:E23">
    <cfRule type="cellIs" dxfId="6" priority="2" operator="between">
      <formula>0.135</formula>
      <formula>1</formula>
    </cfRule>
    <cfRule type="cellIs" dxfId="5" priority="3" operator="between">
      <formula>0.13</formula>
      <formula>0.135</formula>
    </cfRule>
    <cfRule type="cellIs" dxfId="4" priority="4" operator="between">
      <formula>0.125</formula>
      <formula>0.13</formula>
    </cfRule>
    <cfRule type="cellIs" dxfId="3" priority="5" operator="between">
      <formula>0</formula>
      <formula>0.125</formula>
    </cfRule>
  </conditionalFormatting>
  <conditionalFormatting sqref="E7">
    <cfRule type="cellIs" dxfId="2" priority="1" operator="between">
      <formula>0.137</formula>
      <formula>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4"/>
  <sheetViews>
    <sheetView workbookViewId="0">
      <selection sqref="A1:XFD1048576"/>
    </sheetView>
  </sheetViews>
  <sheetFormatPr defaultRowHeight="14.25" x14ac:dyDescent="0.2"/>
  <cols>
    <col min="1" max="1" width="30.125" customWidth="1"/>
    <col min="2" max="2" width="21" customWidth="1"/>
    <col min="3" max="3" width="17.5" customWidth="1"/>
    <col min="4" max="4" width="19.25" customWidth="1"/>
    <col min="5" max="5" width="27.75" customWidth="1"/>
    <col min="6" max="6" width="16.125" customWidth="1"/>
    <col min="7" max="7" width="25.25" customWidth="1"/>
    <col min="8" max="8" width="14.25" customWidth="1"/>
    <col min="9" max="9" width="13" customWidth="1"/>
    <col min="10" max="10" width="13.5" customWidth="1"/>
  </cols>
  <sheetData>
    <row r="1" spans="1:10" x14ac:dyDescent="0.2">
      <c r="A1" t="s">
        <v>267</v>
      </c>
    </row>
    <row r="2" spans="1:10" x14ac:dyDescent="0.2">
      <c r="A2" t="s">
        <v>268</v>
      </c>
    </row>
    <row r="3" spans="1:10" x14ac:dyDescent="0.2">
      <c r="B3" t="s">
        <v>269</v>
      </c>
    </row>
    <row r="4" spans="1:10" x14ac:dyDescent="0.2">
      <c r="B4" t="s">
        <v>270</v>
      </c>
    </row>
    <row r="5" spans="1:10" x14ac:dyDescent="0.2">
      <c r="B5" t="s">
        <v>271</v>
      </c>
    </row>
    <row r="6" spans="1:10" x14ac:dyDescent="0.2">
      <c r="A6" t="s">
        <v>696</v>
      </c>
    </row>
    <row r="7" spans="1:10" x14ac:dyDescent="0.2">
      <c r="A7" s="24" t="s">
        <v>507</v>
      </c>
      <c r="B7" s="24"/>
      <c r="C7" s="24"/>
      <c r="D7" s="24"/>
      <c r="E7" s="24"/>
      <c r="F7" s="24"/>
    </row>
    <row r="8" spans="1:10" x14ac:dyDescent="0.2">
      <c r="A8" s="24" t="s">
        <v>508</v>
      </c>
      <c r="B8" s="24"/>
      <c r="C8" s="24"/>
      <c r="D8" s="24"/>
      <c r="E8" s="24"/>
    </row>
    <row r="9" spans="1:10" x14ac:dyDescent="0.2">
      <c r="A9" t="s">
        <v>272</v>
      </c>
    </row>
    <row r="10" spans="1:10" x14ac:dyDescent="0.2">
      <c r="A10" t="s">
        <v>273</v>
      </c>
    </row>
    <row r="11" spans="1:10" x14ac:dyDescent="0.2">
      <c r="A11" t="s">
        <v>470</v>
      </c>
    </row>
    <row r="15" spans="1:10" x14ac:dyDescent="0.2">
      <c r="H15" s="23" t="s">
        <v>471</v>
      </c>
      <c r="I15" s="23"/>
      <c r="J15" s="23"/>
    </row>
    <row r="16" spans="1:10" x14ac:dyDescent="0.2">
      <c r="A16" t="s">
        <v>259</v>
      </c>
      <c r="B16" t="s">
        <v>260</v>
      </c>
      <c r="C16" t="s">
        <v>265</v>
      </c>
      <c r="D16" t="s">
        <v>266</v>
      </c>
      <c r="E16" t="s">
        <v>749</v>
      </c>
      <c r="F16" t="s">
        <v>275</v>
      </c>
      <c r="G16" t="s">
        <v>274</v>
      </c>
      <c r="H16" t="s">
        <v>472</v>
      </c>
      <c r="I16" t="s">
        <v>275</v>
      </c>
      <c r="J16" t="s">
        <v>473</v>
      </c>
    </row>
    <row r="17" spans="1:10" x14ac:dyDescent="0.2">
      <c r="A17" t="s">
        <v>261</v>
      </c>
      <c r="B17">
        <v>0</v>
      </c>
      <c r="C17">
        <v>0</v>
      </c>
      <c r="D17">
        <f>C17-1</f>
        <v>-1</v>
      </c>
      <c r="E17">
        <f>(0.5/6-D17)/0.8</f>
        <v>1.3541666666666665</v>
      </c>
      <c r="F17" t="s">
        <v>261</v>
      </c>
      <c r="G17">
        <f>(0.25/6-D17)/0.8</f>
        <v>1.3020833333333333</v>
      </c>
      <c r="H17">
        <f>1/E17</f>
        <v>0.7384615384615385</v>
      </c>
      <c r="I17" t="s">
        <v>261</v>
      </c>
      <c r="J17">
        <f>1/G17</f>
        <v>0.76800000000000002</v>
      </c>
    </row>
    <row r="18" spans="1:10" x14ac:dyDescent="0.2">
      <c r="A18" t="s">
        <v>262</v>
      </c>
      <c r="B18">
        <v>50</v>
      </c>
      <c r="C18">
        <f>SQRT(400*B18*0.6+B18*0.6*B18*0.6)/(200+B18*0.6)</f>
        <v>0.49381811702611073</v>
      </c>
      <c r="D18">
        <f>C18-1</f>
        <v>-0.50618188297388933</v>
      </c>
      <c r="E18">
        <f>(0.5/6-D18)/0.8</f>
        <v>0.73689402038402829</v>
      </c>
      <c r="F18" t="s">
        <v>262</v>
      </c>
      <c r="G18">
        <f>(0.25/6-D18)/0.8</f>
        <v>0.68481068705069492</v>
      </c>
      <c r="H18">
        <f>1/E18</f>
        <v>1.3570472447026445</v>
      </c>
      <c r="I18" t="s">
        <v>262</v>
      </c>
      <c r="J18">
        <f>1/G18</f>
        <v>1.4602575849199215</v>
      </c>
    </row>
    <row r="19" spans="1:10" x14ac:dyDescent="0.2">
      <c r="A19" t="s">
        <v>751</v>
      </c>
      <c r="B19">
        <v>55</v>
      </c>
      <c r="C19">
        <f>SQRT(400*B19*0.6+B19*0.6*B19*0.6)/(200+B19*0.6)</f>
        <v>0.51303264065318743</v>
      </c>
      <c r="D19">
        <f>C19-1</f>
        <v>-0.48696735934681257</v>
      </c>
      <c r="E19">
        <f>(0.5/6-D19)/0.8</f>
        <v>0.71287586585018237</v>
      </c>
      <c r="F19" t="s">
        <v>753</v>
      </c>
      <c r="G19">
        <f>(0.25/6-D19)/0.8</f>
        <v>0.660792532516849</v>
      </c>
      <c r="H19">
        <f>1/E19</f>
        <v>1.4027687678939598</v>
      </c>
      <c r="I19" t="s">
        <v>753</v>
      </c>
      <c r="J19">
        <f>1/G19</f>
        <v>1.5133342929756881</v>
      </c>
    </row>
    <row r="20" spans="1:10" x14ac:dyDescent="0.2">
      <c r="A20" t="s">
        <v>276</v>
      </c>
      <c r="B20">
        <v>60</v>
      </c>
      <c r="C20">
        <f>SQRT(400*B20*0.6+B20*0.6*B20*0.6)/(200+B20*0.6)</f>
        <v>0.5308630428259602</v>
      </c>
      <c r="D20">
        <f>C20-1</f>
        <v>-0.4691369571740398</v>
      </c>
      <c r="E20">
        <f>(0.5/6-D20)/0.8</f>
        <v>0.69058786313421638</v>
      </c>
      <c r="F20" t="s">
        <v>276</v>
      </c>
      <c r="G20">
        <f>(0.25/6-D20)/0.8</f>
        <v>0.63850452980088301</v>
      </c>
      <c r="H20">
        <f>1/E20</f>
        <v>1.4480416662139473</v>
      </c>
      <c r="I20" t="s">
        <v>276</v>
      </c>
      <c r="J20">
        <f>1/G20</f>
        <v>1.5661596015800374</v>
      </c>
    </row>
    <row r="21" spans="1:10" x14ac:dyDescent="0.2">
      <c r="A21" t="s">
        <v>750</v>
      </c>
      <c r="B21">
        <v>70</v>
      </c>
      <c r="C21">
        <f>SQRT(400*B21*0.6+B21*0.6*B21*0.6)/(200+B21*0.6)</f>
        <v>0.56301558116532557</v>
      </c>
      <c r="D21">
        <f>C21-1</f>
        <v>-0.43698441883467443</v>
      </c>
      <c r="E21">
        <f>(0.5/6-D21)/0.8</f>
        <v>0.65039719021000975</v>
      </c>
      <c r="F21" t="s">
        <v>752</v>
      </c>
      <c r="G21">
        <f>(0.25/6-D21)/0.8</f>
        <v>0.59831385687667638</v>
      </c>
      <c r="H21">
        <f>1/E21</f>
        <v>1.5375220173954094</v>
      </c>
      <c r="I21" t="s">
        <v>754</v>
      </c>
      <c r="J21">
        <f>1/G21</f>
        <v>1.6713635970595924</v>
      </c>
    </row>
    <row r="25" spans="1:10" x14ac:dyDescent="0.2">
      <c r="A25" t="s">
        <v>277</v>
      </c>
      <c r="B25" t="s">
        <v>278</v>
      </c>
    </row>
    <row r="26" spans="1:10" x14ac:dyDescent="0.2">
      <c r="A26">
        <v>74400</v>
      </c>
      <c r="B26">
        <v>12</v>
      </c>
    </row>
    <row r="28" spans="1:10" x14ac:dyDescent="0.2">
      <c r="A28" s="23" t="s">
        <v>279</v>
      </c>
      <c r="B28" s="23"/>
      <c r="C28" s="23"/>
      <c r="D28" s="23"/>
      <c r="E28" s="23"/>
    </row>
    <row r="29" spans="1:10" x14ac:dyDescent="0.2">
      <c r="A29" t="s">
        <v>259</v>
      </c>
      <c r="B29" t="s">
        <v>282</v>
      </c>
      <c r="C29" t="s">
        <v>281</v>
      </c>
      <c r="D29" t="s">
        <v>283</v>
      </c>
    </row>
    <row r="30" spans="1:10" x14ac:dyDescent="0.2">
      <c r="A30" t="s">
        <v>261</v>
      </c>
      <c r="B30" s="2" t="str">
        <f>IF(0.5/6-C17-A26/(B26*50000)&gt;-1,180*ASIN(0.5/6-C17-A26/(B26*50000))/PI(),"")&amp;IF(0.5/6-C17-A26/(B26*50000)&lt;=-1,-90,"")</f>
        <v>-2.33067107013589</v>
      </c>
      <c r="C30" s="2" t="str">
        <f>IF(0.25/6-C17-A26/(B26*50000)&gt;-1,180*ASIN(0.25/6-C17-A26/(B26*50000))/PI(),"")&amp;IF(0.25/6-C17-A26/(B26*50000)&lt;=-1,-90,"")</f>
        <v>-4.72269848436872</v>
      </c>
      <c r="D30" t="s">
        <v>284</v>
      </c>
    </row>
    <row r="31" spans="1:10" x14ac:dyDescent="0.2">
      <c r="A31" t="s">
        <v>262</v>
      </c>
      <c r="B31" s="2" t="str">
        <f>IF(0.5/6-C18-A26/(B26*50000)&gt;-1,180*ASIN(0.5/6-C18-A26/(B26*50000))/PI(),"")&amp;IF(0.5/6-C18-A26/(B26*50000)&lt;=-1,-90,"")</f>
        <v>-32.3089774578436</v>
      </c>
      <c r="C31" s="2" t="str">
        <f>IF(0.25/6-C18-A26/(B26*50000)&gt;-1,180*ASIN(0.25/6-C18-A26/(B26*50000))/PI(),"")&amp;IF(0.25/6-C18-A26/(B26*50000)&lt;=-1,-90,"")</f>
        <v>-35.1803089079551</v>
      </c>
      <c r="D31" t="s">
        <v>285</v>
      </c>
    </row>
    <row r="32" spans="1:10" x14ac:dyDescent="0.2">
      <c r="A32" t="s">
        <v>263</v>
      </c>
      <c r="B32" s="2" t="str">
        <f>IF(0.5/6-C19-A26/(B26*50000)&gt;-1,180*ASIN(0.5/6-C19-A26/(B26*50000))/PI(),"")&amp;IF(0.5/6-C19-A26/(B26*50000)&lt;=-1,-90,"")</f>
        <v>-33.6211729553282</v>
      </c>
      <c r="C32" s="2" t="str">
        <f>IF(0.25/6-C19-A26/(B26*50000)&gt;-1,180*ASIN(0.25/6-C19-A26/(B26*50000))/PI(),"")&amp;IF(0.25/6-C19-A26/(B26*50000)&lt;=-1,-90,"")</f>
        <v>-36.5387259530996</v>
      </c>
      <c r="D32" t="s">
        <v>286</v>
      </c>
    </row>
    <row r="33" spans="1:3" x14ac:dyDescent="0.2">
      <c r="A33" t="s">
        <v>264</v>
      </c>
      <c r="B33" s="2" t="str">
        <f>IF(0.5/6-C21-A26/(B26*50000)&gt;-1,180*ASIN(0.5/6-C21-A26/(B26*50000))/PI(),"")&amp;IF(0.5/6-C21-A26/(B26*50000)&lt;=-1,-90,"")</f>
        <v>-37.1340769349958</v>
      </c>
      <c r="C33" s="2" t="str">
        <f>IF(0.25/6-C21-A26/(B26*50000)&gt;-1,180*ASIN(0.25/6-C21-A26/(B26*50000))/PI(),"")&amp;IF(0.25/6-C21-A26/(B26*50000)&lt;=-1,-90,"")</f>
        <v>-40.1918409214634</v>
      </c>
    </row>
    <row r="34" spans="1:3" x14ac:dyDescent="0.2">
      <c r="A34" t="s">
        <v>280</v>
      </c>
      <c r="B34" s="2" t="str">
        <f>IF(0.5/6-C20-A26/(B26*50000)&gt;-1,180*ASIN(0.5/6-C20-A26/(B26*50000))/PI(),"")&amp;IF(0.5/6-C20-A26/(B26*50000)&lt;=-1,-90,"")</f>
        <v>-34.8569660792402</v>
      </c>
      <c r="C34" s="2" t="str">
        <f>IF(0.25/6-C20-A26/(B26*50000)&gt;-1,180*ASIN(0.25/6-C20-A26/(B26*50000))/PI(),"")&amp;IF(0.25/6-C20-A26/(B26*50000)&lt;=-1,-90,"")</f>
        <v>-37.8209823558945</v>
      </c>
    </row>
  </sheetData>
  <mergeCells count="4">
    <mergeCell ref="A28:E28"/>
    <mergeCell ref="H15:J15"/>
    <mergeCell ref="A7:F7"/>
    <mergeCell ref="A8:E8"/>
  </mergeCells>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6"/>
  <sheetViews>
    <sheetView tabSelected="1" topLeftCell="K1" zoomScale="145" zoomScaleNormal="145" workbookViewId="0">
      <selection activeCell="S6" sqref="S6:T6"/>
    </sheetView>
  </sheetViews>
  <sheetFormatPr defaultRowHeight="14.25" x14ac:dyDescent="0.2"/>
  <cols>
    <col min="13" max="13" width="16.5" customWidth="1"/>
    <col min="16" max="16" width="14.375" customWidth="1"/>
    <col min="17" max="18" width="11.625" customWidth="1"/>
  </cols>
  <sheetData>
    <row r="1" spans="1:24" x14ac:dyDescent="0.2">
      <c r="A1" s="27" t="s">
        <v>292</v>
      </c>
      <c r="B1" s="27"/>
      <c r="C1" s="27"/>
      <c r="D1" s="27"/>
      <c r="E1" s="27"/>
      <c r="F1" s="27"/>
      <c r="G1" s="27"/>
    </row>
    <row r="2" spans="1:24" x14ac:dyDescent="0.2">
      <c r="A2" s="24" t="s">
        <v>294</v>
      </c>
      <c r="B2" s="24"/>
      <c r="C2" s="24"/>
      <c r="D2" s="24"/>
      <c r="E2" s="24"/>
      <c r="F2" s="24"/>
      <c r="G2" s="24"/>
      <c r="H2" s="24"/>
    </row>
    <row r="3" spans="1:24" ht="29.25" customHeight="1" x14ac:dyDescent="0.2">
      <c r="A3" s="23"/>
      <c r="B3" s="23"/>
      <c r="C3" s="23"/>
      <c r="D3" s="23"/>
      <c r="E3" s="23"/>
      <c r="F3" s="23"/>
      <c r="G3" s="23"/>
      <c r="H3" s="23"/>
      <c r="Q3" s="26" t="s">
        <v>756</v>
      </c>
      <c r="R3" s="26"/>
      <c r="S3" s="26"/>
      <c r="T3" s="26"/>
      <c r="U3" s="42" t="s">
        <v>760</v>
      </c>
      <c r="V3" s="42"/>
      <c r="W3" s="42"/>
      <c r="X3" s="42"/>
    </row>
    <row r="4" spans="1:24" ht="14.25" customHeight="1" x14ac:dyDescent="0.2">
      <c r="B4" s="28" t="s">
        <v>293</v>
      </c>
      <c r="C4" s="28"/>
      <c r="D4" s="28"/>
      <c r="E4" s="28"/>
      <c r="F4" s="28"/>
      <c r="G4" s="28"/>
      <c r="Q4" s="26"/>
      <c r="R4" s="26"/>
      <c r="S4" s="26"/>
      <c r="T4" s="26"/>
      <c r="U4" s="42"/>
      <c r="V4" s="42"/>
      <c r="W4" s="42"/>
      <c r="X4" s="42"/>
    </row>
    <row r="5" spans="1:24" x14ac:dyDescent="0.2">
      <c r="A5" s="10" t="s">
        <v>295</v>
      </c>
      <c r="B5" s="10"/>
      <c r="C5" s="10"/>
      <c r="D5" s="10"/>
      <c r="E5" s="10"/>
      <c r="F5" s="10"/>
      <c r="P5" t="s">
        <v>767</v>
      </c>
      <c r="Q5" s="45" t="s">
        <v>766</v>
      </c>
      <c r="R5" s="19" t="s">
        <v>765</v>
      </c>
      <c r="S5" s="23" t="s">
        <v>769</v>
      </c>
      <c r="T5" s="23"/>
      <c r="U5" s="43" t="s">
        <v>761</v>
      </c>
      <c r="V5" s="43" t="s">
        <v>764</v>
      </c>
      <c r="W5" s="44" t="s">
        <v>762</v>
      </c>
      <c r="X5" s="44" t="s">
        <v>763</v>
      </c>
    </row>
    <row r="6" spans="1:24" x14ac:dyDescent="0.2">
      <c r="A6" s="9"/>
      <c r="O6" t="s">
        <v>349</v>
      </c>
      <c r="P6" t="s">
        <v>757</v>
      </c>
      <c r="Q6" s="19">
        <v>80</v>
      </c>
      <c r="R6" s="19">
        <f>IF(V6&gt;2.416,X6,W6)</f>
        <v>6466</v>
      </c>
      <c r="S6" s="23">
        <f>2000*60*300/R6</f>
        <v>5567.584287039901</v>
      </c>
      <c r="T6" s="23"/>
      <c r="U6" s="43">
        <f>Q6</f>
        <v>80</v>
      </c>
      <c r="V6" s="43">
        <f>U6*60</f>
        <v>4800</v>
      </c>
      <c r="W6" s="43">
        <f>26+14472*U6+100</f>
        <v>1157886</v>
      </c>
      <c r="X6" s="43">
        <f>706+72*U6</f>
        <v>6466</v>
      </c>
    </row>
    <row r="7" spans="1:24" x14ac:dyDescent="0.2">
      <c r="O7" t="s">
        <v>349</v>
      </c>
      <c r="P7" t="s">
        <v>758</v>
      </c>
      <c r="Q7" s="19">
        <v>2.4159999999999999</v>
      </c>
      <c r="R7" s="19">
        <f t="shared" ref="R7:R8" si="0">IF(V7&gt;2.416,X7,W7)</f>
        <v>708.73919999999998</v>
      </c>
      <c r="S7" s="23">
        <f t="shared" ref="S7:S8" si="1">2000*60*300/R7</f>
        <v>50794.424803933522</v>
      </c>
      <c r="T7" s="23"/>
      <c r="U7" s="43">
        <f>Q7/60</f>
        <v>4.0266666666666666E-2</v>
      </c>
      <c r="V7" s="43">
        <f>Q7</f>
        <v>2.4159999999999999</v>
      </c>
      <c r="W7" s="43">
        <f>26+14472*U7+100</f>
        <v>708.73919999999998</v>
      </c>
      <c r="X7" s="43">
        <f>706+72*U7</f>
        <v>708.89919999999995</v>
      </c>
    </row>
    <row r="8" spans="1:24" x14ac:dyDescent="0.2">
      <c r="O8" t="s">
        <v>759</v>
      </c>
      <c r="P8" t="s">
        <v>758</v>
      </c>
      <c r="Q8" s="19">
        <v>10</v>
      </c>
      <c r="R8" s="19">
        <f t="shared" si="0"/>
        <v>718</v>
      </c>
      <c r="S8" s="23">
        <f>2000*60*300/R8</f>
        <v>50139.275766016712</v>
      </c>
      <c r="T8" s="23"/>
      <c r="U8" s="43">
        <f>Q8/60</f>
        <v>0.16666666666666666</v>
      </c>
      <c r="V8" s="43">
        <f>Q8</f>
        <v>10</v>
      </c>
      <c r="W8" s="43">
        <f>26+14472*U8+100</f>
        <v>2538</v>
      </c>
      <c r="X8" s="43">
        <f>706+72*U8</f>
        <v>718</v>
      </c>
    </row>
    <row r="9" spans="1:24" x14ac:dyDescent="0.2">
      <c r="U9" s="19"/>
      <c r="V9" s="19"/>
      <c r="W9" s="19"/>
    </row>
    <row r="10" spans="1:24" x14ac:dyDescent="0.2">
      <c r="A10" s="24" t="s">
        <v>296</v>
      </c>
      <c r="B10" s="24"/>
      <c r="C10" s="11"/>
      <c r="D10" s="11"/>
      <c r="E10" s="11"/>
      <c r="F10" s="11"/>
      <c r="G10" s="11"/>
      <c r="H10" s="11"/>
      <c r="I10" s="11"/>
      <c r="J10" s="11"/>
      <c r="K10" s="11"/>
      <c r="U10" s="19"/>
      <c r="V10" s="19"/>
      <c r="W10" s="19"/>
    </row>
    <row r="11" spans="1:24" x14ac:dyDescent="0.2">
      <c r="A11" s="11"/>
      <c r="B11" s="24" t="s">
        <v>297</v>
      </c>
      <c r="C11" s="24"/>
      <c r="D11" s="24"/>
      <c r="E11" s="24"/>
      <c r="F11" s="24"/>
      <c r="G11" s="24"/>
      <c r="H11" s="24"/>
      <c r="I11" s="11"/>
      <c r="J11" s="11"/>
      <c r="K11" s="11"/>
    </row>
    <row r="12" spans="1:24" x14ac:dyDescent="0.2">
      <c r="A12" s="11"/>
      <c r="B12" s="24" t="s">
        <v>298</v>
      </c>
      <c r="C12" s="24"/>
      <c r="D12" s="24"/>
      <c r="E12" s="24"/>
      <c r="F12" s="11"/>
      <c r="G12" s="11"/>
      <c r="H12" s="11"/>
      <c r="I12" s="11"/>
      <c r="J12" s="11"/>
      <c r="K12" s="11"/>
    </row>
    <row r="13" spans="1:24" x14ac:dyDescent="0.2">
      <c r="A13" s="11"/>
      <c r="B13" s="11"/>
      <c r="C13" s="24" t="s">
        <v>299</v>
      </c>
      <c r="D13" s="24"/>
      <c r="E13" s="24"/>
      <c r="F13" s="24"/>
      <c r="G13" s="11"/>
      <c r="H13" s="11"/>
      <c r="I13" s="11"/>
      <c r="J13" s="11"/>
      <c r="K13" s="11"/>
    </row>
    <row r="14" spans="1:24" x14ac:dyDescent="0.2">
      <c r="A14" s="11"/>
      <c r="B14" s="24" t="s">
        <v>300</v>
      </c>
      <c r="C14" s="24"/>
      <c r="D14" s="11"/>
      <c r="E14" s="11"/>
      <c r="F14" s="11"/>
      <c r="G14" s="11"/>
      <c r="H14" s="11"/>
      <c r="I14" s="11"/>
      <c r="J14" s="11"/>
      <c r="K14" s="11"/>
    </row>
    <row r="15" spans="1:24" x14ac:dyDescent="0.2">
      <c r="A15" s="11"/>
      <c r="B15" s="11"/>
      <c r="C15" s="24" t="s">
        <v>301</v>
      </c>
      <c r="D15" s="24"/>
      <c r="E15" s="11"/>
      <c r="F15" s="11"/>
      <c r="G15" s="11"/>
      <c r="H15" s="11"/>
      <c r="I15" s="11"/>
      <c r="J15" s="11"/>
      <c r="K15" s="11"/>
    </row>
    <row r="16" spans="1:24" x14ac:dyDescent="0.2">
      <c r="A16" s="11"/>
      <c r="B16" s="24" t="s">
        <v>302</v>
      </c>
      <c r="C16" s="24"/>
      <c r="D16" s="24"/>
      <c r="E16" s="24"/>
      <c r="F16" s="24"/>
      <c r="G16" s="24"/>
      <c r="H16" s="11"/>
      <c r="I16" s="11"/>
      <c r="J16" s="11"/>
      <c r="K16" s="11"/>
    </row>
    <row r="17" spans="1:25" x14ac:dyDescent="0.2">
      <c r="A17" s="11"/>
      <c r="B17" s="24" t="s">
        <v>304</v>
      </c>
      <c r="C17" s="24"/>
      <c r="D17" s="24"/>
      <c r="E17" s="24"/>
      <c r="F17" s="24"/>
      <c r="G17" s="24"/>
      <c r="H17" s="24"/>
      <c r="I17" s="24"/>
      <c r="J17" s="24"/>
      <c r="K17" s="24"/>
      <c r="P17" s="24" t="s">
        <v>768</v>
      </c>
      <c r="Q17" s="24"/>
      <c r="R17" s="24"/>
      <c r="S17" s="24"/>
      <c r="T17" s="24"/>
      <c r="U17" s="24"/>
      <c r="V17" s="24"/>
      <c r="W17" s="24"/>
      <c r="X17" t="s">
        <v>541</v>
      </c>
      <c r="Y17" t="s">
        <v>543</v>
      </c>
    </row>
    <row r="18" spans="1:25" x14ac:dyDescent="0.2">
      <c r="A18" s="11"/>
      <c r="B18" s="11"/>
      <c r="C18" s="24" t="s">
        <v>303</v>
      </c>
      <c r="D18" s="24"/>
      <c r="E18" s="24"/>
      <c r="F18" s="24"/>
      <c r="G18" s="24"/>
      <c r="H18" s="24"/>
      <c r="I18" s="24"/>
      <c r="J18" s="24"/>
      <c r="K18" s="24"/>
      <c r="P18" t="s">
        <v>536</v>
      </c>
      <c r="Q18" s="26" t="s">
        <v>537</v>
      </c>
      <c r="R18" s="26"/>
      <c r="S18" s="26"/>
      <c r="T18" s="26"/>
      <c r="U18" s="26"/>
      <c r="V18" s="26"/>
      <c r="Y18" t="s">
        <v>542</v>
      </c>
    </row>
    <row r="19" spans="1:25" x14ac:dyDescent="0.2">
      <c r="A19" s="11"/>
      <c r="B19" s="24" t="s">
        <v>305</v>
      </c>
      <c r="C19" s="24"/>
      <c r="D19" s="24"/>
      <c r="E19" s="24"/>
      <c r="F19" s="11"/>
      <c r="G19" s="11"/>
      <c r="H19" s="11"/>
      <c r="I19" s="11"/>
      <c r="J19" s="11"/>
      <c r="K19" s="11"/>
      <c r="Q19" s="26"/>
      <c r="R19" s="26"/>
      <c r="S19" s="26"/>
      <c r="T19" s="26"/>
      <c r="U19" s="26"/>
      <c r="V19" s="26"/>
    </row>
    <row r="20" spans="1:25" x14ac:dyDescent="0.2">
      <c r="A20" s="24" t="s">
        <v>306</v>
      </c>
      <c r="B20" s="24"/>
      <c r="C20" s="24"/>
      <c r="D20" s="24"/>
      <c r="E20" s="24"/>
      <c r="F20" s="24"/>
      <c r="G20" s="11"/>
      <c r="H20" s="11"/>
      <c r="I20" s="11"/>
      <c r="J20" s="11"/>
      <c r="K20" s="11"/>
      <c r="P20" t="s">
        <v>572</v>
      </c>
      <c r="Q20" s="23" t="s">
        <v>539</v>
      </c>
      <c r="R20" s="23"/>
      <c r="S20" s="23" t="s">
        <v>538</v>
      </c>
      <c r="T20" s="23"/>
      <c r="U20" s="23" t="s">
        <v>540</v>
      </c>
      <c r="V20" s="23"/>
    </row>
    <row r="21" spans="1:25" x14ac:dyDescent="0.2">
      <c r="P21" t="s">
        <v>544</v>
      </c>
      <c r="Q21" s="23">
        <v>718</v>
      </c>
      <c r="R21" s="23"/>
      <c r="S21" s="23">
        <v>300</v>
      </c>
      <c r="T21" s="23"/>
      <c r="U21" s="23">
        <f>120000/(IF(Q21&lt;600,Q21,"600")/S21+12000*LN(12000/(12600-IF(Q21&lt;600,600,Q21)))/S21)</f>
        <v>50098.52722507275</v>
      </c>
      <c r="V21" s="23"/>
    </row>
    <row r="22" spans="1:25" x14ac:dyDescent="0.2">
      <c r="A22" s="24" t="s">
        <v>335</v>
      </c>
      <c r="B22" s="24"/>
      <c r="C22" s="24"/>
      <c r="D22" s="24"/>
      <c r="E22" s="24"/>
      <c r="F22" s="24"/>
      <c r="G22" s="24"/>
      <c r="H22" s="24"/>
      <c r="I22" s="24"/>
      <c r="J22" s="24"/>
      <c r="P22" t="s">
        <v>573</v>
      </c>
      <c r="Q22" s="23">
        <v>2146</v>
      </c>
      <c r="R22" s="23"/>
      <c r="S22" s="23">
        <v>300</v>
      </c>
      <c r="T22" s="23"/>
      <c r="U22" s="23">
        <f t="shared" ref="U22:U35" si="2">120000/(IF(Q22&lt;600,Q22,"600")/S22+12000*LN(12000/(12600-IF(Q22&lt;600,600,Q22)))/S22)</f>
        <v>15964.072790560967</v>
      </c>
      <c r="V22" s="23"/>
    </row>
    <row r="23" spans="1:25" x14ac:dyDescent="0.2">
      <c r="B23" s="24" t="s">
        <v>336</v>
      </c>
      <c r="C23" s="24"/>
      <c r="D23" s="24"/>
      <c r="E23" s="24"/>
      <c r="F23" s="24"/>
      <c r="Q23" s="23">
        <v>2146</v>
      </c>
      <c r="R23" s="23"/>
      <c r="S23" s="23">
        <v>300</v>
      </c>
      <c r="T23" s="23"/>
      <c r="U23" s="23">
        <f t="shared" si="2"/>
        <v>15964.072790560967</v>
      </c>
      <c r="V23" s="23"/>
    </row>
    <row r="24" spans="1:25" x14ac:dyDescent="0.2">
      <c r="C24" s="24" t="s">
        <v>339</v>
      </c>
      <c r="D24" s="24"/>
      <c r="E24" s="24"/>
      <c r="F24" s="24"/>
      <c r="G24" s="24"/>
      <c r="H24" s="24"/>
      <c r="I24" s="24"/>
      <c r="J24" s="24"/>
      <c r="Q24" s="23">
        <v>2146</v>
      </c>
      <c r="R24" s="23"/>
      <c r="S24" s="23">
        <v>300</v>
      </c>
      <c r="T24" s="23"/>
      <c r="U24" s="23">
        <f t="shared" si="2"/>
        <v>15964.072790560967</v>
      </c>
      <c r="V24" s="23"/>
    </row>
    <row r="25" spans="1:25" x14ac:dyDescent="0.2">
      <c r="D25" s="24" t="s">
        <v>337</v>
      </c>
      <c r="E25" s="24"/>
      <c r="F25" s="24"/>
      <c r="Q25" s="23">
        <v>2146</v>
      </c>
      <c r="R25" s="23"/>
      <c r="S25" s="23">
        <v>300</v>
      </c>
      <c r="T25" s="23"/>
      <c r="U25" s="23">
        <f t="shared" si="2"/>
        <v>15964.072790560967</v>
      </c>
      <c r="V25" s="23"/>
    </row>
    <row r="26" spans="1:25" x14ac:dyDescent="0.2">
      <c r="B26" s="11" t="s">
        <v>338</v>
      </c>
      <c r="C26" s="11"/>
      <c r="D26" s="11"/>
      <c r="E26" s="11"/>
      <c r="F26" s="11"/>
      <c r="G26" s="11"/>
      <c r="H26" s="11"/>
      <c r="I26" s="11"/>
      <c r="J26" s="11"/>
      <c r="K26" s="11"/>
      <c r="L26" s="11"/>
      <c r="Q26" s="23">
        <v>2146</v>
      </c>
      <c r="R26" s="23"/>
      <c r="S26" s="23">
        <v>300</v>
      </c>
      <c r="T26" s="23"/>
      <c r="U26" s="23">
        <f t="shared" si="2"/>
        <v>15964.072790560967</v>
      </c>
      <c r="V26" s="23"/>
    </row>
    <row r="27" spans="1:25" x14ac:dyDescent="0.2">
      <c r="B27" t="s">
        <v>625</v>
      </c>
      <c r="Q27" s="23">
        <v>2146</v>
      </c>
      <c r="R27" s="23"/>
      <c r="S27" s="23">
        <v>300</v>
      </c>
      <c r="T27" s="23"/>
      <c r="U27" s="23">
        <f t="shared" si="2"/>
        <v>15964.072790560967</v>
      </c>
      <c r="V27" s="23"/>
    </row>
    <row r="28" spans="1:25" x14ac:dyDescent="0.2">
      <c r="B28" s="29" t="s">
        <v>622</v>
      </c>
      <c r="C28" s="30"/>
      <c r="Q28" s="23">
        <v>2146</v>
      </c>
      <c r="R28" s="23"/>
      <c r="S28" s="23">
        <v>300</v>
      </c>
      <c r="T28" s="23"/>
      <c r="U28" s="23">
        <f t="shared" si="2"/>
        <v>15964.072790560967</v>
      </c>
      <c r="V28" s="23"/>
    </row>
    <row r="29" spans="1:25" x14ac:dyDescent="0.2">
      <c r="B29" t="s">
        <v>623</v>
      </c>
      <c r="C29" t="s">
        <v>624</v>
      </c>
      <c r="Q29" s="23">
        <v>2146</v>
      </c>
      <c r="R29" s="23"/>
      <c r="S29" s="23">
        <v>300</v>
      </c>
      <c r="T29" s="23"/>
      <c r="U29" s="23">
        <f t="shared" si="2"/>
        <v>15964.072790560967</v>
      </c>
      <c r="V29" s="23"/>
    </row>
    <row r="30" spans="1:25" x14ac:dyDescent="0.2">
      <c r="B30">
        <f>180</f>
        <v>180</v>
      </c>
      <c r="C30">
        <f>B30/180*PI()*9+0.8</f>
        <v>29.074333882308139</v>
      </c>
      <c r="Q30" s="23">
        <v>2146</v>
      </c>
      <c r="R30" s="23"/>
      <c r="S30" s="23">
        <v>300</v>
      </c>
      <c r="T30" s="23"/>
      <c r="U30" s="23">
        <f t="shared" si="2"/>
        <v>15964.072790560967</v>
      </c>
      <c r="V30" s="23"/>
    </row>
    <row r="31" spans="1:25" x14ac:dyDescent="0.2">
      <c r="Q31" s="23">
        <v>2146</v>
      </c>
      <c r="R31" s="23"/>
      <c r="S31" s="23">
        <v>300</v>
      </c>
      <c r="T31" s="23"/>
      <c r="U31" s="23">
        <f t="shared" si="2"/>
        <v>15964.072790560967</v>
      </c>
      <c r="V31" s="23"/>
    </row>
    <row r="32" spans="1:25" x14ac:dyDescent="0.2">
      <c r="Q32" s="23">
        <v>2146</v>
      </c>
      <c r="R32" s="23"/>
      <c r="S32" s="23">
        <v>300</v>
      </c>
      <c r="T32" s="23"/>
      <c r="U32" s="23">
        <f t="shared" si="2"/>
        <v>15964.072790560967</v>
      </c>
      <c r="V32" s="23"/>
    </row>
    <row r="33" spans="1:22" x14ac:dyDescent="0.2">
      <c r="Q33" s="23">
        <v>2146</v>
      </c>
      <c r="R33" s="23"/>
      <c r="S33" s="23">
        <v>300</v>
      </c>
      <c r="T33" s="23"/>
      <c r="U33" s="23">
        <f t="shared" si="2"/>
        <v>15964.072790560967</v>
      </c>
      <c r="V33" s="23"/>
    </row>
    <row r="34" spans="1:22" ht="14.25" customHeight="1" x14ac:dyDescent="0.2">
      <c r="A34" s="31" t="s">
        <v>545</v>
      </c>
      <c r="B34" s="31"/>
      <c r="C34" s="31"/>
      <c r="D34" s="31"/>
      <c r="E34" s="31"/>
      <c r="F34" s="31"/>
      <c r="G34" s="31"/>
      <c r="Q34" s="23">
        <v>2146</v>
      </c>
      <c r="R34" s="23"/>
      <c r="S34" s="23">
        <v>300</v>
      </c>
      <c r="T34" s="23"/>
      <c r="U34" s="23">
        <f t="shared" si="2"/>
        <v>15964.072790560967</v>
      </c>
      <c r="V34" s="23"/>
    </row>
    <row r="35" spans="1:22" ht="14.25" customHeight="1" x14ac:dyDescent="0.2">
      <c r="A35" s="31"/>
      <c r="B35" s="31"/>
      <c r="C35" s="31"/>
      <c r="D35" s="31"/>
      <c r="E35" s="31"/>
      <c r="F35" s="31"/>
      <c r="G35" s="31"/>
      <c r="Q35" s="23">
        <v>2146</v>
      </c>
      <c r="R35" s="23"/>
      <c r="S35" s="23">
        <v>300</v>
      </c>
      <c r="T35" s="23"/>
      <c r="U35" s="23">
        <f t="shared" si="2"/>
        <v>15964.072790560967</v>
      </c>
      <c r="V35" s="23"/>
    </row>
    <row r="36" spans="1:22" x14ac:dyDescent="0.2">
      <c r="A36" t="s">
        <v>546</v>
      </c>
      <c r="B36" t="s">
        <v>547</v>
      </c>
      <c r="C36" s="23" t="s">
        <v>538</v>
      </c>
      <c r="D36" s="23"/>
      <c r="E36" s="23" t="s">
        <v>540</v>
      </c>
      <c r="F36" s="23"/>
      <c r="G36" t="s">
        <v>621</v>
      </c>
    </row>
    <row r="37" spans="1:22" x14ac:dyDescent="0.2">
      <c r="A37">
        <v>1</v>
      </c>
      <c r="B37">
        <f>706+72*A37</f>
        <v>778</v>
      </c>
      <c r="C37" s="23">
        <v>300</v>
      </c>
      <c r="D37" s="23"/>
      <c r="E37" s="23">
        <f>120000/(IF(B37&lt;600,B37,"600")/C37+12000*LN(12000/(12600-IF(B37&lt;600,600,B37)))/C37)</f>
        <v>46193.325538326266</v>
      </c>
      <c r="F37" s="23"/>
      <c r="G37">
        <f t="shared" ref="G37:G45" si="3">E37/2000*B37/60</f>
        <v>299.48672724014864</v>
      </c>
    </row>
    <row r="38" spans="1:22" x14ac:dyDescent="0.2">
      <c r="A38">
        <v>2</v>
      </c>
      <c r="B38">
        <f t="shared" ref="B38:B101" si="4">706+72*A38</f>
        <v>850</v>
      </c>
      <c r="C38" s="23">
        <v>300</v>
      </c>
      <c r="D38" s="23"/>
      <c r="E38" s="23">
        <f t="shared" ref="E38:E101" si="5">120000/(IF(B38&lt;600,B38,"600")/C38+12000*LN(12000/(12600-IF(B38&lt;600,600,B38)))/C38)</f>
        <v>42221.760136057281</v>
      </c>
      <c r="F38" s="23"/>
      <c r="G38">
        <f t="shared" si="3"/>
        <v>299.07080096373909</v>
      </c>
    </row>
    <row r="39" spans="1:22" x14ac:dyDescent="0.2">
      <c r="A39">
        <v>3</v>
      </c>
      <c r="B39">
        <f t="shared" si="4"/>
        <v>922</v>
      </c>
      <c r="C39" s="23">
        <v>300</v>
      </c>
      <c r="D39" s="23"/>
      <c r="E39" s="23">
        <f t="shared" si="5"/>
        <v>38860.143933442108</v>
      </c>
      <c r="F39" s="23"/>
      <c r="G39">
        <f t="shared" si="3"/>
        <v>298.57543922194691</v>
      </c>
    </row>
    <row r="40" spans="1:22" x14ac:dyDescent="0.2">
      <c r="A40">
        <v>4</v>
      </c>
      <c r="B40">
        <f t="shared" si="4"/>
        <v>994</v>
      </c>
      <c r="C40" s="23">
        <v>300</v>
      </c>
      <c r="D40" s="23"/>
      <c r="E40" s="23">
        <f t="shared" si="5"/>
        <v>35977.933717413958</v>
      </c>
      <c r="F40" s="23"/>
      <c r="G40">
        <f t="shared" si="3"/>
        <v>298.01721762591228</v>
      </c>
    </row>
    <row r="41" spans="1:22" x14ac:dyDescent="0.2">
      <c r="A41">
        <v>5</v>
      </c>
      <c r="B41">
        <f t="shared" si="4"/>
        <v>1066</v>
      </c>
      <c r="C41" s="23">
        <v>300</v>
      </c>
      <c r="D41" s="23"/>
      <c r="E41" s="23">
        <f t="shared" si="5"/>
        <v>33479.357421394525</v>
      </c>
      <c r="F41" s="23"/>
      <c r="G41">
        <f t="shared" si="3"/>
        <v>297.40829176005468</v>
      </c>
    </row>
    <row r="42" spans="1:22" x14ac:dyDescent="0.2">
      <c r="A42">
        <v>6</v>
      </c>
      <c r="B42">
        <f t="shared" si="4"/>
        <v>1138</v>
      </c>
      <c r="C42" s="23">
        <v>300</v>
      </c>
      <c r="D42" s="23"/>
      <c r="E42" s="23">
        <f t="shared" si="5"/>
        <v>31292.559948646718</v>
      </c>
      <c r="F42" s="23"/>
      <c r="G42">
        <f t="shared" si="3"/>
        <v>296.75777684633306</v>
      </c>
    </row>
    <row r="43" spans="1:22" x14ac:dyDescent="0.2">
      <c r="A43">
        <v>7</v>
      </c>
      <c r="B43">
        <f t="shared" si="4"/>
        <v>1210</v>
      </c>
      <c r="C43" s="23">
        <v>300</v>
      </c>
      <c r="D43" s="23"/>
      <c r="E43" s="23">
        <f t="shared" si="5"/>
        <v>29362.575963356467</v>
      </c>
      <c r="F43" s="23"/>
      <c r="G43">
        <f t="shared" si="3"/>
        <v>296.07264096384438</v>
      </c>
    </row>
    <row r="44" spans="1:22" x14ac:dyDescent="0.2">
      <c r="A44">
        <v>8</v>
      </c>
      <c r="B44">
        <f t="shared" si="4"/>
        <v>1282</v>
      </c>
      <c r="C44" s="23">
        <v>300</v>
      </c>
      <c r="D44" s="23"/>
      <c r="E44" s="23">
        <f t="shared" si="5"/>
        <v>27646.642821890655</v>
      </c>
      <c r="F44" s="23"/>
      <c r="G44">
        <f t="shared" si="3"/>
        <v>295.35830081386513</v>
      </c>
    </row>
    <row r="45" spans="1:22" x14ac:dyDescent="0.2">
      <c r="A45">
        <v>9</v>
      </c>
      <c r="B45">
        <f t="shared" si="4"/>
        <v>1354</v>
      </c>
      <c r="C45" s="23">
        <v>300</v>
      </c>
      <c r="D45" s="23"/>
      <c r="E45" s="23">
        <f t="shared" si="5"/>
        <v>26110.992276380268</v>
      </c>
      <c r="F45" s="23"/>
      <c r="G45">
        <f t="shared" si="3"/>
        <v>294.61902951849072</v>
      </c>
    </row>
    <row r="46" spans="1:22" x14ac:dyDescent="0.2">
      <c r="A46">
        <v>10</v>
      </c>
      <c r="B46">
        <f t="shared" si="4"/>
        <v>1426</v>
      </c>
      <c r="C46" s="23">
        <v>300</v>
      </c>
      <c r="D46" s="23"/>
      <c r="E46" s="23">
        <f t="shared" si="5"/>
        <v>24728.603830336691</v>
      </c>
      <c r="F46" s="23"/>
      <c r="G46">
        <f>E46/2000*B46/60</f>
        <v>293.85824218383436</v>
      </c>
      <c r="M46" s="24" t="s">
        <v>718</v>
      </c>
      <c r="N46" s="24"/>
      <c r="O46" t="s">
        <v>717</v>
      </c>
      <c r="P46" t="s">
        <v>720</v>
      </c>
    </row>
    <row r="47" spans="1:22" x14ac:dyDescent="0.2">
      <c r="A47">
        <v>11</v>
      </c>
      <c r="B47">
        <f t="shared" si="4"/>
        <v>1498</v>
      </c>
      <c r="C47" s="23">
        <v>300</v>
      </c>
      <c r="D47" s="23"/>
      <c r="E47" s="23">
        <f t="shared" si="5"/>
        <v>23477.5994610774</v>
      </c>
      <c r="F47" s="23"/>
      <c r="G47">
        <f t="shared" ref="G47:G110" si="6">E47/2000*B47/60</f>
        <v>293.07869993911623</v>
      </c>
      <c r="M47" t="s">
        <v>697</v>
      </c>
      <c r="N47">
        <v>167731.20000000001</v>
      </c>
      <c r="O47">
        <v>10</v>
      </c>
      <c r="P47">
        <f>N47*(706+72*O47)/120000000</f>
        <v>1.9932057600000002</v>
      </c>
    </row>
    <row r="48" spans="1:22" x14ac:dyDescent="0.2">
      <c r="A48">
        <v>12</v>
      </c>
      <c r="B48">
        <f t="shared" si="4"/>
        <v>1570</v>
      </c>
      <c r="C48" s="23">
        <v>300</v>
      </c>
      <c r="D48" s="23"/>
      <c r="E48" s="23">
        <f t="shared" si="5"/>
        <v>22340.075799023467</v>
      </c>
      <c r="F48" s="23"/>
      <c r="G48">
        <f t="shared" si="6"/>
        <v>292.28265837055704</v>
      </c>
      <c r="M48" s="11" t="s">
        <v>698</v>
      </c>
      <c r="N48">
        <v>214732.79999999999</v>
      </c>
      <c r="O48">
        <v>10</v>
      </c>
      <c r="P48">
        <f t="shared" ref="P48:P66" si="7">N48*(706+72*O48)/120000000</f>
        <v>2.5517414400000002</v>
      </c>
    </row>
    <row r="49" spans="1:16" x14ac:dyDescent="0.2">
      <c r="A49">
        <v>13</v>
      </c>
      <c r="B49">
        <f t="shared" si="4"/>
        <v>1642</v>
      </c>
      <c r="C49" s="23">
        <v>300</v>
      </c>
      <c r="D49" s="23"/>
      <c r="E49" s="23">
        <f t="shared" si="5"/>
        <v>21301.240725495354</v>
      </c>
      <c r="F49" s="23"/>
      <c r="G49">
        <f t="shared" si="6"/>
        <v>291.47197726052815</v>
      </c>
      <c r="M49" t="s">
        <v>699</v>
      </c>
      <c r="N49">
        <v>412876.79999999999</v>
      </c>
      <c r="O49">
        <v>10</v>
      </c>
      <c r="P49">
        <f t="shared" si="7"/>
        <v>4.9063526399999997</v>
      </c>
    </row>
    <row r="50" spans="1:16" x14ac:dyDescent="0.2">
      <c r="A50">
        <v>14</v>
      </c>
      <c r="B50">
        <f t="shared" si="4"/>
        <v>1714</v>
      </c>
      <c r="C50" s="23">
        <v>300</v>
      </c>
      <c r="D50" s="23"/>
      <c r="E50" s="23">
        <f t="shared" si="5"/>
        <v>20348.765664620769</v>
      </c>
      <c r="F50" s="23"/>
      <c r="G50">
        <f t="shared" si="6"/>
        <v>290.64820290966662</v>
      </c>
      <c r="M50" t="s">
        <v>700</v>
      </c>
      <c r="N50">
        <v>211968</v>
      </c>
      <c r="O50">
        <v>10</v>
      </c>
      <c r="P50">
        <f t="shared" si="7"/>
        <v>2.5188864</v>
      </c>
    </row>
    <row r="51" spans="1:16" x14ac:dyDescent="0.2">
      <c r="A51">
        <v>15</v>
      </c>
      <c r="B51">
        <f t="shared" si="4"/>
        <v>1786</v>
      </c>
      <c r="C51" s="23">
        <v>300</v>
      </c>
      <c r="D51" s="23"/>
      <c r="E51" s="23">
        <f t="shared" si="5"/>
        <v>19472.293217020662</v>
      </c>
      <c r="F51" s="23"/>
      <c r="G51">
        <f t="shared" si="6"/>
        <v>289.81263071332421</v>
      </c>
      <c r="M51" t="s">
        <v>701</v>
      </c>
      <c r="N51">
        <v>152064</v>
      </c>
      <c r="O51">
        <v>10</v>
      </c>
      <c r="P51">
        <f t="shared" si="7"/>
        <v>1.8070272000000001</v>
      </c>
    </row>
    <row r="52" spans="1:16" x14ac:dyDescent="0.2">
      <c r="A52">
        <v>16</v>
      </c>
      <c r="B52">
        <f t="shared" si="4"/>
        <v>1858</v>
      </c>
      <c r="C52" s="23">
        <v>300</v>
      </c>
      <c r="D52" s="23"/>
      <c r="E52" s="23">
        <f t="shared" si="5"/>
        <v>18663.058340463896</v>
      </c>
      <c r="F52" s="23"/>
      <c r="G52">
        <f t="shared" si="6"/>
        <v>288.96635330484935</v>
      </c>
      <c r="M52" t="s">
        <v>702</v>
      </c>
      <c r="N52">
        <v>36864</v>
      </c>
      <c r="O52">
        <v>10</v>
      </c>
      <c r="P52">
        <f t="shared" si="7"/>
        <v>0.43806719999999999</v>
      </c>
    </row>
    <row r="53" spans="1:16" x14ac:dyDescent="0.2">
      <c r="A53">
        <v>17</v>
      </c>
      <c r="B53">
        <f t="shared" si="4"/>
        <v>1930</v>
      </c>
      <c r="C53" s="23">
        <v>300</v>
      </c>
      <c r="D53" s="23"/>
      <c r="E53" s="23">
        <f t="shared" si="5"/>
        <v>17913.593658351932</v>
      </c>
      <c r="F53" s="23"/>
      <c r="G53">
        <f t="shared" si="6"/>
        <v>288.11029800516025</v>
      </c>
      <c r="M53" t="s">
        <v>703</v>
      </c>
      <c r="N53">
        <v>36864</v>
      </c>
      <c r="O53">
        <v>10</v>
      </c>
      <c r="P53">
        <f t="shared" si="7"/>
        <v>0.43806719999999999</v>
      </c>
    </row>
    <row r="54" spans="1:16" x14ac:dyDescent="0.2">
      <c r="A54">
        <v>18</v>
      </c>
      <c r="B54">
        <f t="shared" si="4"/>
        <v>2002</v>
      </c>
      <c r="C54" s="23">
        <v>300</v>
      </c>
      <c r="D54" s="23"/>
      <c r="E54" s="23">
        <f t="shared" si="5"/>
        <v>17217.497877140762</v>
      </c>
      <c r="F54" s="23"/>
      <c r="G54">
        <f t="shared" si="6"/>
        <v>287.24525625029838</v>
      </c>
      <c r="M54" t="s">
        <v>704</v>
      </c>
      <c r="N54">
        <v>28800</v>
      </c>
      <c r="O54">
        <v>10</v>
      </c>
      <c r="P54">
        <f t="shared" si="7"/>
        <v>0.34223999999999999</v>
      </c>
    </row>
    <row r="55" spans="1:16" x14ac:dyDescent="0.2">
      <c r="A55">
        <v>19</v>
      </c>
      <c r="B55">
        <f t="shared" si="4"/>
        <v>2074</v>
      </c>
      <c r="C55" s="23">
        <v>300</v>
      </c>
      <c r="D55" s="23"/>
      <c r="E55" s="23">
        <f t="shared" si="5"/>
        <v>16569.252088644687</v>
      </c>
      <c r="F55" s="23"/>
      <c r="G55">
        <f t="shared" si="6"/>
        <v>286.37190693207572</v>
      </c>
      <c r="M55" t="s">
        <v>705</v>
      </c>
      <c r="N55">
        <v>147456</v>
      </c>
      <c r="O55">
        <v>10</v>
      </c>
      <c r="P55">
        <f t="shared" si="7"/>
        <v>1.7522688</v>
      </c>
    </row>
    <row r="56" spans="1:16" x14ac:dyDescent="0.2">
      <c r="A56">
        <v>20</v>
      </c>
      <c r="B56">
        <f t="shared" si="4"/>
        <v>2146</v>
      </c>
      <c r="C56" s="23">
        <v>300</v>
      </c>
      <c r="D56" s="23"/>
      <c r="E56" s="23">
        <f t="shared" si="5"/>
        <v>15964.072790560967</v>
      </c>
      <c r="F56" s="23"/>
      <c r="G56">
        <f t="shared" si="6"/>
        <v>285.4908350711986</v>
      </c>
      <c r="M56" t="s">
        <v>706</v>
      </c>
      <c r="N56">
        <v>184320</v>
      </c>
      <c r="O56">
        <v>10</v>
      </c>
      <c r="P56">
        <f t="shared" si="7"/>
        <v>2.1903359999999998</v>
      </c>
    </row>
    <row r="57" spans="1:16" x14ac:dyDescent="0.2">
      <c r="A57">
        <v>21</v>
      </c>
      <c r="B57">
        <f t="shared" si="4"/>
        <v>2218</v>
      </c>
      <c r="C57" s="23">
        <v>300</v>
      </c>
      <c r="D57" s="23"/>
      <c r="E57" s="23">
        <f t="shared" si="5"/>
        <v>15397.793338655973</v>
      </c>
      <c r="F57" s="23"/>
      <c r="G57">
        <f t="shared" si="6"/>
        <v>284.60254687615793</v>
      </c>
      <c r="M57" t="s">
        <v>707</v>
      </c>
      <c r="N57">
        <v>213120</v>
      </c>
      <c r="O57">
        <v>10</v>
      </c>
      <c r="P57">
        <f t="shared" si="7"/>
        <v>2.5325760000000002</v>
      </c>
    </row>
    <row r="58" spans="1:16" x14ac:dyDescent="0.2">
      <c r="A58">
        <v>22</v>
      </c>
      <c r="B58">
        <f t="shared" si="4"/>
        <v>2290</v>
      </c>
      <c r="C58" s="23">
        <v>300</v>
      </c>
      <c r="D58" s="23"/>
      <c r="E58" s="23">
        <f t="shared" si="5"/>
        <v>14866.767614567138</v>
      </c>
      <c r="F58" s="23"/>
      <c r="G58">
        <f t="shared" si="6"/>
        <v>283.70748197798952</v>
      </c>
      <c r="M58" t="s">
        <v>708</v>
      </c>
      <c r="N58">
        <v>92160</v>
      </c>
      <c r="O58">
        <v>10</v>
      </c>
      <c r="P58">
        <f t="shared" si="7"/>
        <v>1.0951679999999999</v>
      </c>
    </row>
    <row r="59" spans="1:16" x14ac:dyDescent="0.2">
      <c r="A59">
        <v>23</v>
      </c>
      <c r="B59">
        <f t="shared" si="4"/>
        <v>2362</v>
      </c>
      <c r="C59" s="23">
        <v>300</v>
      </c>
      <c r="D59" s="23"/>
      <c r="E59" s="23">
        <f t="shared" si="5"/>
        <v>14367.791199301013</v>
      </c>
      <c r="F59" s="23"/>
      <c r="G59">
        <f t="shared" si="6"/>
        <v>282.80602343957497</v>
      </c>
      <c r="M59" t="s">
        <v>709</v>
      </c>
      <c r="N59">
        <v>29952</v>
      </c>
      <c r="O59">
        <v>10</v>
      </c>
      <c r="P59">
        <f t="shared" si="7"/>
        <v>0.35592960000000001</v>
      </c>
    </row>
    <row r="60" spans="1:16" x14ac:dyDescent="0.2">
      <c r="A60">
        <v>24</v>
      </c>
      <c r="B60">
        <f t="shared" si="4"/>
        <v>2434</v>
      </c>
      <c r="C60" s="23">
        <v>300</v>
      </c>
      <c r="D60" s="23"/>
      <c r="E60" s="23">
        <f t="shared" si="5"/>
        <v>13898.036450156917</v>
      </c>
      <c r="F60" s="23"/>
      <c r="G60">
        <f t="shared" si="6"/>
        <v>281.89850599734945</v>
      </c>
      <c r="M60" t="s">
        <v>710</v>
      </c>
      <c r="N60">
        <v>23040</v>
      </c>
      <c r="O60">
        <v>10</v>
      </c>
      <c r="P60">
        <f t="shared" si="7"/>
        <v>0.27379199999999998</v>
      </c>
    </row>
    <row r="61" spans="1:16" x14ac:dyDescent="0.2">
      <c r="A61">
        <v>25</v>
      </c>
      <c r="B61">
        <f t="shared" si="4"/>
        <v>2506</v>
      </c>
      <c r="C61" s="23">
        <v>300</v>
      </c>
      <c r="D61" s="23"/>
      <c r="E61" s="23">
        <f t="shared" si="5"/>
        <v>13454.998701772458</v>
      </c>
      <c r="F61" s="23"/>
      <c r="G61">
        <f t="shared" si="6"/>
        <v>280.98522288868151</v>
      </c>
      <c r="M61" t="s">
        <v>711</v>
      </c>
      <c r="N61">
        <v>110592</v>
      </c>
      <c r="O61">
        <v>10</v>
      </c>
      <c r="P61">
        <f t="shared" si="7"/>
        <v>1.3142016000000001</v>
      </c>
    </row>
    <row r="62" spans="1:16" x14ac:dyDescent="0.2">
      <c r="A62">
        <v>26</v>
      </c>
      <c r="B62">
        <f t="shared" si="4"/>
        <v>2578</v>
      </c>
      <c r="C62" s="23">
        <v>300</v>
      </c>
      <c r="D62" s="23"/>
      <c r="E62" s="23">
        <f t="shared" si="5"/>
        <v>13036.451429311945</v>
      </c>
      <c r="F62" s="23"/>
      <c r="G62">
        <f t="shared" si="6"/>
        <v>280.06643153971822</v>
      </c>
      <c r="M62" t="s">
        <v>712</v>
      </c>
      <c r="N62">
        <v>18432</v>
      </c>
      <c r="O62">
        <v>10</v>
      </c>
      <c r="P62">
        <f t="shared" si="7"/>
        <v>0.21903359999999999</v>
      </c>
    </row>
    <row r="63" spans="1:16" x14ac:dyDescent="0.2">
      <c r="A63">
        <v>27</v>
      </c>
      <c r="B63">
        <f t="shared" si="4"/>
        <v>2650</v>
      </c>
      <c r="C63" s="23">
        <v>300</v>
      </c>
      <c r="D63" s="23"/>
      <c r="E63" s="23">
        <f t="shared" si="5"/>
        <v>12640.40867905362</v>
      </c>
      <c r="F63" s="23"/>
      <c r="G63">
        <f t="shared" si="6"/>
        <v>279.14235832910077</v>
      </c>
      <c r="M63" t="s">
        <v>713</v>
      </c>
      <c r="N63">
        <v>73728</v>
      </c>
      <c r="O63">
        <v>10</v>
      </c>
      <c r="P63">
        <f t="shared" si="7"/>
        <v>0.87613439999999998</v>
      </c>
    </row>
    <row r="64" spans="1:16" x14ac:dyDescent="0.2">
      <c r="A64">
        <v>28</v>
      </c>
      <c r="B64">
        <f t="shared" si="4"/>
        <v>2722</v>
      </c>
      <c r="C64" s="23">
        <v>300</v>
      </c>
      <c r="D64" s="23"/>
      <c r="E64" s="23">
        <f t="shared" si="5"/>
        <v>12265.093428256609</v>
      </c>
      <c r="F64" s="23"/>
      <c r="G64">
        <f t="shared" si="6"/>
        <v>278.21320259762075</v>
      </c>
      <c r="M64" t="s">
        <v>714</v>
      </c>
      <c r="N64">
        <v>36864</v>
      </c>
      <c r="O64">
        <v>10</v>
      </c>
      <c r="P64">
        <f t="shared" si="7"/>
        <v>0.43806719999999999</v>
      </c>
    </row>
    <row r="65" spans="1:16" x14ac:dyDescent="0.2">
      <c r="A65">
        <v>29</v>
      </c>
      <c r="B65">
        <f t="shared" si="4"/>
        <v>2794</v>
      </c>
      <c r="C65" s="23">
        <v>300</v>
      </c>
      <c r="D65" s="23"/>
      <c r="E65" s="23">
        <f t="shared" si="5"/>
        <v>11908.910810552026</v>
      </c>
      <c r="F65" s="23"/>
      <c r="G65">
        <f t="shared" si="6"/>
        <v>277.27914003901969</v>
      </c>
      <c r="M65" t="s">
        <v>715</v>
      </c>
      <c r="N65">
        <v>53393.65</v>
      </c>
      <c r="O65">
        <v>10</v>
      </c>
      <c r="P65">
        <f t="shared" si="7"/>
        <v>0.63449454083333334</v>
      </c>
    </row>
    <row r="66" spans="1:16" x14ac:dyDescent="0.2">
      <c r="A66">
        <v>30</v>
      </c>
      <c r="B66">
        <f t="shared" si="4"/>
        <v>2866</v>
      </c>
      <c r="C66" s="23">
        <v>300</v>
      </c>
      <c r="D66" s="23"/>
      <c r="E66" s="23">
        <f t="shared" si="5"/>
        <v>11570.42535576101</v>
      </c>
      <c r="F66" s="23"/>
      <c r="G66">
        <f t="shared" si="6"/>
        <v>276.34032558009216</v>
      </c>
      <c r="M66" t="s">
        <v>719</v>
      </c>
      <c r="N66">
        <v>3300</v>
      </c>
      <c r="O66">
        <v>10</v>
      </c>
      <c r="P66">
        <f t="shared" si="7"/>
        <v>3.9215E-2</v>
      </c>
    </row>
    <row r="67" spans="1:16" x14ac:dyDescent="0.2">
      <c r="A67">
        <v>31</v>
      </c>
      <c r="B67">
        <f t="shared" si="4"/>
        <v>2938</v>
      </c>
      <c r="C67" s="23">
        <v>300</v>
      </c>
      <c r="D67" s="23"/>
      <c r="E67" s="23">
        <f t="shared" si="5"/>
        <v>11248.341559039951</v>
      </c>
      <c r="F67" s="23"/>
      <c r="G67">
        <f t="shared" si="6"/>
        <v>275.39689583716148</v>
      </c>
      <c r="M67" t="s">
        <v>716</v>
      </c>
      <c r="N67">
        <f>SUM(N47:N66)</f>
        <v>2248258.4499999997</v>
      </c>
      <c r="P67">
        <f t="shared" ref="P67" si="8">SUM(P47:P66)</f>
        <v>26.716804580833333</v>
      </c>
    </row>
    <row r="68" spans="1:16" x14ac:dyDescent="0.2">
      <c r="A68">
        <v>32</v>
      </c>
      <c r="B68">
        <f t="shared" si="4"/>
        <v>3010</v>
      </c>
      <c r="C68" s="23">
        <v>300</v>
      </c>
      <c r="D68" s="23"/>
      <c r="E68" s="23">
        <f t="shared" si="5"/>
        <v>10941.487224694103</v>
      </c>
      <c r="F68" s="23"/>
      <c r="G68">
        <f t="shared" si="6"/>
        <v>274.44897121941045</v>
      </c>
    </row>
    <row r="69" spans="1:16" x14ac:dyDescent="0.2">
      <c r="A69">
        <v>33</v>
      </c>
      <c r="B69">
        <f t="shared" si="4"/>
        <v>3082</v>
      </c>
      <c r="C69" s="23">
        <v>300</v>
      </c>
      <c r="D69" s="23"/>
      <c r="E69" s="23">
        <f t="shared" si="5"/>
        <v>10648.799133151502</v>
      </c>
      <c r="F69" s="23"/>
      <c r="G69">
        <f t="shared" si="6"/>
        <v>273.49665773644108</v>
      </c>
    </row>
    <row r="70" spans="1:16" x14ac:dyDescent="0.2">
      <c r="A70">
        <v>34</v>
      </c>
      <c r="B70">
        <f t="shared" si="4"/>
        <v>3154</v>
      </c>
      <c r="C70" s="23">
        <v>300</v>
      </c>
      <c r="D70" s="23"/>
      <c r="E70" s="23">
        <f t="shared" si="5"/>
        <v>10369.310661648704</v>
      </c>
      <c r="F70" s="23"/>
      <c r="G70">
        <f t="shared" si="6"/>
        <v>272.54004855700009</v>
      </c>
    </row>
    <row r="71" spans="1:16" x14ac:dyDescent="0.2">
      <c r="A71">
        <v>35</v>
      </c>
      <c r="B71">
        <f t="shared" si="4"/>
        <v>3226</v>
      </c>
      <c r="C71" s="23">
        <v>300</v>
      </c>
      <c r="D71" s="23"/>
      <c r="E71" s="23">
        <f t="shared" si="5"/>
        <v>10102.14105483451</v>
      </c>
      <c r="F71" s="23"/>
      <c r="G71">
        <f t="shared" si="6"/>
        <v>271.57922535746775</v>
      </c>
    </row>
    <row r="72" spans="1:16" x14ac:dyDescent="0.2">
      <c r="A72">
        <v>36</v>
      </c>
      <c r="B72">
        <f t="shared" si="4"/>
        <v>3298</v>
      </c>
      <c r="C72" s="23">
        <v>300</v>
      </c>
      <c r="D72" s="23"/>
      <c r="E72" s="23">
        <f t="shared" si="5"/>
        <v>9846.4860943112235</v>
      </c>
      <c r="F72" s="23"/>
      <c r="G72">
        <f t="shared" si="6"/>
        <v>270.61425949198679</v>
      </c>
    </row>
    <row r="73" spans="1:16" x14ac:dyDescent="0.2">
      <c r="A73">
        <v>37</v>
      </c>
      <c r="B73">
        <f t="shared" si="4"/>
        <v>3370</v>
      </c>
      <c r="C73" s="23">
        <v>300</v>
      </c>
      <c r="D73" s="23"/>
      <c r="E73" s="23">
        <f t="shared" si="5"/>
        <v>9601.6099588374182</v>
      </c>
      <c r="F73" s="23"/>
      <c r="G73">
        <f t="shared" si="6"/>
        <v>269.64521301068419</v>
      </c>
    </row>
    <row r="74" spans="1:16" x14ac:dyDescent="0.2">
      <c r="A74">
        <v>38</v>
      </c>
      <c r="B74">
        <f t="shared" si="4"/>
        <v>3442</v>
      </c>
      <c r="C74" s="23">
        <v>300</v>
      </c>
      <c r="D74" s="23"/>
      <c r="E74" s="23">
        <f t="shared" si="5"/>
        <v>9366.8381016161547</v>
      </c>
      <c r="F74" s="23"/>
      <c r="G74">
        <f t="shared" si="6"/>
        <v>268.67213954802338</v>
      </c>
    </row>
    <row r="75" spans="1:16" x14ac:dyDescent="0.2">
      <c r="A75">
        <v>39</v>
      </c>
      <c r="B75">
        <f t="shared" si="4"/>
        <v>3514</v>
      </c>
      <c r="C75" s="23">
        <v>300</v>
      </c>
      <c r="D75" s="23"/>
      <c r="E75" s="23">
        <f t="shared" si="5"/>
        <v>9141.5509994213699</v>
      </c>
      <c r="F75" s="23"/>
      <c r="G75">
        <f t="shared" si="6"/>
        <v>267.69508509972246</v>
      </c>
    </row>
    <row r="76" spans="1:16" x14ac:dyDescent="0.2">
      <c r="A76">
        <v>40</v>
      </c>
      <c r="B76">
        <f t="shared" si="4"/>
        <v>3586</v>
      </c>
      <c r="C76" s="23">
        <v>300</v>
      </c>
      <c r="D76" s="23"/>
      <c r="E76" s="23">
        <f t="shared" si="5"/>
        <v>8925.1786515467538</v>
      </c>
      <c r="F76" s="23"/>
      <c r="G76">
        <f t="shared" si="6"/>
        <v>266.71408870372215</v>
      </c>
    </row>
    <row r="77" spans="1:16" x14ac:dyDescent="0.2">
      <c r="A77">
        <v>41</v>
      </c>
      <c r="B77">
        <f t="shared" si="4"/>
        <v>3658</v>
      </c>
      <c r="C77" s="23">
        <v>300</v>
      </c>
      <c r="D77" s="23"/>
      <c r="E77" s="23">
        <f t="shared" si="5"/>
        <v>8717.1957256944243</v>
      </c>
      <c r="F77" s="23"/>
      <c r="G77">
        <f t="shared" si="6"/>
        <v>265.72918303825168</v>
      </c>
    </row>
    <row r="78" spans="1:16" x14ac:dyDescent="0.2">
      <c r="A78">
        <v>42</v>
      </c>
      <c r="B78">
        <f t="shared" si="4"/>
        <v>3730</v>
      </c>
      <c r="C78" s="23">
        <v>300</v>
      </c>
      <c r="D78" s="23"/>
      <c r="E78" s="23">
        <f t="shared" si="5"/>
        <v>8517.1172637434956</v>
      </c>
      <c r="F78" s="23"/>
      <c r="G78">
        <f t="shared" si="6"/>
        <v>264.74039494802696</v>
      </c>
    </row>
    <row r="79" spans="1:16" x14ac:dyDescent="0.2">
      <c r="A79">
        <v>43</v>
      </c>
      <c r="B79">
        <f t="shared" si="4"/>
        <v>3802</v>
      </c>
      <c r="C79" s="23">
        <v>300</v>
      </c>
      <c r="D79" s="23"/>
      <c r="E79" s="23">
        <f t="shared" si="5"/>
        <v>8324.4948734754707</v>
      </c>
      <c r="F79" s="23"/>
      <c r="G79">
        <f t="shared" si="6"/>
        <v>263.74774590794783</v>
      </c>
    </row>
    <row r="80" spans="1:16" x14ac:dyDescent="0.2">
      <c r="A80">
        <v>44</v>
      </c>
      <c r="B80">
        <f t="shared" si="4"/>
        <v>3874</v>
      </c>
      <c r="C80" s="23">
        <v>300</v>
      </c>
      <c r="D80" s="23"/>
      <c r="E80" s="23">
        <f t="shared" si="5"/>
        <v>8138.9133432812914</v>
      </c>
      <c r="F80" s="23"/>
      <c r="G80">
        <f t="shared" si="6"/>
        <v>262.75125243226438</v>
      </c>
    </row>
    <row r="81" spans="1:7" x14ac:dyDescent="0.2">
      <c r="A81">
        <v>45</v>
      </c>
      <c r="B81">
        <f t="shared" si="4"/>
        <v>3946</v>
      </c>
      <c r="C81" s="23">
        <v>300</v>
      </c>
      <c r="D81" s="23"/>
      <c r="E81" s="23">
        <f t="shared" si="5"/>
        <v>7959.9876260319561</v>
      </c>
      <c r="F81" s="23"/>
      <c r="G81">
        <f t="shared" si="6"/>
        <v>261.75092643601749</v>
      </c>
    </row>
    <row r="82" spans="1:7" x14ac:dyDescent="0.2">
      <c r="A82">
        <v>46</v>
      </c>
      <c r="B82">
        <f t="shared" si="4"/>
        <v>4018</v>
      </c>
      <c r="C82" s="23">
        <v>300</v>
      </c>
      <c r="D82" s="23"/>
      <c r="E82" s="23">
        <f t="shared" si="5"/>
        <v>7787.3601459804995</v>
      </c>
      <c r="F82" s="23"/>
      <c r="G82">
        <f t="shared" si="6"/>
        <v>260.74677555458038</v>
      </c>
    </row>
    <row r="83" spans="1:7" x14ac:dyDescent="0.2">
      <c r="A83">
        <v>47</v>
      </c>
      <c r="B83">
        <f t="shared" si="4"/>
        <v>4090</v>
      </c>
      <c r="C83" s="23">
        <v>300</v>
      </c>
      <c r="D83" s="23"/>
      <c r="E83" s="23">
        <f t="shared" si="5"/>
        <v>7620.6983890358024</v>
      </c>
      <c r="F83" s="23"/>
      <c r="G83">
        <f t="shared" si="6"/>
        <v>259.7388034263036</v>
      </c>
    </row>
    <row r="84" spans="1:7" x14ac:dyDescent="0.2">
      <c r="A84">
        <v>48</v>
      </c>
      <c r="B84">
        <f t="shared" si="4"/>
        <v>4162</v>
      </c>
      <c r="C84" s="23">
        <v>300</v>
      </c>
      <c r="D84" s="23"/>
      <c r="E84" s="23">
        <f t="shared" si="5"/>
        <v>7459.6927422171675</v>
      </c>
      <c r="F84" s="23"/>
      <c r="G84">
        <f t="shared" si="6"/>
        <v>258.72700994256542</v>
      </c>
    </row>
    <row r="85" spans="1:7" x14ac:dyDescent="0.2">
      <c r="A85">
        <v>49</v>
      </c>
      <c r="B85">
        <f t="shared" si="4"/>
        <v>4234</v>
      </c>
      <c r="C85" s="23">
        <v>300</v>
      </c>
      <c r="D85" s="23"/>
      <c r="E85" s="23">
        <f t="shared" si="5"/>
        <v>7304.0545527334252</v>
      </c>
      <c r="F85" s="23"/>
      <c r="G85">
        <f t="shared" si="6"/>
        <v>257.71139146894433</v>
      </c>
    </row>
    <row r="86" spans="1:7" x14ac:dyDescent="0.2">
      <c r="A86">
        <v>50</v>
      </c>
      <c r="B86">
        <f t="shared" si="4"/>
        <v>4306</v>
      </c>
      <c r="C86" s="23">
        <v>300</v>
      </c>
      <c r="D86" s="23"/>
      <c r="E86" s="23">
        <f t="shared" si="5"/>
        <v>7153.5143810697318</v>
      </c>
      <c r="F86" s="23"/>
      <c r="G86">
        <f t="shared" si="6"/>
        <v>256.69194104071886</v>
      </c>
    </row>
    <row r="87" spans="1:7" x14ac:dyDescent="0.2">
      <c r="A87">
        <v>51</v>
      </c>
      <c r="B87">
        <f t="shared" si="4"/>
        <v>4378</v>
      </c>
      <c r="C87" s="23">
        <v>300</v>
      </c>
      <c r="D87" s="23"/>
      <c r="E87" s="23">
        <f t="shared" si="5"/>
        <v>7007.8204258240003</v>
      </c>
      <c r="F87" s="23"/>
      <c r="G87">
        <f t="shared" si="6"/>
        <v>255.66864853547895</v>
      </c>
    </row>
    <row r="88" spans="1:7" x14ac:dyDescent="0.2">
      <c r="A88">
        <v>52</v>
      </c>
      <c r="B88">
        <f t="shared" si="4"/>
        <v>4450</v>
      </c>
      <c r="C88" s="23">
        <v>300</v>
      </c>
      <c r="D88" s="23"/>
      <c r="E88" s="23">
        <f t="shared" si="5"/>
        <v>6866.7371009058088</v>
      </c>
      <c r="F88" s="23"/>
      <c r="G88">
        <f t="shared" si="6"/>
        <v>254.64150082525708</v>
      </c>
    </row>
    <row r="89" spans="1:7" x14ac:dyDescent="0.2">
      <c r="A89">
        <v>53</v>
      </c>
      <c r="B89">
        <f t="shared" si="4"/>
        <v>4522</v>
      </c>
      <c r="C89" s="23">
        <v>300</v>
      </c>
      <c r="D89" s="23"/>
      <c r="E89" s="23">
        <f t="shared" si="5"/>
        <v>6730.0437481719464</v>
      </c>
      <c r="F89" s="23"/>
      <c r="G89">
        <f t="shared" si="6"/>
        <v>253.61048191027947</v>
      </c>
    </row>
    <row r="90" spans="1:7" x14ac:dyDescent="0.2">
      <c r="A90">
        <v>54</v>
      </c>
      <c r="B90">
        <f t="shared" si="4"/>
        <v>4594</v>
      </c>
      <c r="C90" s="23">
        <v>300</v>
      </c>
      <c r="D90" s="23"/>
      <c r="E90" s="23">
        <f t="shared" si="5"/>
        <v>6597.533470687652</v>
      </c>
      <c r="F90" s="23"/>
      <c r="G90">
        <f t="shared" si="6"/>
        <v>252.57557303615894</v>
      </c>
    </row>
    <row r="91" spans="1:7" x14ac:dyDescent="0.2">
      <c r="A91">
        <v>55</v>
      </c>
      <c r="B91">
        <f t="shared" si="4"/>
        <v>4666</v>
      </c>
      <c r="C91" s="23">
        <v>300</v>
      </c>
      <c r="D91" s="23"/>
      <c r="E91" s="23">
        <f t="shared" si="5"/>
        <v>6469.0120736249846</v>
      </c>
      <c r="F91" s="23"/>
      <c r="G91">
        <f t="shared" si="6"/>
        <v>251.53675279611815</v>
      </c>
    </row>
    <row r="92" spans="1:7" x14ac:dyDescent="0.2">
      <c r="A92">
        <v>56</v>
      </c>
      <c r="B92">
        <f t="shared" si="4"/>
        <v>4738</v>
      </c>
      <c r="C92" s="23">
        <v>300</v>
      </c>
      <c r="D92" s="23"/>
      <c r="E92" s="23">
        <f t="shared" si="5"/>
        <v>6344.2971013836777</v>
      </c>
      <c r="F92" s="23"/>
      <c r="G92">
        <f t="shared" si="6"/>
        <v>250.49399721963221</v>
      </c>
    </row>
    <row r="93" spans="1:7" x14ac:dyDescent="0.2">
      <c r="A93">
        <v>57</v>
      </c>
      <c r="B93">
        <f t="shared" si="4"/>
        <v>4810</v>
      </c>
      <c r="C93" s="23">
        <v>300</v>
      </c>
      <c r="D93" s="23"/>
      <c r="E93" s="23">
        <f t="shared" si="5"/>
        <v>6223.2169608821823</v>
      </c>
      <c r="F93" s="23"/>
      <c r="G93">
        <f t="shared" si="6"/>
        <v>249.44727984869414</v>
      </c>
    </row>
    <row r="94" spans="1:7" x14ac:dyDescent="0.2">
      <c r="A94">
        <v>58</v>
      </c>
      <c r="B94">
        <f t="shared" si="4"/>
        <v>4882</v>
      </c>
      <c r="C94" s="23">
        <v>300</v>
      </c>
      <c r="D94" s="23"/>
      <c r="E94" s="23">
        <f t="shared" si="5"/>
        <v>6105.6101221489771</v>
      </c>
      <c r="F94" s="23"/>
      <c r="G94">
        <f t="shared" si="6"/>
        <v>248.39657180276086</v>
      </c>
    </row>
    <row r="95" spans="1:7" x14ac:dyDescent="0.2">
      <c r="A95">
        <v>59</v>
      </c>
      <c r="B95">
        <f t="shared" si="4"/>
        <v>4954</v>
      </c>
      <c r="C95" s="23">
        <v>300</v>
      </c>
      <c r="D95" s="23"/>
      <c r="E95" s="23">
        <f t="shared" si="5"/>
        <v>5991.3243883721179</v>
      </c>
      <c r="F95" s="23"/>
      <c r="G95">
        <f t="shared" si="6"/>
        <v>247.34184183329563</v>
      </c>
    </row>
    <row r="96" spans="1:7" x14ac:dyDescent="0.2">
      <c r="A96">
        <v>60</v>
      </c>
      <c r="B96">
        <f t="shared" si="4"/>
        <v>5026</v>
      </c>
      <c r="C96" s="23">
        <v>300</v>
      </c>
      <c r="D96" s="23"/>
      <c r="E96" s="23">
        <f t="shared" si="5"/>
        <v>5880.2162284609803</v>
      </c>
      <c r="F96" s="23"/>
      <c r="G96">
        <f t="shared" si="6"/>
        <v>246.28305636870741</v>
      </c>
    </row>
    <row r="97" spans="1:7" x14ac:dyDescent="0.2">
      <c r="A97">
        <v>61</v>
      </c>
      <c r="B97">
        <f t="shared" si="4"/>
        <v>5098</v>
      </c>
      <c r="C97" s="23">
        <v>300</v>
      </c>
      <c r="D97" s="23"/>
      <c r="E97" s="23">
        <f t="shared" si="5"/>
        <v>5772.1501659564465</v>
      </c>
      <c r="F97" s="23"/>
      <c r="G97">
        <f t="shared" si="6"/>
        <v>245.22017955038302</v>
      </c>
    </row>
    <row r="98" spans="1:7" x14ac:dyDescent="0.2">
      <c r="A98">
        <v>62</v>
      </c>
      <c r="B98">
        <f t="shared" si="4"/>
        <v>5170</v>
      </c>
      <c r="C98" s="23">
        <v>300</v>
      </c>
      <c r="D98" s="23"/>
      <c r="E98" s="23">
        <f t="shared" si="5"/>
        <v>5666.9982188103804</v>
      </c>
      <c r="F98" s="23"/>
      <c r="G98">
        <f t="shared" si="6"/>
        <v>244.15317326041387</v>
      </c>
    </row>
    <row r="99" spans="1:7" x14ac:dyDescent="0.2">
      <c r="A99">
        <v>63</v>
      </c>
      <c r="B99">
        <f t="shared" si="4"/>
        <v>5242</v>
      </c>
      <c r="C99" s="23">
        <v>300</v>
      </c>
      <c r="D99" s="23"/>
      <c r="E99" s="23">
        <f t="shared" si="5"/>
        <v>5564.6393851553312</v>
      </c>
      <c r="F99" s="23"/>
      <c r="G99">
        <f t="shared" si="6"/>
        <v>243.0819971415354</v>
      </c>
    </row>
    <row r="100" spans="1:7" x14ac:dyDescent="0.2">
      <c r="A100">
        <v>64</v>
      </c>
      <c r="B100">
        <f t="shared" si="4"/>
        <v>5314</v>
      </c>
      <c r="C100" s="23">
        <v>300</v>
      </c>
      <c r="D100" s="23"/>
      <c r="E100" s="23">
        <f t="shared" si="5"/>
        <v>5464.9591707127565</v>
      </c>
      <c r="F100" s="23"/>
      <c r="G100">
        <f t="shared" si="6"/>
        <v>242.00660860972988</v>
      </c>
    </row>
    <row r="101" spans="1:7" x14ac:dyDescent="0.2">
      <c r="A101">
        <v>65</v>
      </c>
      <c r="B101">
        <f t="shared" si="4"/>
        <v>5386</v>
      </c>
      <c r="C101" s="23">
        <v>300</v>
      </c>
      <c r="D101" s="23"/>
      <c r="E101" s="23">
        <f t="shared" si="5"/>
        <v>5367.8491539517918</v>
      </c>
      <c r="F101" s="23"/>
      <c r="G101">
        <f t="shared" si="6"/>
        <v>240.92696285986958</v>
      </c>
    </row>
    <row r="102" spans="1:7" x14ac:dyDescent="0.2">
      <c r="A102">
        <v>66</v>
      </c>
      <c r="B102">
        <f t="shared" ref="B102:B116" si="9">706+72*A102</f>
        <v>5458</v>
      </c>
      <c r="C102" s="23">
        <v>300</v>
      </c>
      <c r="D102" s="23"/>
      <c r="E102" s="23">
        <f t="shared" ref="E102:E116" si="10">120000/(IF(B102&lt;600,B102,"600")/C102+12000*LN(12000/(12600-IF(B102&lt;600,600,B102)))/C102)</f>
        <v>5273.2065855197343</v>
      </c>
      <c r="F102" s="23"/>
      <c r="G102">
        <f t="shared" si="6"/>
        <v>239.84301286472257</v>
      </c>
    </row>
    <row r="103" spans="1:7" x14ac:dyDescent="0.2">
      <c r="A103">
        <v>67</v>
      </c>
      <c r="B103">
        <f t="shared" si="9"/>
        <v>5530</v>
      </c>
      <c r="C103" s="23">
        <v>300</v>
      </c>
      <c r="D103" s="23"/>
      <c r="E103" s="23">
        <f t="shared" si="10"/>
        <v>5180.9340188265205</v>
      </c>
      <c r="F103" s="23"/>
      <c r="G103">
        <f t="shared" si="6"/>
        <v>238.75470936758882</v>
      </c>
    </row>
    <row r="104" spans="1:7" x14ac:dyDescent="0.2">
      <c r="A104">
        <v>68</v>
      </c>
      <c r="B104">
        <f t="shared" si="9"/>
        <v>5602</v>
      </c>
      <c r="C104" s="23">
        <v>300</v>
      </c>
      <c r="D104" s="23"/>
      <c r="E104" s="23">
        <f t="shared" si="10"/>
        <v>5090.9389689850141</v>
      </c>
      <c r="F104" s="23"/>
      <c r="G104">
        <f t="shared" si="6"/>
        <v>237.66200086878376</v>
      </c>
    </row>
    <row r="105" spans="1:7" x14ac:dyDescent="0.2">
      <c r="A105">
        <v>69</v>
      </c>
      <c r="B105">
        <f t="shared" si="9"/>
        <v>5674</v>
      </c>
      <c r="C105" s="23">
        <v>300</v>
      </c>
      <c r="D105" s="23"/>
      <c r="E105" s="23">
        <f t="shared" si="10"/>
        <v>5003.1335975919883</v>
      </c>
      <c r="F105" s="23"/>
      <c r="G105">
        <f t="shared" si="6"/>
        <v>236.56483360614118</v>
      </c>
    </row>
    <row r="106" spans="1:7" x14ac:dyDescent="0.2">
      <c r="A106">
        <v>70</v>
      </c>
      <c r="B106">
        <f t="shared" si="9"/>
        <v>5746</v>
      </c>
      <c r="C106" s="23">
        <v>300</v>
      </c>
      <c r="D106" s="23"/>
      <c r="E106" s="23">
        <f t="shared" si="10"/>
        <v>4917.4344210859881</v>
      </c>
      <c r="F106" s="23"/>
      <c r="G106">
        <f t="shared" si="6"/>
        <v>235.46315152966741</v>
      </c>
    </row>
    <row r="107" spans="1:7" x14ac:dyDescent="0.2">
      <c r="A107">
        <v>71</v>
      </c>
      <c r="B107">
        <f t="shared" si="9"/>
        <v>5818</v>
      </c>
      <c r="C107" s="23">
        <v>300</v>
      </c>
      <c r="D107" s="23"/>
      <c r="E107" s="23">
        <f t="shared" si="10"/>
        <v>4833.7620406414935</v>
      </c>
      <c r="F107" s="23"/>
      <c r="G107">
        <f t="shared" si="6"/>
        <v>234.3568962704351</v>
      </c>
    </row>
    <row r="108" spans="1:7" x14ac:dyDescent="0.2">
      <c r="A108">
        <v>72</v>
      </c>
      <c r="B108">
        <f t="shared" si="9"/>
        <v>5890</v>
      </c>
      <c r="C108" s="23">
        <v>300</v>
      </c>
      <c r="D108" s="23"/>
      <c r="E108" s="23">
        <f t="shared" si="10"/>
        <v>4752.0408917576842</v>
      </c>
      <c r="F108" s="23"/>
      <c r="G108">
        <f t="shared" si="6"/>
        <v>233.24600710377302</v>
      </c>
    </row>
    <row r="109" spans="1:7" x14ac:dyDescent="0.2">
      <c r="A109">
        <v>73</v>
      </c>
      <c r="B109">
        <f t="shared" si="9"/>
        <v>5962</v>
      </c>
      <c r="C109" s="23">
        <v>300</v>
      </c>
      <c r="D109" s="23"/>
      <c r="E109" s="23">
        <f t="shared" si="10"/>
        <v>4672.1990118772637</v>
      </c>
      <c r="F109" s="23"/>
      <c r="G109">
        <f t="shared" si="6"/>
        <v>232.13042090676873</v>
      </c>
    </row>
    <row r="110" spans="1:7" x14ac:dyDescent="0.2">
      <c r="A110">
        <v>74</v>
      </c>
      <c r="B110">
        <f t="shared" si="9"/>
        <v>6034</v>
      </c>
      <c r="C110" s="23">
        <v>300</v>
      </c>
      <c r="D110" s="23"/>
      <c r="E110" s="23">
        <f t="shared" si="10"/>
        <v>4594.1678245290295</v>
      </c>
      <c r="F110" s="23"/>
      <c r="G110">
        <f t="shared" si="6"/>
        <v>231.01007211006802</v>
      </c>
    </row>
    <row r="111" spans="1:7" x14ac:dyDescent="0.2">
      <c r="A111">
        <v>75</v>
      </c>
      <c r="B111">
        <f t="shared" si="9"/>
        <v>6106</v>
      </c>
      <c r="C111" s="23">
        <v>300</v>
      </c>
      <c r="D111" s="23"/>
      <c r="E111" s="23">
        <f t="shared" si="10"/>
        <v>4517.8819386293799</v>
      </c>
      <c r="F111" s="23"/>
      <c r="G111">
        <f t="shared" ref="G111:G116" si="11">E111/2000*B111/60</f>
        <v>229.88489264392493</v>
      </c>
    </row>
    <row r="112" spans="1:7" x14ac:dyDescent="0.2">
      <c r="A112">
        <v>76</v>
      </c>
      <c r="B112">
        <f t="shared" si="9"/>
        <v>6178</v>
      </c>
      <c r="C112" s="23">
        <v>300</v>
      </c>
      <c r="D112" s="23"/>
      <c r="E112" s="23">
        <f t="shared" si="10"/>
        <v>4443.2789617044564</v>
      </c>
      <c r="F112" s="23"/>
      <c r="G112">
        <f t="shared" si="11"/>
        <v>228.7548118784178</v>
      </c>
    </row>
    <row r="113" spans="1:7" x14ac:dyDescent="0.2">
      <c r="A113">
        <v>77</v>
      </c>
      <c r="B113">
        <f t="shared" si="9"/>
        <v>6250</v>
      </c>
      <c r="C113" s="23">
        <v>300</v>
      </c>
      <c r="D113" s="23"/>
      <c r="E113" s="23">
        <f t="shared" si="10"/>
        <v>4370.2993259082459</v>
      </c>
      <c r="F113" s="23"/>
      <c r="G113">
        <f t="shared" si="11"/>
        <v>227.61975655772116</v>
      </c>
    </row>
    <row r="114" spans="1:7" x14ac:dyDescent="0.2">
      <c r="A114">
        <v>78</v>
      </c>
      <c r="B114">
        <f t="shared" si="9"/>
        <v>6322</v>
      </c>
      <c r="C114" s="23">
        <v>300</v>
      </c>
      <c r="D114" s="23"/>
      <c r="E114" s="23">
        <f t="shared" si="10"/>
        <v>4298.8861258137222</v>
      </c>
      <c r="F114" s="23"/>
      <c r="G114">
        <f t="shared" si="11"/>
        <v>226.47965072828629</v>
      </c>
    </row>
    <row r="115" spans="1:7" x14ac:dyDescent="0.2">
      <c r="A115">
        <v>79</v>
      </c>
      <c r="B115">
        <f t="shared" si="9"/>
        <v>6394</v>
      </c>
      <c r="C115" s="23">
        <v>300</v>
      </c>
      <c r="D115" s="23"/>
      <c r="E115" s="23">
        <f t="shared" si="10"/>
        <v>4228.9849670457106</v>
      </c>
      <c r="F115" s="23"/>
      <c r="G115">
        <f t="shared" si="11"/>
        <v>225.33441566075228</v>
      </c>
    </row>
    <row r="116" spans="1:7" x14ac:dyDescent="0.2">
      <c r="A116">
        <v>80</v>
      </c>
      <c r="B116">
        <f t="shared" si="9"/>
        <v>6466</v>
      </c>
      <c r="C116" s="23">
        <v>300</v>
      </c>
      <c r="D116" s="23"/>
      <c r="E116" s="23">
        <f t="shared" si="10"/>
        <v>4160.54382490648</v>
      </c>
      <c r="F116" s="23"/>
      <c r="G116">
        <f t="shared" si="11"/>
        <v>224.1839697653775</v>
      </c>
    </row>
  </sheetData>
  <mergeCells count="240">
    <mergeCell ref="Q3:T4"/>
    <mergeCell ref="U3:X4"/>
    <mergeCell ref="S6:T6"/>
    <mergeCell ref="S7:T7"/>
    <mergeCell ref="S8:T8"/>
    <mergeCell ref="B28:C28"/>
    <mergeCell ref="A34:G35"/>
    <mergeCell ref="E115:F115"/>
    <mergeCell ref="E116:F116"/>
    <mergeCell ref="E110:F110"/>
    <mergeCell ref="E111:F111"/>
    <mergeCell ref="E112:F112"/>
    <mergeCell ref="E113:F113"/>
    <mergeCell ref="E114:F114"/>
    <mergeCell ref="E105:F105"/>
    <mergeCell ref="E106:F106"/>
    <mergeCell ref="E107:F107"/>
    <mergeCell ref="E108:F108"/>
    <mergeCell ref="E109:F109"/>
    <mergeCell ref="E100:F100"/>
    <mergeCell ref="E101:F101"/>
    <mergeCell ref="E102:F102"/>
    <mergeCell ref="E103:F103"/>
    <mergeCell ref="E104:F104"/>
    <mergeCell ref="E95:F95"/>
    <mergeCell ref="E96:F96"/>
    <mergeCell ref="E97:F97"/>
    <mergeCell ref="E98:F98"/>
    <mergeCell ref="E99:F99"/>
    <mergeCell ref="E90:F90"/>
    <mergeCell ref="E91:F91"/>
    <mergeCell ref="E92:F92"/>
    <mergeCell ref="E93:F93"/>
    <mergeCell ref="E94:F94"/>
    <mergeCell ref="E85:F85"/>
    <mergeCell ref="E86:F86"/>
    <mergeCell ref="E87:F87"/>
    <mergeCell ref="E88:F88"/>
    <mergeCell ref="E89:F89"/>
    <mergeCell ref="E80:F80"/>
    <mergeCell ref="E81:F81"/>
    <mergeCell ref="E82:F82"/>
    <mergeCell ref="E83:F83"/>
    <mergeCell ref="E84:F84"/>
    <mergeCell ref="E75:F75"/>
    <mergeCell ref="E76:F76"/>
    <mergeCell ref="E77:F77"/>
    <mergeCell ref="E78:F78"/>
    <mergeCell ref="E79:F79"/>
    <mergeCell ref="E70:F70"/>
    <mergeCell ref="E71:F71"/>
    <mergeCell ref="E72:F72"/>
    <mergeCell ref="E73:F73"/>
    <mergeCell ref="E74:F74"/>
    <mergeCell ref="E65:F65"/>
    <mergeCell ref="E66:F66"/>
    <mergeCell ref="E67:F67"/>
    <mergeCell ref="E68:F68"/>
    <mergeCell ref="E69:F69"/>
    <mergeCell ref="E60:F60"/>
    <mergeCell ref="E61:F61"/>
    <mergeCell ref="E62:F62"/>
    <mergeCell ref="E63:F63"/>
    <mergeCell ref="E64:F64"/>
    <mergeCell ref="E55:F55"/>
    <mergeCell ref="E56:F56"/>
    <mergeCell ref="E57:F57"/>
    <mergeCell ref="E58:F58"/>
    <mergeCell ref="E59:F59"/>
    <mergeCell ref="E50:F50"/>
    <mergeCell ref="E51:F51"/>
    <mergeCell ref="E52:F52"/>
    <mergeCell ref="E53:F53"/>
    <mergeCell ref="E54:F54"/>
    <mergeCell ref="C114:D114"/>
    <mergeCell ref="C115:D115"/>
    <mergeCell ref="C116:D116"/>
    <mergeCell ref="E37:F37"/>
    <mergeCell ref="E38:F38"/>
    <mergeCell ref="E39:F39"/>
    <mergeCell ref="E40:F40"/>
    <mergeCell ref="E41:F41"/>
    <mergeCell ref="E42:F42"/>
    <mergeCell ref="E43:F43"/>
    <mergeCell ref="E44:F44"/>
    <mergeCell ref="E45:F45"/>
    <mergeCell ref="E46:F46"/>
    <mergeCell ref="E47:F47"/>
    <mergeCell ref="E48:F48"/>
    <mergeCell ref="E49:F49"/>
    <mergeCell ref="C109:D109"/>
    <mergeCell ref="C110:D110"/>
    <mergeCell ref="C111:D111"/>
    <mergeCell ref="C112:D112"/>
    <mergeCell ref="C113:D113"/>
    <mergeCell ref="C104:D104"/>
    <mergeCell ref="C105:D105"/>
    <mergeCell ref="C106:D106"/>
    <mergeCell ref="C107:D107"/>
    <mergeCell ref="C108:D108"/>
    <mergeCell ref="C99:D99"/>
    <mergeCell ref="C100:D100"/>
    <mergeCell ref="C101:D101"/>
    <mergeCell ref="C102:D102"/>
    <mergeCell ref="C103:D103"/>
    <mergeCell ref="C94:D94"/>
    <mergeCell ref="C95:D95"/>
    <mergeCell ref="C96:D96"/>
    <mergeCell ref="C97:D97"/>
    <mergeCell ref="C98:D98"/>
    <mergeCell ref="C89:D89"/>
    <mergeCell ref="C90:D90"/>
    <mergeCell ref="C91:D91"/>
    <mergeCell ref="C92:D92"/>
    <mergeCell ref="C93:D93"/>
    <mergeCell ref="C84:D84"/>
    <mergeCell ref="C85:D85"/>
    <mergeCell ref="C86:D86"/>
    <mergeCell ref="C87:D87"/>
    <mergeCell ref="C88:D88"/>
    <mergeCell ref="C79:D79"/>
    <mergeCell ref="C80:D80"/>
    <mergeCell ref="C81:D81"/>
    <mergeCell ref="C82:D82"/>
    <mergeCell ref="C83:D83"/>
    <mergeCell ref="C74:D74"/>
    <mergeCell ref="C75:D75"/>
    <mergeCell ref="C76:D76"/>
    <mergeCell ref="C77:D77"/>
    <mergeCell ref="C78:D78"/>
    <mergeCell ref="C69:D69"/>
    <mergeCell ref="C70:D70"/>
    <mergeCell ref="C71:D71"/>
    <mergeCell ref="C72:D72"/>
    <mergeCell ref="C73:D73"/>
    <mergeCell ref="C64:D64"/>
    <mergeCell ref="C65:D65"/>
    <mergeCell ref="C66:D66"/>
    <mergeCell ref="C67:D67"/>
    <mergeCell ref="C68:D68"/>
    <mergeCell ref="C59:D59"/>
    <mergeCell ref="C60:D60"/>
    <mergeCell ref="C61:D61"/>
    <mergeCell ref="C62:D62"/>
    <mergeCell ref="C63:D63"/>
    <mergeCell ref="C54:D54"/>
    <mergeCell ref="C55:D55"/>
    <mergeCell ref="C56:D56"/>
    <mergeCell ref="C57:D57"/>
    <mergeCell ref="C58:D58"/>
    <mergeCell ref="C49:D49"/>
    <mergeCell ref="C50:D50"/>
    <mergeCell ref="C51:D51"/>
    <mergeCell ref="C52:D52"/>
    <mergeCell ref="C53:D53"/>
    <mergeCell ref="C36:D36"/>
    <mergeCell ref="E36:F36"/>
    <mergeCell ref="C37:D37"/>
    <mergeCell ref="C38:D38"/>
    <mergeCell ref="C44:D44"/>
    <mergeCell ref="C45:D45"/>
    <mergeCell ref="C46:D46"/>
    <mergeCell ref="C47:D47"/>
    <mergeCell ref="C48:D48"/>
    <mergeCell ref="C39:D39"/>
    <mergeCell ref="C40:D40"/>
    <mergeCell ref="C41:D41"/>
    <mergeCell ref="C42:D42"/>
    <mergeCell ref="C43:D43"/>
    <mergeCell ref="Q32:R32"/>
    <mergeCell ref="S32:T32"/>
    <mergeCell ref="U32:V32"/>
    <mergeCell ref="Q33:R33"/>
    <mergeCell ref="S33:T33"/>
    <mergeCell ref="U33:V33"/>
    <mergeCell ref="Q30:R30"/>
    <mergeCell ref="S30:T30"/>
    <mergeCell ref="U30:V30"/>
    <mergeCell ref="Q31:R31"/>
    <mergeCell ref="S31:T31"/>
    <mergeCell ref="U31:V31"/>
    <mergeCell ref="Q28:R28"/>
    <mergeCell ref="S28:T28"/>
    <mergeCell ref="U28:V28"/>
    <mergeCell ref="Q29:R29"/>
    <mergeCell ref="S29:T29"/>
    <mergeCell ref="U29:V29"/>
    <mergeCell ref="Q26:R26"/>
    <mergeCell ref="S26:T26"/>
    <mergeCell ref="U26:V26"/>
    <mergeCell ref="Q27:R27"/>
    <mergeCell ref="S27:T27"/>
    <mergeCell ref="U27:V27"/>
    <mergeCell ref="U21:V21"/>
    <mergeCell ref="Q22:R22"/>
    <mergeCell ref="Q24:R24"/>
    <mergeCell ref="S24:T24"/>
    <mergeCell ref="U24:V24"/>
    <mergeCell ref="Q25:R25"/>
    <mergeCell ref="A1:G1"/>
    <mergeCell ref="B4:G4"/>
    <mergeCell ref="A3:H3"/>
    <mergeCell ref="A2:H2"/>
    <mergeCell ref="A10:B10"/>
    <mergeCell ref="B11:H11"/>
    <mergeCell ref="B12:E12"/>
    <mergeCell ref="C13:F13"/>
    <mergeCell ref="B14:C14"/>
    <mergeCell ref="S25:T25"/>
    <mergeCell ref="U25:V25"/>
    <mergeCell ref="S22:T22"/>
    <mergeCell ref="U22:V22"/>
    <mergeCell ref="Q23:R23"/>
    <mergeCell ref="S23:T23"/>
    <mergeCell ref="U23:V23"/>
    <mergeCell ref="S5:T5"/>
    <mergeCell ref="M46:N46"/>
    <mergeCell ref="U35:V35"/>
    <mergeCell ref="S35:T35"/>
    <mergeCell ref="Q35:R35"/>
    <mergeCell ref="U34:V34"/>
    <mergeCell ref="S34:T34"/>
    <mergeCell ref="Q34:R34"/>
    <mergeCell ref="C15:D15"/>
    <mergeCell ref="B16:G16"/>
    <mergeCell ref="B17:K17"/>
    <mergeCell ref="C18:K18"/>
    <mergeCell ref="B19:E19"/>
    <mergeCell ref="A20:F20"/>
    <mergeCell ref="P17:W17"/>
    <mergeCell ref="D25:F25"/>
    <mergeCell ref="A22:J22"/>
    <mergeCell ref="B23:F23"/>
    <mergeCell ref="C24:J24"/>
    <mergeCell ref="Q18:V19"/>
    <mergeCell ref="Q20:R20"/>
    <mergeCell ref="S20:T20"/>
    <mergeCell ref="Q21:R21"/>
    <mergeCell ref="S21:T21"/>
    <mergeCell ref="U20:V20"/>
  </mergeCells>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24"/>
  <sheetViews>
    <sheetView workbookViewId="0">
      <selection sqref="A1:XFD1048576"/>
    </sheetView>
  </sheetViews>
  <sheetFormatPr defaultRowHeight="14.25" x14ac:dyDescent="0.2"/>
  <cols>
    <col min="3" max="3" width="22.25" customWidth="1"/>
    <col min="5" max="5" width="10.125" customWidth="1"/>
  </cols>
  <sheetData>
    <row r="1" spans="1:36" x14ac:dyDescent="0.2">
      <c r="A1" s="24" t="s">
        <v>312</v>
      </c>
      <c r="B1" s="24"/>
      <c r="C1" s="24"/>
      <c r="D1" s="24"/>
      <c r="E1" s="24"/>
    </row>
    <row r="2" spans="1:36" x14ac:dyDescent="0.2">
      <c r="B2" s="24" t="s">
        <v>313</v>
      </c>
      <c r="C2" s="24"/>
      <c r="D2" s="24"/>
      <c r="E2" s="24"/>
      <c r="F2" s="24"/>
      <c r="G2" s="24"/>
      <c r="H2" s="24"/>
      <c r="I2" s="24"/>
      <c r="J2" s="24"/>
    </row>
    <row r="3" spans="1:36" x14ac:dyDescent="0.2">
      <c r="A3" s="24" t="s">
        <v>311</v>
      </c>
      <c r="B3" s="24"/>
      <c r="C3" s="24"/>
      <c r="D3" s="24"/>
    </row>
    <row r="4" spans="1:36" x14ac:dyDescent="0.2">
      <c r="B4" s="24" t="s">
        <v>314</v>
      </c>
      <c r="C4" s="24"/>
      <c r="D4" s="24"/>
      <c r="E4" s="24"/>
      <c r="F4" s="24"/>
      <c r="G4" s="24"/>
      <c r="H4" s="24"/>
      <c r="I4" s="24"/>
      <c r="J4" s="24"/>
      <c r="K4" s="24"/>
      <c r="L4" s="24"/>
      <c r="M4" s="24"/>
      <c r="N4" s="24"/>
    </row>
    <row r="5" spans="1:36" x14ac:dyDescent="0.2">
      <c r="B5" s="24" t="s">
        <v>315</v>
      </c>
      <c r="C5" s="24"/>
      <c r="D5" s="24"/>
      <c r="E5" s="24"/>
      <c r="F5" s="24"/>
      <c r="G5" s="24"/>
    </row>
    <row r="6" spans="1:36" x14ac:dyDescent="0.2">
      <c r="B6" s="24" t="s">
        <v>316</v>
      </c>
      <c r="C6" s="24"/>
      <c r="D6" s="24"/>
      <c r="E6" s="24"/>
      <c r="F6" s="24"/>
      <c r="G6" s="24"/>
      <c r="H6" s="24"/>
      <c r="I6" s="24"/>
      <c r="J6" s="24"/>
      <c r="K6" s="24"/>
    </row>
    <row r="7" spans="1:36" x14ac:dyDescent="0.2">
      <c r="B7" s="24" t="s">
        <v>317</v>
      </c>
      <c r="C7" s="24"/>
      <c r="D7" s="24"/>
      <c r="E7" s="24"/>
      <c r="F7" s="24"/>
      <c r="G7" s="24"/>
      <c r="H7" s="24"/>
      <c r="I7" s="24"/>
      <c r="J7" s="24"/>
      <c r="K7" s="24"/>
      <c r="L7" s="24"/>
      <c r="M7" s="24"/>
      <c r="N7" s="24"/>
    </row>
    <row r="8" spans="1:36" x14ac:dyDescent="0.2">
      <c r="B8" s="24" t="s">
        <v>378</v>
      </c>
      <c r="C8" s="24"/>
      <c r="D8" s="24"/>
      <c r="E8" s="24"/>
      <c r="F8" s="24"/>
      <c r="G8" s="24"/>
      <c r="H8" s="24"/>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row>
    <row r="9" spans="1:36" x14ac:dyDescent="0.2">
      <c r="B9" t="s">
        <v>318</v>
      </c>
    </row>
    <row r="10" spans="1:36" x14ac:dyDescent="0.2">
      <c r="D10" t="s">
        <v>323</v>
      </c>
      <c r="E10" t="s">
        <v>324</v>
      </c>
    </row>
    <row r="11" spans="1:36" x14ac:dyDescent="0.2">
      <c r="C11" t="s">
        <v>319</v>
      </c>
      <c r="D11" t="s">
        <v>325</v>
      </c>
      <c r="E11" t="s">
        <v>325</v>
      </c>
    </row>
    <row r="12" spans="1:36" x14ac:dyDescent="0.2">
      <c r="C12" t="s">
        <v>320</v>
      </c>
      <c r="D12" t="s">
        <v>326</v>
      </c>
      <c r="E12" t="s">
        <v>325</v>
      </c>
    </row>
    <row r="13" spans="1:36" x14ac:dyDescent="0.2">
      <c r="C13" t="s">
        <v>321</v>
      </c>
      <c r="D13" t="s">
        <v>325</v>
      </c>
      <c r="E13" t="s">
        <v>327</v>
      </c>
    </row>
    <row r="14" spans="1:36" x14ac:dyDescent="0.2">
      <c r="C14" t="s">
        <v>322</v>
      </c>
      <c r="D14" t="s">
        <v>326</v>
      </c>
      <c r="E14" t="s">
        <v>327</v>
      </c>
    </row>
    <row r="15" spans="1:36" x14ac:dyDescent="0.2">
      <c r="C15" t="s">
        <v>328</v>
      </c>
    </row>
    <row r="17" spans="2:73" x14ac:dyDescent="0.2">
      <c r="B17" s="24" t="s">
        <v>330</v>
      </c>
      <c r="C17" s="24"/>
    </row>
    <row r="18" spans="2:73" x14ac:dyDescent="0.2">
      <c r="C18" s="23" t="s">
        <v>329</v>
      </c>
      <c r="D18" s="23"/>
      <c r="E18" s="23"/>
      <c r="F18" s="23"/>
      <c r="G18" s="23"/>
      <c r="H18" s="2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c r="BM18" s="23"/>
      <c r="BN18" s="23"/>
      <c r="BO18" s="23"/>
      <c r="BP18" s="23"/>
      <c r="BQ18" s="23"/>
      <c r="BR18" s="23"/>
      <c r="BS18" s="23"/>
      <c r="BT18" s="23"/>
      <c r="BU18" s="23"/>
    </row>
    <row r="22" spans="2:73" x14ac:dyDescent="0.2">
      <c r="B22" t="s">
        <v>331</v>
      </c>
    </row>
    <row r="23" spans="2:73" x14ac:dyDescent="0.2">
      <c r="C23" t="s">
        <v>332</v>
      </c>
    </row>
    <row r="24" spans="2:73" x14ac:dyDescent="0.2">
      <c r="C24" t="s">
        <v>333</v>
      </c>
    </row>
  </sheetData>
  <mergeCells count="10">
    <mergeCell ref="B6:K6"/>
    <mergeCell ref="B7:N7"/>
    <mergeCell ref="B17:C17"/>
    <mergeCell ref="C18:BU18"/>
    <mergeCell ref="A1:E1"/>
    <mergeCell ref="B2:J2"/>
    <mergeCell ref="A3:D3"/>
    <mergeCell ref="B4:N4"/>
    <mergeCell ref="B5:G5"/>
    <mergeCell ref="B8:AJ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20</vt:i4>
      </vt:variant>
    </vt:vector>
  </HeadingPairs>
  <TitlesOfParts>
    <vt:vector size="20" baseType="lpstr">
      <vt:lpstr>星球建造规格统计</vt:lpstr>
      <vt:lpstr>建筑尺寸统计</vt:lpstr>
      <vt:lpstr>建筑偏移</vt:lpstr>
      <vt:lpstr>增产计算器</vt:lpstr>
      <vt:lpstr>产线占地参考</vt:lpstr>
      <vt:lpstr>分馏计算</vt:lpstr>
      <vt:lpstr>接收站</vt:lpstr>
      <vt:lpstr>飞船耗电与电力瓶颈下运力计算</vt:lpstr>
      <vt:lpstr>电磁弹射器</vt:lpstr>
      <vt:lpstr>轨道采集器最终产量</vt:lpstr>
      <vt:lpstr>分馏对撞卡顿比较</vt:lpstr>
      <vt:lpstr>通关科技需求</vt:lpstr>
      <vt:lpstr>Vertex半径</vt:lpstr>
      <vt:lpstr>矿机耗电、效率</vt:lpstr>
      <vt:lpstr>太阳能</vt:lpstr>
      <vt:lpstr>集装机可堆叠间隔</vt:lpstr>
      <vt:lpstr>飞船运输耗时估计</vt:lpstr>
      <vt:lpstr>最密节点、风电等问题</vt:lpstr>
      <vt:lpstr>buffer长度</vt:lpstr>
      <vt:lpstr>科技蓝爪运力</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65352</dc:creator>
  <cp:lastModifiedBy>Admin</cp:lastModifiedBy>
  <dcterms:created xsi:type="dcterms:W3CDTF">2022-03-04T05:20:55Z</dcterms:created>
  <dcterms:modified xsi:type="dcterms:W3CDTF">2024-07-04T15:51:48Z</dcterms:modified>
</cp:coreProperties>
</file>