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新文件\桌面\自创攻略\戴森球计划\戴森球计划数值计算统计\"/>
    </mc:Choice>
  </mc:AlternateContent>
  <xr:revisionPtr revIDLastSave="0" documentId="13_ncr:1_{EDDECB62-2B7D-41F3-B701-90AC8E8999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省矿" sheetId="1" r:id="rId1"/>
    <sheet name="喷涂成本" sheetId="3" r:id="rId2"/>
    <sheet name="产线成本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L48" i="1"/>
  <c r="P104" i="1"/>
  <c r="N104" i="1"/>
  <c r="M104" i="1"/>
  <c r="L104" i="1"/>
  <c r="C104" i="1"/>
  <c r="J49" i="1"/>
  <c r="C23" i="1" l="1"/>
  <c r="K49" i="1" l="1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F49" i="1" l="1"/>
  <c r="C49" i="1"/>
  <c r="F47" i="1"/>
  <c r="D10" i="1"/>
  <c r="I9" i="1"/>
  <c r="D9" i="1"/>
  <c r="G3" i="1"/>
  <c r="H2" i="1"/>
  <c r="C59" i="1"/>
  <c r="C63" i="1"/>
  <c r="C62" i="1"/>
  <c r="C136" i="1"/>
  <c r="C60" i="1"/>
  <c r="C101" i="1"/>
  <c r="C65" i="1"/>
  <c r="C56" i="1"/>
  <c r="C64" i="1"/>
  <c r="C69" i="1"/>
  <c r="C61" i="1"/>
  <c r="C55" i="1"/>
  <c r="C66" i="1"/>
  <c r="C57" i="1"/>
  <c r="C58" i="1"/>
  <c r="C67" i="1"/>
  <c r="E23" i="1"/>
  <c r="G101" i="1" s="1"/>
  <c r="G23" i="1"/>
  <c r="I58" i="1" s="1"/>
  <c r="I101" i="1"/>
  <c r="I64" i="1"/>
  <c r="F63" i="1"/>
  <c r="I57" i="1"/>
  <c r="I59" i="1"/>
  <c r="H60" i="1"/>
  <c r="I55" i="1"/>
  <c r="F58" i="1"/>
  <c r="F59" i="1"/>
  <c r="I97" i="1"/>
  <c r="I69" i="1"/>
  <c r="I61" i="1"/>
  <c r="H136" i="1"/>
  <c r="D101" i="1"/>
  <c r="F60" i="1"/>
  <c r="F136" i="1"/>
  <c r="E58" i="1"/>
  <c r="D124" i="1"/>
  <c r="D136" i="1"/>
  <c r="G58" i="1"/>
  <c r="H65" i="1"/>
  <c r="G60" i="1"/>
  <c r="D66" i="1"/>
  <c r="G124" i="1"/>
  <c r="G61" i="1"/>
  <c r="I124" i="1"/>
  <c r="H59" i="1"/>
  <c r="I65" i="1"/>
  <c r="H61" i="1"/>
  <c r="D59" i="1"/>
  <c r="I66" i="1"/>
  <c r="D58" i="1"/>
  <c r="E55" i="1"/>
  <c r="E57" i="1"/>
  <c r="I67" i="1"/>
  <c r="H124" i="1"/>
  <c r="F56" i="1"/>
  <c r="H55" i="1"/>
  <c r="D63" i="1"/>
  <c r="G136" i="1"/>
  <c r="G66" i="1"/>
  <c r="E61" i="1"/>
  <c r="E56" i="1"/>
  <c r="F101" i="1"/>
  <c r="H62" i="1"/>
  <c r="G65" i="1"/>
  <c r="G63" i="1"/>
  <c r="G64" i="1"/>
  <c r="H67" i="1"/>
  <c r="H63" i="1"/>
  <c r="F57" i="1"/>
  <c r="E59" i="1"/>
  <c r="G62" i="1"/>
  <c r="E65" i="1"/>
  <c r="H101" i="1"/>
  <c r="H56" i="1"/>
  <c r="G57" i="1"/>
  <c r="I62" i="1"/>
  <c r="H57" i="1"/>
  <c r="E101" i="1"/>
  <c r="E64" i="1"/>
  <c r="E66" i="1"/>
  <c r="E69" i="1"/>
  <c r="F67" i="1"/>
  <c r="D62" i="1"/>
  <c r="I60" i="1"/>
  <c r="I136" i="1"/>
  <c r="G69" i="1"/>
  <c r="D61" i="1"/>
  <c r="D65" i="1"/>
  <c r="F55" i="1"/>
  <c r="E60" i="1"/>
  <c r="E136" i="1"/>
  <c r="G59" i="1"/>
  <c r="D56" i="1"/>
  <c r="D55" i="1"/>
  <c r="I63" i="1"/>
  <c r="D60" i="1"/>
  <c r="G67" i="1"/>
  <c r="H66" i="1"/>
  <c r="H58" i="1"/>
  <c r="E63" i="1"/>
  <c r="D57" i="1"/>
  <c r="F66" i="1"/>
  <c r="E62" i="1"/>
  <c r="G56" i="1"/>
  <c r="E124" i="1"/>
  <c r="D67" i="1"/>
  <c r="E67" i="1"/>
  <c r="D64" i="1"/>
  <c r="H64" i="1"/>
  <c r="C97" i="1"/>
  <c r="C124" i="1"/>
  <c r="I56" i="1" l="1"/>
  <c r="H97" i="1"/>
  <c r="F62" i="1"/>
  <c r="F64" i="1"/>
  <c r="G55" i="1"/>
  <c r="F65" i="1"/>
  <c r="G97" i="1"/>
  <c r="F61" i="1"/>
  <c r="F124" i="1"/>
  <c r="J56" i="1"/>
  <c r="J66" i="1"/>
  <c r="K69" i="1"/>
  <c r="L69" i="1"/>
  <c r="M69" i="1" s="1"/>
  <c r="J61" i="1"/>
  <c r="J64" i="1"/>
  <c r="J65" i="1"/>
  <c r="J58" i="1"/>
  <c r="L58" i="1"/>
  <c r="M58" i="1"/>
  <c r="F127" i="1" s="1"/>
  <c r="G87" i="1"/>
  <c r="J55" i="1"/>
  <c r="K60" i="1"/>
  <c r="K57" i="1"/>
  <c r="K58" i="1"/>
  <c r="K101" i="1"/>
  <c r="K67" i="1"/>
  <c r="K63" i="1"/>
  <c r="K62" i="1"/>
  <c r="K55" i="1"/>
  <c r="K64" i="1"/>
  <c r="L64" i="1" s="1"/>
  <c r="M64" i="1" s="1"/>
  <c r="I23" i="1"/>
  <c r="K124" i="1" s="1"/>
  <c r="D127" i="1" l="1"/>
  <c r="C127" i="1"/>
  <c r="E127" i="1"/>
  <c r="K127" i="1"/>
  <c r="L55" i="1"/>
  <c r="M55" i="1" s="1"/>
  <c r="I81" i="1" s="1"/>
  <c r="J57" i="1"/>
  <c r="L57" i="1" s="1"/>
  <c r="M57" i="1" s="1"/>
  <c r="E102" i="1" s="1"/>
  <c r="J59" i="1"/>
  <c r="N57" i="1"/>
  <c r="P57" i="1"/>
  <c r="G102" i="1"/>
  <c r="D102" i="1"/>
  <c r="C102" i="1"/>
  <c r="D100" i="1"/>
  <c r="H100" i="1"/>
  <c r="J100" i="1"/>
  <c r="P64" i="1"/>
  <c r="D88" i="1"/>
  <c r="I88" i="1"/>
  <c r="J88" i="1"/>
  <c r="I100" i="1"/>
  <c r="C88" i="1"/>
  <c r="N64" i="1"/>
  <c r="F88" i="1"/>
  <c r="C100" i="1"/>
  <c r="E88" i="1"/>
  <c r="G100" i="1"/>
  <c r="K88" i="1"/>
  <c r="K100" i="1"/>
  <c r="G88" i="1"/>
  <c r="H88" i="1"/>
  <c r="E100" i="1"/>
  <c r="F100" i="1"/>
  <c r="C48" i="1"/>
  <c r="N69" i="1"/>
  <c r="P69" i="1"/>
  <c r="G81" i="1"/>
  <c r="C76" i="1"/>
  <c r="J81" i="1"/>
  <c r="F76" i="1"/>
  <c r="K76" i="1"/>
  <c r="E81" i="1"/>
  <c r="P55" i="1"/>
  <c r="G76" i="1"/>
  <c r="F81" i="1"/>
  <c r="H81" i="1"/>
  <c r="H76" i="1"/>
  <c r="D76" i="1"/>
  <c r="D81" i="1"/>
  <c r="K81" i="1"/>
  <c r="E76" i="1"/>
  <c r="D87" i="1"/>
  <c r="G127" i="1"/>
  <c r="I127" i="1"/>
  <c r="P58" i="1"/>
  <c r="K87" i="1"/>
  <c r="I87" i="1"/>
  <c r="H87" i="1"/>
  <c r="J87" i="1"/>
  <c r="C87" i="1"/>
  <c r="J124" i="1"/>
  <c r="L124" i="1" s="1"/>
  <c r="M124" i="1" s="1"/>
  <c r="F87" i="1"/>
  <c r="N58" i="1"/>
  <c r="J127" i="1"/>
  <c r="E87" i="1"/>
  <c r="J67" i="1"/>
  <c r="L67" i="1" s="1"/>
  <c r="M67" i="1" s="1"/>
  <c r="J63" i="1"/>
  <c r="L63" i="1" s="1"/>
  <c r="M63" i="1" s="1"/>
  <c r="K68" i="1"/>
  <c r="L68" i="1" s="1"/>
  <c r="M68" i="1" s="1"/>
  <c r="K97" i="1"/>
  <c r="J62" i="1"/>
  <c r="L62" i="1" s="1"/>
  <c r="M62" i="1" s="1"/>
  <c r="K61" i="1"/>
  <c r="L61" i="1" s="1"/>
  <c r="M61" i="1" s="1"/>
  <c r="K59" i="1"/>
  <c r="L59" i="1" s="1"/>
  <c r="M59" i="1" s="1"/>
  <c r="K65" i="1"/>
  <c r="L65" i="1" s="1"/>
  <c r="M65" i="1" s="1"/>
  <c r="J136" i="1"/>
  <c r="K56" i="1"/>
  <c r="L56" i="1" s="1"/>
  <c r="M56" i="1" s="1"/>
  <c r="K66" i="1"/>
  <c r="L66" i="1" s="1"/>
  <c r="M66" i="1" s="1"/>
  <c r="K136" i="1"/>
  <c r="J101" i="1"/>
  <c r="L101" i="1" s="1"/>
  <c r="M101" i="1" s="1"/>
  <c r="J97" i="1"/>
  <c r="H127" i="1"/>
  <c r="J60" i="1"/>
  <c r="L60" i="1" s="1"/>
  <c r="M60" i="1" s="1"/>
  <c r="J102" i="1" l="1"/>
  <c r="H102" i="1"/>
  <c r="N55" i="1"/>
  <c r="I102" i="1"/>
  <c r="L127" i="1"/>
  <c r="M127" i="1" s="1"/>
  <c r="C81" i="1"/>
  <c r="L81" i="1" s="1"/>
  <c r="M81" i="1" s="1"/>
  <c r="N81" i="1" s="1"/>
  <c r="F102" i="1"/>
  <c r="J76" i="1"/>
  <c r="K102" i="1"/>
  <c r="I76" i="1"/>
  <c r="P127" i="1"/>
  <c r="N127" i="1"/>
  <c r="F98" i="1"/>
  <c r="K98" i="1"/>
  <c r="I98" i="1"/>
  <c r="C98" i="1"/>
  <c r="N65" i="1"/>
  <c r="H98" i="1"/>
  <c r="E98" i="1"/>
  <c r="G98" i="1"/>
  <c r="D98" i="1"/>
  <c r="P65" i="1"/>
  <c r="J98" i="1"/>
  <c r="G48" i="1"/>
  <c r="P66" i="1"/>
  <c r="N66" i="1"/>
  <c r="P56" i="1"/>
  <c r="K91" i="1"/>
  <c r="H91" i="1"/>
  <c r="C91" i="1"/>
  <c r="E91" i="1"/>
  <c r="N56" i="1"/>
  <c r="I91" i="1"/>
  <c r="F91" i="1"/>
  <c r="D91" i="1"/>
  <c r="J91" i="1"/>
  <c r="G91" i="1"/>
  <c r="H82" i="1"/>
  <c r="G82" i="1"/>
  <c r="E83" i="1"/>
  <c r="K82" i="1"/>
  <c r="F82" i="1"/>
  <c r="J83" i="1"/>
  <c r="G83" i="1"/>
  <c r="J82" i="1"/>
  <c r="F83" i="1"/>
  <c r="C83" i="1"/>
  <c r="D82" i="1"/>
  <c r="H83" i="1"/>
  <c r="C82" i="1"/>
  <c r="I82" i="1"/>
  <c r="E82" i="1"/>
  <c r="K83" i="1"/>
  <c r="I83" i="1"/>
  <c r="D83" i="1"/>
  <c r="G79" i="1"/>
  <c r="N61" i="1"/>
  <c r="C79" i="1"/>
  <c r="E78" i="1"/>
  <c r="F79" i="1"/>
  <c r="I79" i="1"/>
  <c r="H79" i="1"/>
  <c r="D78" i="1"/>
  <c r="C78" i="1"/>
  <c r="H78" i="1"/>
  <c r="E79" i="1"/>
  <c r="F78" i="1"/>
  <c r="I78" i="1"/>
  <c r="K79" i="1"/>
  <c r="G78" i="1"/>
  <c r="J79" i="1"/>
  <c r="J78" i="1"/>
  <c r="K78" i="1"/>
  <c r="P61" i="1"/>
  <c r="D79" i="1"/>
  <c r="N63" i="1"/>
  <c r="H48" i="1"/>
  <c r="H49" i="1" s="1"/>
  <c r="F125" i="1" s="1"/>
  <c r="P63" i="1"/>
  <c r="L87" i="1"/>
  <c r="M87" i="1" s="1"/>
  <c r="N87" i="1"/>
  <c r="L100" i="1"/>
  <c r="M100" i="1" s="1"/>
  <c r="N100" i="1"/>
  <c r="L136" i="1"/>
  <c r="M136" i="1" s="1"/>
  <c r="L88" i="1"/>
  <c r="M88" i="1" s="1"/>
  <c r="I75" i="1"/>
  <c r="E75" i="1"/>
  <c r="P67" i="1"/>
  <c r="C75" i="1"/>
  <c r="G75" i="1"/>
  <c r="K75" i="1"/>
  <c r="H75" i="1"/>
  <c r="D75" i="1"/>
  <c r="J75" i="1"/>
  <c r="N67" i="1"/>
  <c r="F75" i="1"/>
  <c r="L76" i="1"/>
  <c r="M76" i="1" s="1"/>
  <c r="I48" i="1"/>
  <c r="I49" i="1" s="1"/>
  <c r="F97" i="1" s="1"/>
  <c r="N62" i="1"/>
  <c r="P62" i="1"/>
  <c r="N60" i="1"/>
  <c r="P60" i="1"/>
  <c r="L47" i="1"/>
  <c r="P101" i="1"/>
  <c r="N101" i="1"/>
  <c r="H47" i="1"/>
  <c r="L102" i="1"/>
  <c r="M102" i="1" s="1"/>
  <c r="N102" i="1"/>
  <c r="N59" i="1"/>
  <c r="P59" i="1"/>
  <c r="N68" i="1"/>
  <c r="P68" i="1"/>
  <c r="C47" i="1"/>
  <c r="G125" i="1"/>
  <c r="D125" i="1"/>
  <c r="H125" i="1"/>
  <c r="B2" i="3"/>
  <c r="K125" i="1"/>
  <c r="E125" i="1"/>
  <c r="I125" i="1"/>
  <c r="J125" i="1"/>
  <c r="P124" i="1"/>
  <c r="N124" i="1"/>
  <c r="C125" i="1" l="1"/>
  <c r="L78" i="1"/>
  <c r="M78" i="1" s="1"/>
  <c r="P78" i="1" s="1"/>
  <c r="N78" i="1"/>
  <c r="J130" i="1"/>
  <c r="D130" i="1"/>
  <c r="E130" i="1"/>
  <c r="H130" i="1"/>
  <c r="C130" i="1"/>
  <c r="K130" i="1"/>
  <c r="G130" i="1"/>
  <c r="F130" i="1"/>
  <c r="P76" i="1"/>
  <c r="I130" i="1"/>
  <c r="I77" i="1"/>
  <c r="H77" i="1"/>
  <c r="E77" i="1"/>
  <c r="J77" i="1"/>
  <c r="K77" i="1"/>
  <c r="C77" i="1"/>
  <c r="D77" i="1"/>
  <c r="G77" i="1"/>
  <c r="F77" i="1"/>
  <c r="E99" i="1"/>
  <c r="L83" i="1"/>
  <c r="M83" i="1" s="1"/>
  <c r="P83" i="1" s="1"/>
  <c r="L79" i="1"/>
  <c r="M79" i="1" s="1"/>
  <c r="P81" i="1"/>
  <c r="F89" i="1"/>
  <c r="J89" i="1"/>
  <c r="G89" i="1"/>
  <c r="K89" i="1"/>
  <c r="H89" i="1"/>
  <c r="C89" i="1"/>
  <c r="D89" i="1"/>
  <c r="P87" i="1"/>
  <c r="E89" i="1"/>
  <c r="I89" i="1"/>
  <c r="N76" i="1"/>
  <c r="P102" i="1"/>
  <c r="I47" i="1"/>
  <c r="N136" i="1"/>
  <c r="P136" i="1"/>
  <c r="G47" i="1"/>
  <c r="G49" i="1" s="1"/>
  <c r="D97" i="1" s="1"/>
  <c r="P100" i="1"/>
  <c r="L125" i="1"/>
  <c r="M125" i="1" s="1"/>
  <c r="L91" i="1"/>
  <c r="M91" i="1" s="1"/>
  <c r="N91" i="1"/>
  <c r="L82" i="1"/>
  <c r="M82" i="1" s="1"/>
  <c r="P88" i="1"/>
  <c r="D48" i="1"/>
  <c r="N88" i="1"/>
  <c r="C2" i="3"/>
  <c r="L98" i="1"/>
  <c r="M98" i="1" s="1"/>
  <c r="J99" i="1" s="1"/>
  <c r="L75" i="1"/>
  <c r="M75" i="1" s="1"/>
  <c r="J85" i="1" s="1"/>
  <c r="D137" i="1"/>
  <c r="G137" i="1"/>
  <c r="C137" i="1"/>
  <c r="E137" i="1"/>
  <c r="J137" i="1"/>
  <c r="K137" i="1"/>
  <c r="E97" i="1"/>
  <c r="F137" i="1"/>
  <c r="H137" i="1"/>
  <c r="I137" i="1"/>
  <c r="F85" i="1" l="1"/>
  <c r="K85" i="1"/>
  <c r="K99" i="1"/>
  <c r="E85" i="1"/>
  <c r="D99" i="1"/>
  <c r="F126" i="1"/>
  <c r="J126" i="1"/>
  <c r="H126" i="1"/>
  <c r="E126" i="1"/>
  <c r="P125" i="1"/>
  <c r="B3" i="3"/>
  <c r="K126" i="1"/>
  <c r="D126" i="1"/>
  <c r="C126" i="1"/>
  <c r="I126" i="1"/>
  <c r="G126" i="1"/>
  <c r="L97" i="1"/>
  <c r="M97" i="1" s="1"/>
  <c r="D135" i="1"/>
  <c r="K80" i="1"/>
  <c r="F135" i="1"/>
  <c r="J80" i="1"/>
  <c r="H80" i="1"/>
  <c r="C80" i="1"/>
  <c r="I135" i="1"/>
  <c r="K135" i="1"/>
  <c r="D80" i="1"/>
  <c r="G80" i="1"/>
  <c r="I80" i="1"/>
  <c r="J135" i="1"/>
  <c r="C135" i="1"/>
  <c r="F80" i="1"/>
  <c r="E80" i="1"/>
  <c r="P75" i="1"/>
  <c r="H135" i="1"/>
  <c r="G135" i="1"/>
  <c r="E135" i="1"/>
  <c r="L130" i="1"/>
  <c r="M130" i="1" s="1"/>
  <c r="P130" i="1" s="1"/>
  <c r="N130" i="1"/>
  <c r="N75" i="1"/>
  <c r="I84" i="1"/>
  <c r="I95" i="1"/>
  <c r="P82" i="1"/>
  <c r="C95" i="1"/>
  <c r="H84" i="1"/>
  <c r="F84" i="1"/>
  <c r="E95" i="1"/>
  <c r="G95" i="1"/>
  <c r="J95" i="1"/>
  <c r="K95" i="1"/>
  <c r="J84" i="1"/>
  <c r="H95" i="1"/>
  <c r="F95" i="1"/>
  <c r="E84" i="1"/>
  <c r="G84" i="1"/>
  <c r="K84" i="1"/>
  <c r="C84" i="1"/>
  <c r="D95" i="1"/>
  <c r="D84" i="1"/>
  <c r="N82" i="1"/>
  <c r="G99" i="1"/>
  <c r="G94" i="1"/>
  <c r="K94" i="1"/>
  <c r="C94" i="1"/>
  <c r="P79" i="1"/>
  <c r="J94" i="1"/>
  <c r="D94" i="1"/>
  <c r="F94" i="1"/>
  <c r="I94" i="1"/>
  <c r="E94" i="1"/>
  <c r="H94" i="1"/>
  <c r="D85" i="1"/>
  <c r="N79" i="1"/>
  <c r="L89" i="1"/>
  <c r="M89" i="1" s="1"/>
  <c r="N89" i="1" s="1"/>
  <c r="L77" i="1"/>
  <c r="M77" i="1" s="1"/>
  <c r="N77" i="1" s="1"/>
  <c r="F103" i="1"/>
  <c r="P98" i="1"/>
  <c r="G103" i="1"/>
  <c r="I103" i="1"/>
  <c r="K103" i="1"/>
  <c r="D103" i="1"/>
  <c r="C103" i="1"/>
  <c r="H103" i="1"/>
  <c r="J103" i="1"/>
  <c r="E103" i="1"/>
  <c r="B48" i="1"/>
  <c r="P91" i="1"/>
  <c r="C99" i="1"/>
  <c r="H85" i="1"/>
  <c r="I99" i="1"/>
  <c r="G85" i="1"/>
  <c r="I85" i="1"/>
  <c r="N98" i="1"/>
  <c r="F99" i="1"/>
  <c r="H99" i="1"/>
  <c r="L137" i="1"/>
  <c r="M137" i="1" s="1"/>
  <c r="P137" i="1" s="1"/>
  <c r="N125" i="1"/>
  <c r="C85" i="1"/>
  <c r="N83" i="1"/>
  <c r="L85" i="1" l="1"/>
  <c r="M85" i="1" s="1"/>
  <c r="L126" i="1"/>
  <c r="M126" i="1" s="1"/>
  <c r="N126" i="1" s="1"/>
  <c r="C3" i="3"/>
  <c r="D3" i="3"/>
  <c r="D2" i="3" s="1"/>
  <c r="N137" i="1"/>
  <c r="L80" i="1"/>
  <c r="M80" i="1" s="1"/>
  <c r="P80" i="1" s="1"/>
  <c r="L84" i="1"/>
  <c r="M84" i="1" s="1"/>
  <c r="N84" i="1"/>
  <c r="L95" i="1"/>
  <c r="M95" i="1" s="1"/>
  <c r="N95" i="1"/>
  <c r="P77" i="1"/>
  <c r="K119" i="1"/>
  <c r="H119" i="1"/>
  <c r="E119" i="1"/>
  <c r="J119" i="1"/>
  <c r="C119" i="1"/>
  <c r="F119" i="1"/>
  <c r="D119" i="1"/>
  <c r="I119" i="1"/>
  <c r="G119" i="1"/>
  <c r="P97" i="1"/>
  <c r="N97" i="1"/>
  <c r="P89" i="1"/>
  <c r="D47" i="1"/>
  <c r="D49" i="1" s="1"/>
  <c r="L94" i="1"/>
  <c r="M94" i="1" s="1"/>
  <c r="N94" i="1" s="1"/>
  <c r="L103" i="1"/>
  <c r="M103" i="1" s="1"/>
  <c r="N103" i="1" s="1"/>
  <c r="L99" i="1"/>
  <c r="M99" i="1" s="1"/>
  <c r="P99" i="1" s="1"/>
  <c r="L135" i="1"/>
  <c r="M135" i="1" s="1"/>
  <c r="N135" i="1" s="1"/>
  <c r="N99" i="1" l="1"/>
  <c r="D90" i="1"/>
  <c r="E90" i="1"/>
  <c r="K90" i="1"/>
  <c r="J90" i="1"/>
  <c r="F90" i="1"/>
  <c r="H90" i="1"/>
  <c r="I90" i="1"/>
  <c r="C90" i="1"/>
  <c r="G90" i="1"/>
  <c r="E48" i="1"/>
  <c r="E49" i="1" s="1"/>
  <c r="P95" i="1"/>
  <c r="J138" i="1"/>
  <c r="D138" i="1"/>
  <c r="F138" i="1"/>
  <c r="I138" i="1"/>
  <c r="K138" i="1"/>
  <c r="C138" i="1"/>
  <c r="G138" i="1"/>
  <c r="E138" i="1"/>
  <c r="P84" i="1"/>
  <c r="H138" i="1"/>
  <c r="P126" i="1"/>
  <c r="B4" i="3"/>
  <c r="P94" i="1"/>
  <c r="E47" i="1"/>
  <c r="H86" i="1"/>
  <c r="C86" i="1"/>
  <c r="E86" i="1"/>
  <c r="I86" i="1"/>
  <c r="P85" i="1"/>
  <c r="F86" i="1"/>
  <c r="K86" i="1"/>
  <c r="J86" i="1"/>
  <c r="G86" i="1"/>
  <c r="D86" i="1"/>
  <c r="P103" i="1"/>
  <c r="J47" i="1"/>
  <c r="L119" i="1"/>
  <c r="M119" i="1" s="1"/>
  <c r="N119" i="1" s="1"/>
  <c r="P135" i="1"/>
  <c r="N80" i="1"/>
  <c r="N85" i="1"/>
  <c r="J96" i="1" l="1"/>
  <c r="H96" i="1"/>
  <c r="D96" i="1"/>
  <c r="I96" i="1"/>
  <c r="C96" i="1"/>
  <c r="K96" i="1"/>
  <c r="F96" i="1"/>
  <c r="G96" i="1"/>
  <c r="E96" i="1"/>
  <c r="L138" i="1"/>
  <c r="M138" i="1" s="1"/>
  <c r="N138" i="1" s="1"/>
  <c r="L90" i="1"/>
  <c r="M90" i="1" s="1"/>
  <c r="D4" i="3"/>
  <c r="E4" i="3"/>
  <c r="C4" i="3"/>
  <c r="L86" i="1"/>
  <c r="M86" i="1" s="1"/>
  <c r="N86" i="1" s="1"/>
  <c r="P119" i="1"/>
  <c r="F4" i="3" l="1"/>
  <c r="G4" i="3" s="1"/>
  <c r="H4" i="3" s="1"/>
  <c r="E2" i="3"/>
  <c r="F2" i="3" s="1"/>
  <c r="G2" i="3" s="1"/>
  <c r="E3" i="3"/>
  <c r="F3" i="3" s="1"/>
  <c r="G3" i="3" s="1"/>
  <c r="H3" i="3" s="1"/>
  <c r="C92" i="1"/>
  <c r="J116" i="1"/>
  <c r="F92" i="1"/>
  <c r="D116" i="1"/>
  <c r="J92" i="1"/>
  <c r="E92" i="1"/>
  <c r="I92" i="1"/>
  <c r="G116" i="1"/>
  <c r="D92" i="1"/>
  <c r="C116" i="1"/>
  <c r="H92" i="1"/>
  <c r="I116" i="1"/>
  <c r="G92" i="1"/>
  <c r="F116" i="1"/>
  <c r="E116" i="1"/>
  <c r="H116" i="1"/>
  <c r="K92" i="1"/>
  <c r="P86" i="1"/>
  <c r="K116" i="1"/>
  <c r="C131" i="1"/>
  <c r="D131" i="1"/>
  <c r="G131" i="1"/>
  <c r="F131" i="1"/>
  <c r="H131" i="1"/>
  <c r="K131" i="1"/>
  <c r="E131" i="1"/>
  <c r="J131" i="1"/>
  <c r="I131" i="1"/>
  <c r="P90" i="1"/>
  <c r="J118" i="1"/>
  <c r="D118" i="1"/>
  <c r="E118" i="1"/>
  <c r="C118" i="1"/>
  <c r="F118" i="1"/>
  <c r="G118" i="1"/>
  <c r="I118" i="1"/>
  <c r="K118" i="1"/>
  <c r="H118" i="1"/>
  <c r="P138" i="1"/>
  <c r="L96" i="1"/>
  <c r="M96" i="1" s="1"/>
  <c r="N96" i="1" s="1"/>
  <c r="N90" i="1"/>
  <c r="L92" i="1" l="1"/>
  <c r="M92" i="1" s="1"/>
  <c r="N92" i="1" s="1"/>
  <c r="P96" i="1"/>
  <c r="J120" i="1"/>
  <c r="K120" i="1"/>
  <c r="C120" i="1"/>
  <c r="H120" i="1"/>
  <c r="G120" i="1"/>
  <c r="I120" i="1"/>
  <c r="F120" i="1"/>
  <c r="E120" i="1"/>
  <c r="D120" i="1"/>
  <c r="C7" i="3"/>
  <c r="H2" i="3"/>
  <c r="D7" i="3" s="1"/>
  <c r="L118" i="1"/>
  <c r="M118" i="1" s="1"/>
  <c r="L131" i="1"/>
  <c r="M131" i="1" s="1"/>
  <c r="P131" i="1" s="1"/>
  <c r="L116" i="1"/>
  <c r="M116" i="1" s="1"/>
  <c r="E7" i="3"/>
  <c r="P116" i="1" l="1"/>
  <c r="I128" i="1"/>
  <c r="J128" i="1"/>
  <c r="H128" i="1"/>
  <c r="C128" i="1"/>
  <c r="G128" i="1"/>
  <c r="E128" i="1"/>
  <c r="F128" i="1"/>
  <c r="K128" i="1"/>
  <c r="D128" i="1"/>
  <c r="P118" i="1"/>
  <c r="N118" i="1"/>
  <c r="D9" i="3"/>
  <c r="D10" i="3"/>
  <c r="D11" i="3"/>
  <c r="N116" i="1"/>
  <c r="B7" i="3"/>
  <c r="E9" i="3"/>
  <c r="E10" i="3"/>
  <c r="E11" i="3"/>
  <c r="N131" i="1"/>
  <c r="L120" i="1"/>
  <c r="M120" i="1" s="1"/>
  <c r="C9" i="3"/>
  <c r="C10" i="3"/>
  <c r="C11" i="3"/>
  <c r="B47" i="1"/>
  <c r="B49" i="1" s="1"/>
  <c r="P92" i="1"/>
  <c r="P120" i="1" l="1"/>
  <c r="L128" i="1"/>
  <c r="M128" i="1" s="1"/>
  <c r="P128" i="1" s="1"/>
  <c r="N120" i="1"/>
  <c r="B9" i="3"/>
  <c r="F9" i="3" s="1"/>
  <c r="G9" i="3" s="1"/>
  <c r="B10" i="3"/>
  <c r="F10" i="3" s="1"/>
  <c r="G10" i="3" s="1"/>
  <c r="B11" i="3"/>
  <c r="F11" i="3" s="1"/>
  <c r="G11" i="3" s="1"/>
  <c r="H11" i="3" s="1"/>
  <c r="F93" i="1"/>
  <c r="H93" i="1"/>
  <c r="E93" i="1"/>
  <c r="G121" i="1"/>
  <c r="J93" i="1"/>
  <c r="C93" i="1"/>
  <c r="H121" i="1"/>
  <c r="E121" i="1"/>
  <c r="K93" i="1"/>
  <c r="I93" i="1"/>
  <c r="D93" i="1"/>
  <c r="G93" i="1"/>
  <c r="C121" i="1"/>
  <c r="K121" i="1"/>
  <c r="I121" i="1"/>
  <c r="D121" i="1"/>
  <c r="J121" i="1"/>
  <c r="F121" i="1"/>
  <c r="D123" i="1" l="1"/>
  <c r="G123" i="1"/>
  <c r="K123" i="1"/>
  <c r="L121" i="1"/>
  <c r="M121" i="1" s="1"/>
  <c r="N121" i="1" s="1"/>
  <c r="E14" i="3"/>
  <c r="I11" i="3"/>
  <c r="C123" i="1"/>
  <c r="N128" i="1"/>
  <c r="E123" i="1"/>
  <c r="I123" i="1"/>
  <c r="L93" i="1"/>
  <c r="M93" i="1" s="1"/>
  <c r="N93" i="1" s="1"/>
  <c r="H10" i="3"/>
  <c r="F123" i="1"/>
  <c r="H9" i="3"/>
  <c r="J123" i="1"/>
  <c r="H123" i="1"/>
  <c r="L123" i="1" l="1"/>
  <c r="M123" i="1" s="1"/>
  <c r="P123" i="1" s="1"/>
  <c r="N123" i="1"/>
  <c r="P121" i="1"/>
  <c r="E129" i="1"/>
  <c r="I129" i="1"/>
  <c r="G129" i="1"/>
  <c r="K129" i="1"/>
  <c r="C129" i="1"/>
  <c r="E16" i="3"/>
  <c r="E17" i="3"/>
  <c r="E18" i="3"/>
  <c r="B14" i="3"/>
  <c r="I9" i="3"/>
  <c r="D14" i="3"/>
  <c r="C14" i="3"/>
  <c r="I10" i="3"/>
  <c r="P93" i="1"/>
  <c r="G117" i="1"/>
  <c r="E117" i="1"/>
  <c r="J117" i="1"/>
  <c r="D117" i="1"/>
  <c r="C117" i="1"/>
  <c r="H117" i="1"/>
  <c r="K117" i="1"/>
  <c r="F117" i="1"/>
  <c r="I117" i="1"/>
  <c r="L129" i="1" l="1"/>
  <c r="D16" i="3"/>
  <c r="D17" i="3"/>
  <c r="D18" i="3"/>
  <c r="L117" i="1"/>
  <c r="M117" i="1" s="1"/>
  <c r="B16" i="3"/>
  <c r="B17" i="3"/>
  <c r="B18" i="3"/>
  <c r="C16" i="3"/>
  <c r="C17" i="3"/>
  <c r="C18" i="3"/>
  <c r="F18" i="3" l="1"/>
  <c r="G18" i="3" s="1"/>
  <c r="H18" i="3" s="1"/>
  <c r="E21" i="3"/>
  <c r="I18" i="3"/>
  <c r="C70" i="1"/>
  <c r="P117" i="1"/>
  <c r="I70" i="1"/>
  <c r="K70" i="1"/>
  <c r="E70" i="1"/>
  <c r="G70" i="1"/>
  <c r="I139" i="1"/>
  <c r="J139" i="1"/>
  <c r="C139" i="1"/>
  <c r="E139" i="1"/>
  <c r="G139" i="1"/>
  <c r="D139" i="1"/>
  <c r="H139" i="1"/>
  <c r="F139" i="1"/>
  <c r="K139" i="1"/>
  <c r="F17" i="3"/>
  <c r="G17" i="3" s="1"/>
  <c r="H17" i="3" s="1"/>
  <c r="F16" i="3"/>
  <c r="G16" i="3" s="1"/>
  <c r="H16" i="3" s="1"/>
  <c r="N117" i="1"/>
  <c r="C10" i="1"/>
  <c r="C9" i="1"/>
  <c r="M129" i="1"/>
  <c r="L70" i="1" l="1"/>
  <c r="M70" i="1" s="1"/>
  <c r="N70" i="1" s="1"/>
  <c r="P129" i="1"/>
  <c r="N129" i="1"/>
  <c r="C21" i="3"/>
  <c r="D21" i="3"/>
  <c r="I17" i="3"/>
  <c r="B21" i="3"/>
  <c r="I16" i="3"/>
  <c r="L139" i="1"/>
  <c r="M139" i="1" s="1"/>
  <c r="N139" i="1" s="1"/>
  <c r="E23" i="3"/>
  <c r="E24" i="3"/>
  <c r="E25" i="3"/>
  <c r="B23" i="3" l="1"/>
  <c r="B24" i="3"/>
  <c r="B25" i="3"/>
  <c r="D23" i="3"/>
  <c r="D24" i="3"/>
  <c r="D25" i="3"/>
  <c r="C23" i="3"/>
  <c r="C24" i="3"/>
  <c r="C25" i="3"/>
  <c r="C122" i="1"/>
  <c r="P139" i="1"/>
  <c r="J122" i="1"/>
  <c r="D122" i="1"/>
  <c r="F122" i="1"/>
  <c r="H122" i="1"/>
  <c r="I122" i="1"/>
  <c r="G122" i="1"/>
  <c r="E122" i="1"/>
  <c r="K122" i="1"/>
  <c r="K140" i="1"/>
  <c r="C140" i="1"/>
  <c r="G140" i="1"/>
  <c r="E140" i="1"/>
  <c r="J140" i="1"/>
  <c r="H140" i="1"/>
  <c r="F140" i="1"/>
  <c r="I140" i="1"/>
  <c r="D140" i="1"/>
  <c r="P70" i="1"/>
  <c r="F48" i="1"/>
  <c r="F25" i="3" l="1"/>
  <c r="G25" i="3" s="1"/>
  <c r="H25" i="3" s="1"/>
  <c r="L140" i="1"/>
  <c r="M140" i="1" s="1"/>
  <c r="P140" i="1" s="1"/>
  <c r="L122" i="1"/>
  <c r="M122" i="1" s="1"/>
  <c r="P122" i="1" s="1"/>
  <c r="N122" i="1"/>
  <c r="E28" i="3"/>
  <c r="I25" i="3"/>
  <c r="F24" i="3"/>
  <c r="G24" i="3" s="1"/>
  <c r="H24" i="3" s="1"/>
  <c r="F23" i="3"/>
  <c r="G23" i="3" s="1"/>
  <c r="H23" i="3" s="1"/>
  <c r="D28" i="3" l="1"/>
  <c r="C28" i="3"/>
  <c r="I24" i="3"/>
  <c r="E30" i="3"/>
  <c r="E31" i="3"/>
  <c r="E32" i="3"/>
  <c r="B28" i="3"/>
  <c r="I23" i="3"/>
  <c r="N140" i="1"/>
  <c r="C30" i="3" l="1"/>
  <c r="C31" i="3"/>
  <c r="C32" i="3"/>
  <c r="D30" i="3"/>
  <c r="D31" i="3"/>
  <c r="D32" i="3"/>
  <c r="B30" i="3"/>
  <c r="F30" i="3" s="1"/>
  <c r="G30" i="3" s="1"/>
  <c r="B31" i="3"/>
  <c r="F31" i="3" s="1"/>
  <c r="G31" i="3" s="1"/>
  <c r="B32" i="3"/>
  <c r="F32" i="3" s="1"/>
  <c r="G32" i="3" s="1"/>
  <c r="H32" i="3" s="1"/>
  <c r="H31" i="3" l="1"/>
  <c r="E35" i="3"/>
  <c r="I32" i="3"/>
  <c r="H30" i="3"/>
  <c r="D35" i="3" l="1"/>
  <c r="C35" i="3"/>
  <c r="I31" i="3"/>
  <c r="B35" i="3"/>
  <c r="I30" i="3"/>
  <c r="E37" i="3"/>
  <c r="E38" i="3"/>
  <c r="E39" i="3"/>
  <c r="B37" i="3" l="1"/>
  <c r="B38" i="3"/>
  <c r="B39" i="3"/>
  <c r="C37" i="3"/>
  <c r="C38" i="3"/>
  <c r="C39" i="3"/>
  <c r="D37" i="3"/>
  <c r="D38" i="3"/>
  <c r="D39" i="3"/>
  <c r="F39" i="3" l="1"/>
  <c r="G39" i="3" s="1"/>
  <c r="H39" i="3" s="1"/>
  <c r="F38" i="3"/>
  <c r="G38" i="3" s="1"/>
  <c r="H38" i="3" s="1"/>
  <c r="F37" i="3"/>
  <c r="G37" i="3" s="1"/>
  <c r="H37" i="3" l="1"/>
  <c r="B42" i="3"/>
  <c r="I37" i="3"/>
  <c r="D42" i="3"/>
  <c r="C42" i="3"/>
  <c r="I38" i="3"/>
  <c r="E42" i="3"/>
  <c r="I39" i="3"/>
  <c r="E44" i="3" l="1"/>
  <c r="E45" i="3"/>
  <c r="E46" i="3"/>
  <c r="D44" i="3"/>
  <c r="D45" i="3"/>
  <c r="D46" i="3"/>
  <c r="B44" i="3"/>
  <c r="B45" i="3"/>
  <c r="B46" i="3"/>
  <c r="C44" i="3"/>
  <c r="C45" i="3"/>
  <c r="C46" i="3"/>
  <c r="F46" i="3" l="1"/>
  <c r="G46" i="3" s="1"/>
  <c r="H46" i="3" s="1"/>
  <c r="F45" i="3"/>
  <c r="G45" i="3" s="1"/>
  <c r="F44" i="3"/>
  <c r="G44" i="3" s="1"/>
  <c r="E49" i="3" l="1"/>
  <c r="I46" i="3"/>
  <c r="H44" i="3"/>
  <c r="H45" i="3"/>
  <c r="E51" i="3" l="1"/>
  <c r="E52" i="3"/>
  <c r="E53" i="3"/>
  <c r="D49" i="3"/>
  <c r="C49" i="3"/>
  <c r="I45" i="3"/>
  <c r="B49" i="3"/>
  <c r="I44" i="3"/>
  <c r="B51" i="3" l="1"/>
  <c r="F51" i="3" s="1"/>
  <c r="G51" i="3" s="1"/>
  <c r="B52" i="3"/>
  <c r="B53" i="3"/>
  <c r="C51" i="3"/>
  <c r="C52" i="3"/>
  <c r="C53" i="3"/>
  <c r="D51" i="3"/>
  <c r="D52" i="3"/>
  <c r="D53" i="3"/>
  <c r="F53" i="3" l="1"/>
  <c r="G53" i="3" s="1"/>
  <c r="H53" i="3" s="1"/>
  <c r="F52" i="3"/>
  <c r="G52" i="3" s="1"/>
  <c r="H52" i="3" s="1"/>
  <c r="H51" i="3" l="1"/>
  <c r="B56" i="3" s="1"/>
  <c r="C56" i="3"/>
  <c r="I52" i="3"/>
  <c r="E56" i="3"/>
  <c r="I53" i="3"/>
  <c r="D56" i="3" l="1"/>
  <c r="I51" i="3"/>
  <c r="C58" i="3"/>
  <c r="C59" i="3"/>
  <c r="C60" i="3"/>
  <c r="E58" i="3"/>
  <c r="E59" i="3"/>
  <c r="E60" i="3"/>
  <c r="D58" i="3"/>
  <c r="D59" i="3"/>
  <c r="D60" i="3"/>
  <c r="B58" i="3"/>
  <c r="B59" i="3"/>
  <c r="B60" i="3"/>
  <c r="F60" i="3" s="1"/>
  <c r="G60" i="3" s="1"/>
  <c r="H60" i="3" s="1"/>
  <c r="F59" i="3" l="1"/>
  <c r="G59" i="3" s="1"/>
  <c r="H59" i="3" s="1"/>
  <c r="C63" i="3" s="1"/>
  <c r="F58" i="3"/>
  <c r="G58" i="3" s="1"/>
  <c r="E63" i="3"/>
  <c r="I60" i="3"/>
  <c r="H58" i="3" l="1"/>
  <c r="B63" i="3" s="1"/>
  <c r="I59" i="3"/>
  <c r="E65" i="3"/>
  <c r="E66" i="3"/>
  <c r="E67" i="3"/>
  <c r="C65" i="3"/>
  <c r="C66" i="3"/>
  <c r="C67" i="3"/>
  <c r="D63" i="3" l="1"/>
  <c r="D65" i="3" s="1"/>
  <c r="I58" i="3"/>
  <c r="B65" i="3"/>
  <c r="B66" i="3"/>
  <c r="B67" i="3"/>
  <c r="F66" i="3" l="1"/>
  <c r="G66" i="3" s="1"/>
  <c r="F65" i="3"/>
  <c r="G65" i="3" s="1"/>
  <c r="D67" i="3"/>
  <c r="F67" i="3" s="1"/>
  <c r="G67" i="3" s="1"/>
  <c r="D66" i="3"/>
  <c r="H67" i="3" l="1"/>
  <c r="H65" i="3"/>
  <c r="H66" i="3"/>
  <c r="B70" i="3"/>
  <c r="I65" i="3"/>
  <c r="D70" i="3"/>
  <c r="C70" i="3" l="1"/>
  <c r="I66" i="3"/>
  <c r="E70" i="3"/>
  <c r="I67" i="3"/>
  <c r="C15" i="1"/>
  <c r="D72" i="3"/>
  <c r="D73" i="3"/>
  <c r="D74" i="3"/>
  <c r="C13" i="1"/>
  <c r="B72" i="3"/>
  <c r="B73" i="3"/>
  <c r="B74" i="3"/>
  <c r="E73" i="3" l="1"/>
  <c r="E72" i="3"/>
  <c r="E74" i="3"/>
  <c r="C16" i="1"/>
  <c r="C72" i="3"/>
  <c r="F72" i="3" s="1"/>
  <c r="G72" i="3" s="1"/>
  <c r="C73" i="3"/>
  <c r="F73" i="3" s="1"/>
  <c r="G73" i="3" s="1"/>
  <c r="C74" i="3"/>
  <c r="F74" i="3" s="1"/>
  <c r="G74" i="3" s="1"/>
  <c r="H74" i="3" s="1"/>
  <c r="I74" i="3" s="1"/>
  <c r="C14" i="1"/>
  <c r="H73" i="3" l="1"/>
  <c r="I73" i="3" s="1"/>
  <c r="H72" i="3"/>
  <c r="I72" i="3" s="1"/>
</calcChain>
</file>

<file path=xl/sharedStrings.xml><?xml version="1.0" encoding="utf-8"?>
<sst xmlns="http://schemas.openxmlformats.org/spreadsheetml/2006/main" count="589" uniqueCount="310">
  <si>
    <t>预设工厂选取</t>
    <phoneticPr fontId="2" type="noConversion"/>
  </si>
  <si>
    <t>制造台</t>
    <phoneticPr fontId="2" type="noConversion"/>
  </si>
  <si>
    <t>熔炉</t>
    <phoneticPr fontId="2" type="noConversion"/>
  </si>
  <si>
    <t>化工厂</t>
    <phoneticPr fontId="2" type="noConversion"/>
  </si>
  <si>
    <t>精炼厂</t>
    <phoneticPr fontId="2" type="noConversion"/>
  </si>
  <si>
    <t>对撞机</t>
    <phoneticPr fontId="2" type="noConversion"/>
  </si>
  <si>
    <t>研究站（堆叠）</t>
    <phoneticPr fontId="2" type="noConversion"/>
  </si>
  <si>
    <t>分馏塔（每秒转速、此时耗电）</t>
    <phoneticPr fontId="2" type="noConversion"/>
  </si>
  <si>
    <t>设备倍率</t>
    <phoneticPr fontId="2" type="noConversion"/>
  </si>
  <si>
    <t>设备耗能(MW)</t>
    <phoneticPr fontId="2" type="noConversion"/>
  </si>
  <si>
    <t>预设工厂面积</t>
    <phoneticPr fontId="2" type="noConversion"/>
  </si>
  <si>
    <t>熔炉+2带</t>
    <phoneticPr fontId="2" type="noConversion"/>
  </si>
  <si>
    <t>熔炉+4带</t>
    <phoneticPr fontId="2" type="noConversion"/>
  </si>
  <si>
    <t>制造台+2带</t>
    <phoneticPr fontId="2" type="noConversion"/>
  </si>
  <si>
    <t>制造台+3带</t>
    <phoneticPr fontId="2" type="noConversion"/>
  </si>
  <si>
    <t>制造台+4带</t>
    <phoneticPr fontId="2" type="noConversion"/>
  </si>
  <si>
    <t>制造台+5带</t>
    <phoneticPr fontId="2" type="noConversion"/>
  </si>
  <si>
    <t>化工厂+2带</t>
    <phoneticPr fontId="2" type="noConversion"/>
  </si>
  <si>
    <t>化工厂+3带</t>
    <phoneticPr fontId="2" type="noConversion"/>
  </si>
  <si>
    <t>对撞机+2带</t>
    <phoneticPr fontId="2" type="noConversion"/>
  </si>
  <si>
    <t>对撞机+3带</t>
    <phoneticPr fontId="2" type="noConversion"/>
  </si>
  <si>
    <t>对撞机+4带</t>
    <phoneticPr fontId="2" type="noConversion"/>
  </si>
  <si>
    <t>精炼厂+2带</t>
    <phoneticPr fontId="2" type="noConversion"/>
  </si>
  <si>
    <t>精炼厂+3带</t>
    <phoneticPr fontId="2" type="noConversion"/>
  </si>
  <si>
    <t>研究站+1带</t>
    <phoneticPr fontId="2" type="noConversion"/>
  </si>
  <si>
    <t>研究站+3带</t>
    <phoneticPr fontId="2" type="noConversion"/>
  </si>
  <si>
    <t>研究站+7带</t>
    <phoneticPr fontId="2" type="noConversion"/>
  </si>
  <si>
    <t>小太阳</t>
    <phoneticPr fontId="2" type="noConversion"/>
  </si>
  <si>
    <t>射线接收站</t>
    <phoneticPr fontId="2" type="noConversion"/>
  </si>
  <si>
    <t>分馏塔</t>
    <phoneticPr fontId="2" type="noConversion"/>
  </si>
  <si>
    <t>抽水机</t>
    <phoneticPr fontId="2" type="noConversion"/>
  </si>
  <si>
    <t>新极密铺情况下占地面积</t>
    <phoneticPr fontId="2" type="noConversion"/>
  </si>
  <si>
    <t>1MW发电占地</t>
    <phoneticPr fontId="2" type="noConversion"/>
  </si>
  <si>
    <t>你所选择的发电方式</t>
    <phoneticPr fontId="2" type="noConversion"/>
  </si>
  <si>
    <t>此配方下实际值(带产线）</t>
    <phoneticPr fontId="2" type="noConversion"/>
  </si>
  <si>
    <t>仅计算发电厂的大小</t>
    <phoneticPr fontId="2" type="noConversion"/>
  </si>
  <si>
    <t>第一次输入参数</t>
    <phoneticPr fontId="1" type="noConversion"/>
  </si>
  <si>
    <t>第一次实际值</t>
    <phoneticPr fontId="1" type="noConversion"/>
  </si>
  <si>
    <t>第二次输入参数</t>
    <phoneticPr fontId="1" type="noConversion"/>
  </si>
  <si>
    <t>第二次实际值</t>
    <phoneticPr fontId="1" type="noConversion"/>
  </si>
  <si>
    <t>预计真实值</t>
    <phoneticPr fontId="1" type="noConversion"/>
  </si>
  <si>
    <t>反物质燃料棒(喷涂后)</t>
    <phoneticPr fontId="2" type="noConversion"/>
  </si>
  <si>
    <t>反物质燃料棒(未喷涂)</t>
    <phoneticPr fontId="2" type="noConversion"/>
  </si>
  <si>
    <t>1喷涂/s增产剂占地</t>
    <phoneticPr fontId="2" type="noConversion"/>
  </si>
  <si>
    <t>此配方下实际值</t>
    <phoneticPr fontId="2" type="noConversion"/>
  </si>
  <si>
    <t>增产剂MK3</t>
    <phoneticPr fontId="2" type="noConversion"/>
  </si>
  <si>
    <t>配方选择</t>
    <phoneticPr fontId="2" type="noConversion"/>
  </si>
  <si>
    <t>粒子容器</t>
    <phoneticPr fontId="2" type="noConversion"/>
  </si>
  <si>
    <t>重氢</t>
    <phoneticPr fontId="2" type="noConversion"/>
  </si>
  <si>
    <t>卡西米尔晶体</t>
    <phoneticPr fontId="2" type="noConversion"/>
  </si>
  <si>
    <t>光子合并器</t>
    <phoneticPr fontId="2" type="noConversion"/>
  </si>
  <si>
    <t>高能光子</t>
    <phoneticPr fontId="2" type="noConversion"/>
  </si>
  <si>
    <t>碳纳米管</t>
    <phoneticPr fontId="2" type="noConversion"/>
  </si>
  <si>
    <t>金刚石</t>
    <phoneticPr fontId="1" type="noConversion"/>
  </si>
  <si>
    <t>晶格硅</t>
    <phoneticPr fontId="1" type="noConversion"/>
  </si>
  <si>
    <t>有机晶体</t>
    <phoneticPr fontId="1" type="noConversion"/>
  </si>
  <si>
    <t>直接开采</t>
    <phoneticPr fontId="2" type="noConversion"/>
  </si>
  <si>
    <t>无</t>
    <phoneticPr fontId="2" type="noConversion"/>
  </si>
  <si>
    <t>低效(分馏塔、无透镜)</t>
    <phoneticPr fontId="2" type="noConversion"/>
  </si>
  <si>
    <t>高效(对撞机，有透镜)</t>
    <phoneticPr fontId="2" type="noConversion"/>
  </si>
  <si>
    <t>无</t>
    <phoneticPr fontId="1" type="noConversion"/>
  </si>
  <si>
    <t>你的选择</t>
    <phoneticPr fontId="2" type="noConversion"/>
  </si>
  <si>
    <t>产物增产决策占地表</t>
    <phoneticPr fontId="2" type="noConversion"/>
  </si>
  <si>
    <t>1个/s产出时占地</t>
    <phoneticPr fontId="2" type="noConversion"/>
  </si>
  <si>
    <t>物品名</t>
    <phoneticPr fontId="2" type="noConversion"/>
  </si>
  <si>
    <t>公式（原料；时间；产物(忽略副产物氢)）</t>
    <phoneticPr fontId="2" type="noConversion"/>
  </si>
  <si>
    <t>不使用增产剂</t>
    <phoneticPr fontId="2" type="noConversion"/>
  </si>
  <si>
    <t>最少占地</t>
    <phoneticPr fontId="2" type="noConversion"/>
  </si>
  <si>
    <t>你的选择(默认为最少占地)</t>
    <phoneticPr fontId="2" type="noConversion"/>
  </si>
  <si>
    <t>此时方案</t>
    <phoneticPr fontId="2" type="noConversion"/>
  </si>
  <si>
    <t>单球黑盒最高产出</t>
    <phoneticPr fontId="1" type="noConversion"/>
  </si>
  <si>
    <t>一级原料</t>
    <phoneticPr fontId="2" type="noConversion"/>
  </si>
  <si>
    <t>铁块</t>
    <phoneticPr fontId="2" type="noConversion"/>
  </si>
  <si>
    <t>1铁矿；1s；1铁块</t>
    <phoneticPr fontId="2" type="noConversion"/>
  </si>
  <si>
    <t>/min</t>
    <phoneticPr fontId="1" type="noConversion"/>
  </si>
  <si>
    <t>铜块</t>
    <phoneticPr fontId="2" type="noConversion"/>
  </si>
  <si>
    <t>1铜矿；1s；1铜块</t>
    <phoneticPr fontId="2" type="noConversion"/>
  </si>
  <si>
    <t>高纯硅块</t>
    <phoneticPr fontId="2" type="noConversion"/>
  </si>
  <si>
    <t>2硅矿；2s；1高纯硅块</t>
    <phoneticPr fontId="2" type="noConversion"/>
  </si>
  <si>
    <t>钛块</t>
    <phoneticPr fontId="2" type="noConversion"/>
  </si>
  <si>
    <t>2钛矿；2s；1钛块</t>
    <phoneticPr fontId="2" type="noConversion"/>
  </si>
  <si>
    <t>石材</t>
    <phoneticPr fontId="2" type="noConversion"/>
  </si>
  <si>
    <t>1石矿；1s；1石材</t>
    <phoneticPr fontId="2" type="noConversion"/>
  </si>
  <si>
    <t>高能石墨</t>
    <phoneticPr fontId="2" type="noConversion"/>
  </si>
  <si>
    <t>2煤矿；2s；1高能石墨</t>
    <phoneticPr fontId="2" type="noConversion"/>
  </si>
  <si>
    <t>玻璃</t>
    <phoneticPr fontId="2" type="noConversion"/>
  </si>
  <si>
    <t>2石矿；2s；1玻璃</t>
    <phoneticPr fontId="2" type="noConversion"/>
  </si>
  <si>
    <t>晶格硅(高效)</t>
    <phoneticPr fontId="2" type="noConversion"/>
  </si>
  <si>
    <t>1分形硅石；1.5s；2晶格硅（制造台）</t>
    <phoneticPr fontId="2" type="noConversion"/>
  </si>
  <si>
    <t>金刚石(高效)</t>
    <phoneticPr fontId="2" type="noConversion"/>
  </si>
  <si>
    <t>1金伯利；1.5s；2金刚石</t>
    <phoneticPr fontId="2" type="noConversion"/>
  </si>
  <si>
    <t>石墨烯</t>
    <phoneticPr fontId="2" type="noConversion"/>
  </si>
  <si>
    <t>2可燃冰；2s；2石墨烯，1氢</t>
    <phoneticPr fontId="2" type="noConversion"/>
  </si>
  <si>
    <t>精炼油</t>
    <phoneticPr fontId="2" type="noConversion"/>
  </si>
  <si>
    <t>2原油；4s；2精炼油，1氢</t>
    <phoneticPr fontId="2" type="noConversion"/>
  </si>
  <si>
    <t>碳纳米管（高效）</t>
    <phoneticPr fontId="2" type="noConversion"/>
  </si>
  <si>
    <t>6刺笋结晶；4s；2碳纳米管</t>
    <phoneticPr fontId="2" type="noConversion"/>
  </si>
  <si>
    <t>磁铁</t>
    <phoneticPr fontId="2" type="noConversion"/>
  </si>
  <si>
    <t>1铁矿；1.5s；1磁铁</t>
    <phoneticPr fontId="2" type="noConversion"/>
  </si>
  <si>
    <t>重氢(加速分馏塔)</t>
    <phoneticPr fontId="2" type="noConversion"/>
  </si>
  <si>
    <t>1氢；1s；1重氢</t>
    <phoneticPr fontId="2" type="noConversion"/>
  </si>
  <si>
    <t>不可使用</t>
    <phoneticPr fontId="2" type="noConversion"/>
  </si>
  <si>
    <t>重氢(对撞机）</t>
    <phoneticPr fontId="2" type="noConversion"/>
  </si>
  <si>
    <t>10氢；2.5s；5重氢</t>
    <phoneticPr fontId="2" type="noConversion"/>
  </si>
  <si>
    <t>高能光子(默认带透镜)</t>
  </si>
  <si>
    <t>0.1引力透镜；60s；12高能光子</t>
    <phoneticPr fontId="2" type="noConversion"/>
  </si>
  <si>
    <t>高能光子(默认带透镜)</t>
    <phoneticPr fontId="2" type="noConversion"/>
  </si>
  <si>
    <t>常用二、三级原料与绿马达</t>
    <phoneticPr fontId="2" type="noConversion"/>
  </si>
  <si>
    <t>磁线圈</t>
    <phoneticPr fontId="2" type="noConversion"/>
  </si>
  <si>
    <t>2磁铁，1铜块；1s；2磁线圈</t>
    <phoneticPr fontId="2" type="noConversion"/>
  </si>
  <si>
    <t>钢材</t>
    <phoneticPr fontId="2" type="noConversion"/>
  </si>
  <si>
    <t>3铁块；3s；1钢材</t>
    <phoneticPr fontId="2" type="noConversion"/>
  </si>
  <si>
    <t>钛合金</t>
    <phoneticPr fontId="2" type="noConversion"/>
  </si>
  <si>
    <t>8硫酸，4钢材，4钛块；12s；4钛合金</t>
    <phoneticPr fontId="2" type="noConversion"/>
  </si>
  <si>
    <t>钛化玻璃</t>
    <phoneticPr fontId="2" type="noConversion"/>
  </si>
  <si>
    <t>2玻璃，2钛块，2水；5s；2钛化玻璃</t>
    <phoneticPr fontId="2" type="noConversion"/>
  </si>
  <si>
    <t>棱镜</t>
    <phoneticPr fontId="2" type="noConversion"/>
  </si>
  <si>
    <t>3玻璃；2s；2棱镜</t>
    <phoneticPr fontId="2" type="noConversion"/>
  </si>
  <si>
    <t>电浆激发器</t>
    <phoneticPr fontId="2" type="noConversion"/>
  </si>
  <si>
    <t>4磁线圈，2棱镜；2s；1电浆激发器</t>
    <phoneticPr fontId="2" type="noConversion"/>
  </si>
  <si>
    <t>齿轮</t>
    <phoneticPr fontId="2" type="noConversion"/>
  </si>
  <si>
    <t>1铁块；1s；1齿轮</t>
    <phoneticPr fontId="2" type="noConversion"/>
  </si>
  <si>
    <t>电路板</t>
    <phoneticPr fontId="2" type="noConversion"/>
  </si>
  <si>
    <t>2铁块，1铜块；1s；2电路板</t>
    <phoneticPr fontId="2" type="noConversion"/>
  </si>
  <si>
    <t>微晶元件</t>
    <phoneticPr fontId="2" type="noConversion"/>
  </si>
  <si>
    <t>2高纯硅块，1铜块；2s；1微晶元件</t>
    <phoneticPr fontId="2" type="noConversion"/>
  </si>
  <si>
    <t>处理器</t>
    <phoneticPr fontId="2" type="noConversion"/>
  </si>
  <si>
    <t>2电路板；2微晶元件；3s；1处理器</t>
    <phoneticPr fontId="2" type="noConversion"/>
  </si>
  <si>
    <t>电动机</t>
    <phoneticPr fontId="2" type="noConversion"/>
  </si>
  <si>
    <t>2铁块，1齿轮，1磁线圈；2s；1电动机</t>
    <phoneticPr fontId="2" type="noConversion"/>
  </si>
  <si>
    <t>电磁涡轮</t>
    <phoneticPr fontId="2" type="noConversion"/>
  </si>
  <si>
    <t>2电动机，2磁线圈；2s；1电磁涡轮</t>
    <phoneticPr fontId="2" type="noConversion"/>
  </si>
  <si>
    <t>钛晶石</t>
    <phoneticPr fontId="2" type="noConversion"/>
  </si>
  <si>
    <t>1有机晶体，3钛块；4s；1钛晶石</t>
    <phoneticPr fontId="2" type="noConversion"/>
  </si>
  <si>
    <t>卡西米尔晶体（高效）</t>
    <phoneticPr fontId="2" type="noConversion"/>
  </si>
  <si>
    <t>8光栅石，2石墨烯，12氢；4s；1卡西米尔晶体</t>
    <phoneticPr fontId="2" type="noConversion"/>
  </si>
  <si>
    <t>卡西米尔晶体（低效）</t>
    <phoneticPr fontId="2" type="noConversion"/>
  </si>
  <si>
    <t>1钛晶石，2石墨烯，12氢；4s；1卡西米尔晶体</t>
    <phoneticPr fontId="2" type="noConversion"/>
  </si>
  <si>
    <t>位面过滤器</t>
    <phoneticPr fontId="2" type="noConversion"/>
  </si>
  <si>
    <t>1卡西米尔晶体，2钛化玻璃；12s；1位面过滤器</t>
    <phoneticPr fontId="2" type="noConversion"/>
  </si>
  <si>
    <t>粒子容器(高效）</t>
    <phoneticPr fontId="2" type="noConversion"/>
  </si>
  <si>
    <t>10单极磁石、2铜块；4s；1粒子容器</t>
    <phoneticPr fontId="2" type="noConversion"/>
  </si>
  <si>
    <t>粒子容器(低效）</t>
    <phoneticPr fontId="2" type="noConversion"/>
  </si>
  <si>
    <t>2电磁涡轮、2铜块、2石墨烯；4s；1粒子容器</t>
    <phoneticPr fontId="2" type="noConversion"/>
  </si>
  <si>
    <t>奇异物质</t>
    <phoneticPr fontId="2" type="noConversion"/>
  </si>
  <si>
    <t>2粒子容器，2铁块，10重氢；8s；1奇异物质</t>
    <phoneticPr fontId="2" type="noConversion"/>
  </si>
  <si>
    <t>光子合并器(低效)</t>
    <phoneticPr fontId="2" type="noConversion"/>
  </si>
  <si>
    <t>2棱镜，1电路板；3s；1光子合并器</t>
    <phoneticPr fontId="2" type="noConversion"/>
  </si>
  <si>
    <t>光子合并器(高效)</t>
    <phoneticPr fontId="2" type="noConversion"/>
  </si>
  <si>
    <t>1光栅石，1电路板；3s；1光子合并器</t>
    <phoneticPr fontId="2" type="noConversion"/>
  </si>
  <si>
    <t>太阳帆</t>
    <phoneticPr fontId="2" type="noConversion"/>
  </si>
  <si>
    <t>1石墨烯、1光子合并器；4s；2太阳帆</t>
    <phoneticPr fontId="2" type="noConversion"/>
  </si>
  <si>
    <t>反物质</t>
    <phoneticPr fontId="2" type="noConversion"/>
  </si>
  <si>
    <t>2高能光子；2s；2反物质，2氢</t>
    <phoneticPr fontId="2" type="noConversion"/>
  </si>
  <si>
    <t>塑料</t>
    <phoneticPr fontId="2" type="noConversion"/>
  </si>
  <si>
    <t>2精炼油，1高能石墨；3s；1塑料</t>
    <phoneticPr fontId="2" type="noConversion"/>
  </si>
  <si>
    <t>粒子宽带</t>
    <phoneticPr fontId="2" type="noConversion"/>
  </si>
  <si>
    <t>2碳纳米管，2晶格硅，1塑料；8s；1粒子宽带</t>
    <phoneticPr fontId="2" type="noConversion"/>
  </si>
  <si>
    <t>碳纳米管（低效）</t>
    <phoneticPr fontId="2" type="noConversion"/>
  </si>
  <si>
    <t>3石墨烯，1钛块；4s；2碳纳米管</t>
    <phoneticPr fontId="2" type="noConversion"/>
  </si>
  <si>
    <t>金刚石（低效）</t>
    <phoneticPr fontId="1" type="noConversion"/>
  </si>
  <si>
    <t>1高能石墨；2s；1金刚石</t>
    <phoneticPr fontId="1" type="noConversion"/>
  </si>
  <si>
    <t>晶格硅(低效)</t>
    <phoneticPr fontId="2" type="noConversion"/>
  </si>
  <si>
    <t>1高纯硅块；2s；1晶格硅</t>
    <phoneticPr fontId="1" type="noConversion"/>
  </si>
  <si>
    <t>有机晶体（低效）</t>
    <phoneticPr fontId="1" type="noConversion"/>
  </si>
  <si>
    <t>2塑料，1精炼油，1水；6s；1有机晶体</t>
    <phoneticPr fontId="1" type="noConversion"/>
  </si>
  <si>
    <t>高级产物、消耗品与推进器</t>
    <phoneticPr fontId="2" type="noConversion"/>
  </si>
  <si>
    <t>超级磁场环</t>
    <phoneticPr fontId="2" type="noConversion"/>
  </si>
  <si>
    <t>2电磁涡轮，3磁铁，1高能石墨；3s；1超级磁场环</t>
    <phoneticPr fontId="2" type="noConversion"/>
  </si>
  <si>
    <t>引力透镜</t>
    <phoneticPr fontId="2" type="noConversion"/>
  </si>
  <si>
    <t>4金刚石，1奇异物质；6s；1引力透镜</t>
    <phoneticPr fontId="2" type="noConversion"/>
  </si>
  <si>
    <t>量子芯片</t>
    <phoneticPr fontId="2" type="noConversion"/>
  </si>
  <si>
    <t>2处理器，2位面过滤器；6s；1量子芯片</t>
    <phoneticPr fontId="2" type="noConversion"/>
  </si>
  <si>
    <t>框架材料</t>
    <phoneticPr fontId="2" type="noConversion"/>
  </si>
  <si>
    <t>4碳纳米管，1钛合金，1高纯硅块；6s；1框架材料</t>
    <phoneticPr fontId="2" type="noConversion"/>
  </si>
  <si>
    <t>戴森球组件</t>
    <phoneticPr fontId="2" type="noConversion"/>
  </si>
  <si>
    <t>3框架材料，3太阳帆，3处理器；8s；1戴森球组件</t>
    <phoneticPr fontId="2" type="noConversion"/>
  </si>
  <si>
    <t>湮灭约束球</t>
    <phoneticPr fontId="2" type="noConversion"/>
  </si>
  <si>
    <t>1粒子容器，1处理器；20s；1湮灭约束球</t>
    <phoneticPr fontId="2" type="noConversion"/>
  </si>
  <si>
    <t>空间翘曲器（高效）</t>
    <phoneticPr fontId="2" type="noConversion"/>
  </si>
  <si>
    <t>1引力矩阵；10s；8空间翘曲器</t>
    <phoneticPr fontId="2" type="noConversion"/>
  </si>
  <si>
    <t>小型运载火箭</t>
    <phoneticPr fontId="2" type="noConversion"/>
  </si>
  <si>
    <t>2戴森球组件，4氘核燃料棒，2量子芯片；6s；1小型运载火箭</t>
    <phoneticPr fontId="2" type="noConversion"/>
  </si>
  <si>
    <t>增产剂MK1</t>
    <phoneticPr fontId="2" type="noConversion"/>
  </si>
  <si>
    <t>1煤矿；0.5s；1增产剂MK1</t>
    <phoneticPr fontId="2" type="noConversion"/>
  </si>
  <si>
    <t>增产剂MK2</t>
    <phoneticPr fontId="2" type="noConversion"/>
  </si>
  <si>
    <t>2增产剂MK1，1金刚石；1s；1增产剂MK2</t>
    <phoneticPr fontId="2" type="noConversion"/>
  </si>
  <si>
    <t>2增产剂MK2，1碳纳米管；2s；1增产剂MK3</t>
    <phoneticPr fontId="2" type="noConversion"/>
  </si>
  <si>
    <t>液氢燃料棒</t>
    <phoneticPr fontId="2" type="noConversion"/>
  </si>
  <si>
    <t>1钛块，10氢；6s；2液氢燃料棒</t>
    <phoneticPr fontId="2" type="noConversion"/>
  </si>
  <si>
    <t>氘核燃料棒</t>
    <phoneticPr fontId="2" type="noConversion"/>
  </si>
  <si>
    <t>1钛合金，20重氢，1超级磁场环；12s；2氘核燃料棒</t>
    <phoneticPr fontId="2" type="noConversion"/>
  </si>
  <si>
    <t>反物质燃料棒</t>
    <phoneticPr fontId="2" type="noConversion"/>
  </si>
  <si>
    <t>12反物质+氢，1湮灭约束球，1钛合金；24s；2反物质燃料棒</t>
    <phoneticPr fontId="2" type="noConversion"/>
  </si>
  <si>
    <t>推进器</t>
    <phoneticPr fontId="2" type="noConversion"/>
  </si>
  <si>
    <t>2钢材，3铜块；4s；1推进器</t>
    <phoneticPr fontId="2" type="noConversion"/>
  </si>
  <si>
    <t>加力推进器</t>
    <phoneticPr fontId="2" type="noConversion"/>
  </si>
  <si>
    <t>5钛合金，5电磁涡轮；6s；1加力推进器</t>
    <phoneticPr fontId="2" type="noConversion"/>
  </si>
  <si>
    <t>研究站</t>
    <phoneticPr fontId="2" type="noConversion"/>
  </si>
  <si>
    <t>电磁矩阵</t>
    <phoneticPr fontId="2" type="noConversion"/>
  </si>
  <si>
    <t>1磁线圈，1电路板；3s；1电磁矩阵</t>
    <phoneticPr fontId="2" type="noConversion"/>
  </si>
  <si>
    <t>能量矩阵</t>
    <phoneticPr fontId="2" type="noConversion"/>
  </si>
  <si>
    <t>2高能石墨，2氢；6s；1能量矩阵</t>
    <phoneticPr fontId="2" type="noConversion"/>
  </si>
  <si>
    <t>结构矩阵</t>
    <phoneticPr fontId="2" type="noConversion"/>
  </si>
  <si>
    <t>1金刚石，1钛晶石；8s；1结构矩阵</t>
    <phoneticPr fontId="2" type="noConversion"/>
  </si>
  <si>
    <t>信息矩阵</t>
    <phoneticPr fontId="2" type="noConversion"/>
  </si>
  <si>
    <t>2处理器，1粒子宽带；10s；1信息矩阵</t>
    <phoneticPr fontId="2" type="noConversion"/>
  </si>
  <si>
    <t>引力矩阵</t>
    <phoneticPr fontId="2" type="noConversion"/>
  </si>
  <si>
    <t>1量子芯片，1引力透镜；24s；2引力矩阵</t>
    <phoneticPr fontId="2" type="noConversion"/>
  </si>
  <si>
    <t>宇宙矩阵</t>
    <phoneticPr fontId="2" type="noConversion"/>
  </si>
  <si>
    <t>1反物质，1各矩阵；15s；1宇宙矩阵</t>
    <phoneticPr fontId="2" type="noConversion"/>
  </si>
  <si>
    <t>增产剂参数</t>
    <phoneticPr fontId="1" type="noConversion"/>
  </si>
  <si>
    <t>增产剂成本</t>
    <phoneticPr fontId="1" type="noConversion"/>
  </si>
  <si>
    <t>示例</t>
    <phoneticPr fontId="1" type="noConversion"/>
  </si>
  <si>
    <t>增产剂加速效果</t>
    <phoneticPr fontId="1" type="noConversion"/>
  </si>
  <si>
    <t>增产剂增产效果</t>
    <phoneticPr fontId="1" type="noConversion"/>
  </si>
  <si>
    <t>喷涂额外耗电</t>
    <phoneticPr fontId="1" type="noConversion"/>
  </si>
  <si>
    <t>mk1</t>
    <phoneticPr fontId="1" type="noConversion"/>
  </si>
  <si>
    <t>mk2</t>
    <phoneticPr fontId="1" type="noConversion"/>
  </si>
  <si>
    <t>mk3</t>
    <phoneticPr fontId="1" type="noConversion"/>
  </si>
  <si>
    <t>1级喷涂点数</t>
    <phoneticPr fontId="1" type="noConversion"/>
  </si>
  <si>
    <t>2级喷涂点数</t>
    <phoneticPr fontId="1" type="noConversion"/>
  </si>
  <si>
    <t>3级喷涂点数</t>
    <phoneticPr fontId="1" type="noConversion"/>
  </si>
  <si>
    <t>4级喷涂点数</t>
    <phoneticPr fontId="1" type="noConversion"/>
  </si>
  <si>
    <t>矿物成本</t>
    <phoneticPr fontId="1" type="noConversion"/>
  </si>
  <si>
    <t>铁</t>
    <phoneticPr fontId="1" type="noConversion"/>
  </si>
  <si>
    <t>铜</t>
    <phoneticPr fontId="1" type="noConversion"/>
  </si>
  <si>
    <t>煤</t>
    <phoneticPr fontId="1" type="noConversion"/>
  </si>
  <si>
    <t>石</t>
    <phoneticPr fontId="1" type="noConversion"/>
  </si>
  <si>
    <t>硅</t>
    <phoneticPr fontId="1" type="noConversion"/>
  </si>
  <si>
    <t>钛</t>
    <phoneticPr fontId="1" type="noConversion"/>
  </si>
  <si>
    <t>分型硅</t>
    <phoneticPr fontId="1" type="noConversion"/>
  </si>
  <si>
    <t>金伯利</t>
    <phoneticPr fontId="1" type="noConversion"/>
  </si>
  <si>
    <t>可燃冰</t>
    <phoneticPr fontId="1" type="noConversion"/>
  </si>
  <si>
    <t>原油</t>
    <phoneticPr fontId="1" type="noConversion"/>
  </si>
  <si>
    <t>刺笋结晶</t>
    <phoneticPr fontId="1" type="noConversion"/>
  </si>
  <si>
    <t>氢</t>
    <phoneticPr fontId="1" type="noConversion"/>
  </si>
  <si>
    <t>单极磁石</t>
    <phoneticPr fontId="1" type="noConversion"/>
  </si>
  <si>
    <t>1喷涂增产</t>
    <phoneticPr fontId="2" type="noConversion"/>
  </si>
  <si>
    <t>1喷涂加速</t>
    <phoneticPr fontId="2" type="noConversion"/>
  </si>
  <si>
    <t>2喷涂增产</t>
    <phoneticPr fontId="1" type="noConversion"/>
  </si>
  <si>
    <t>2喷涂加速</t>
    <phoneticPr fontId="1" type="noConversion"/>
  </si>
  <si>
    <t>3喷涂增产</t>
    <phoneticPr fontId="1" type="noConversion"/>
  </si>
  <si>
    <t>3喷涂加速</t>
    <phoneticPr fontId="1" type="noConversion"/>
  </si>
  <si>
    <t>4喷涂增产</t>
    <phoneticPr fontId="1" type="noConversion"/>
  </si>
  <si>
    <t>4喷涂加速</t>
    <phoneticPr fontId="1" type="noConversion"/>
  </si>
  <si>
    <t>极密铺情况下占地面积</t>
    <phoneticPr fontId="2" type="noConversion"/>
  </si>
  <si>
    <t>不使用密铺技巧</t>
    <phoneticPr fontId="2" type="noConversion"/>
  </si>
  <si>
    <t>建筑偏移+无虚空带</t>
    <phoneticPr fontId="2" type="noConversion"/>
  </si>
  <si>
    <t>设备性能占用</t>
    <phoneticPr fontId="2" type="noConversion"/>
  </si>
  <si>
    <t>不偏移最优铺法算上带子的占用估算54k处理器</t>
    <phoneticPr fontId="1" type="noConversion"/>
  </si>
  <si>
    <t>全0</t>
    <phoneticPr fontId="2" type="noConversion"/>
  </si>
  <si>
    <t>不偏移最优铺法算上带子的占用估算900k位面混带</t>
    <phoneticPr fontId="1" type="noConversion"/>
  </si>
  <si>
    <t>全1</t>
    <phoneticPr fontId="1" type="noConversion"/>
  </si>
  <si>
    <t>未考虑</t>
    <phoneticPr fontId="2" type="noConversion"/>
  </si>
  <si>
    <t>重氢(4加速分馏塔)</t>
    <phoneticPr fontId="2" type="noConversion"/>
  </si>
  <si>
    <t>硫酸</t>
    <phoneticPr fontId="1" type="noConversion"/>
  </si>
  <si>
    <t>待做</t>
    <phoneticPr fontId="1" type="noConversion"/>
  </si>
  <si>
    <t>水</t>
    <phoneticPr fontId="1" type="noConversion"/>
  </si>
  <si>
    <t>1级喷涂</t>
    <phoneticPr fontId="2" type="noConversion"/>
  </si>
  <si>
    <t>2级喷涂</t>
    <phoneticPr fontId="2" type="noConversion"/>
  </si>
  <si>
    <t>3级喷涂</t>
    <phoneticPr fontId="1" type="noConversion"/>
  </si>
  <si>
    <t>4级喷涂</t>
    <phoneticPr fontId="2" type="noConversion"/>
  </si>
  <si>
    <t>纯净成本</t>
  </si>
  <si>
    <t>增产剂</t>
    <phoneticPr fontId="1" type="noConversion"/>
  </si>
  <si>
    <t>1级喷涂后单位喷涂成本</t>
    <phoneticPr fontId="1" type="noConversion"/>
  </si>
  <si>
    <t>2级喷涂</t>
    <phoneticPr fontId="1" type="noConversion"/>
  </si>
  <si>
    <t>mk1(纯净12次）</t>
    <phoneticPr fontId="1" type="noConversion"/>
  </si>
  <si>
    <t>mk2(纯净24次)</t>
    <phoneticPr fontId="1" type="noConversion"/>
  </si>
  <si>
    <t>mk3(纯净60次)</t>
    <phoneticPr fontId="1" type="noConversion"/>
  </si>
  <si>
    <t>最低</t>
    <phoneticPr fontId="1" type="noConversion"/>
  </si>
  <si>
    <t>单位喷涂点数</t>
    <phoneticPr fontId="1" type="noConversion"/>
  </si>
  <si>
    <t>最小单位喷涂点数</t>
    <phoneticPr fontId="1" type="noConversion"/>
  </si>
  <si>
    <t>成本</t>
    <phoneticPr fontId="1" type="noConversion"/>
  </si>
  <si>
    <t>喷涂等级</t>
    <phoneticPr fontId="1" type="noConversion"/>
  </si>
  <si>
    <t>互喷</t>
    <phoneticPr fontId="1" type="noConversion"/>
  </si>
  <si>
    <t>是否变化</t>
    <phoneticPr fontId="1" type="noConversion"/>
  </si>
  <si>
    <t>光栅石</t>
    <phoneticPr fontId="1" type="noConversion"/>
  </si>
  <si>
    <t>不可使用</t>
    <phoneticPr fontId="1" type="noConversion"/>
  </si>
  <si>
    <t>无偏最密不卡爪碰撞</t>
    <phoneticPr fontId="2" type="noConversion"/>
  </si>
  <si>
    <t>高能石墨</t>
    <phoneticPr fontId="1" type="noConversion"/>
  </si>
  <si>
    <t>无</t>
    <phoneticPr fontId="1" type="noConversion"/>
  </si>
  <si>
    <t>高能石墨（当成1煤算）</t>
    <phoneticPr fontId="1" type="noConversion"/>
  </si>
  <si>
    <t>1煤；4s；1高能石墨</t>
    <phoneticPr fontId="1" type="noConversion"/>
  </si>
  <si>
    <t>不考虑</t>
    <phoneticPr fontId="1" type="noConversion"/>
  </si>
  <si>
    <t>此配方下实际值</t>
  </si>
  <si>
    <t>名称</t>
  </si>
  <si>
    <t>伊卡洛斯</t>
  </si>
  <si>
    <t>采矿机</t>
  </si>
  <si>
    <t>大型采矿机</t>
  </si>
  <si>
    <t>抽水机</t>
  </si>
  <si>
    <t>原油萃取站</t>
  </si>
  <si>
    <t>轨道采集器</t>
  </si>
  <si>
    <t>射线接收站</t>
  </si>
  <si>
    <t>电弧熔炉</t>
  </si>
  <si>
    <t>位面熔炉</t>
  </si>
  <si>
    <t>制造台MK.Ⅰ</t>
  </si>
  <si>
    <t>制造台MK.Ⅱ</t>
  </si>
  <si>
    <t>制造台MK.Ⅲ</t>
  </si>
  <si>
    <t>原油精炼厂</t>
  </si>
  <si>
    <t>化工厂</t>
  </si>
  <si>
    <t>量子化工厂</t>
  </si>
  <si>
    <t>分馏塔</t>
  </si>
  <si>
    <t>微型粒子对撞机</t>
  </si>
  <si>
    <t>研究站</t>
  </si>
  <si>
    <t>能量枢纽</t>
  </si>
  <si>
    <t>蓄电器</t>
  </si>
  <si>
    <t>倍率</t>
  </si>
  <si>
    <t>耗能</t>
  </si>
  <si>
    <t>占地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</si>
</sst>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20"/>
      <color rgb="FFFF0000"/>
      <name val="等线"/>
      <family val="3"/>
      <charset val="134"/>
      <scheme val="minor"/>
    </font>
    <font>
      <sz val="15"/>
      <color rgb="FFFF000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6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rgb="FF00B050"/>
        </patternFill>
      </fill>
    </dxf>
    <dxf>
      <fill>
        <patternFill>
          <bgColor rgb="FF66FFFF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FF0066"/>
        </patternFill>
      </fill>
    </dxf>
    <dxf>
      <fill>
        <patternFill>
          <bgColor rgb="FFFFCC66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FFCC66"/>
      <color rgb="FF66FFFF"/>
      <color rgb="FFFF99FF"/>
      <color rgb="FFFF0066"/>
      <color rgb="FF008000"/>
      <color rgb="FF00FF00"/>
      <color rgb="FF3399FF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0"/>
  <sheetViews>
    <sheetView tabSelected="1" zoomScale="70" zoomScaleNormal="70" workbookViewId="0">
      <selection activeCell="D15" sqref="D15"/>
    </sheetView>
  </sheetViews>
  <sheetFormatPr defaultRowHeight="14.25" x14ac:dyDescent="0.2"/>
  <cols>
    <col min="1" max="1" width="21.125" style="1" customWidth="1"/>
    <col min="2" max="2" width="47.875" style="1" customWidth="1"/>
    <col min="3" max="3" width="22.625" style="1" customWidth="1"/>
    <col min="4" max="4" width="21.875" style="1" customWidth="1"/>
    <col min="5" max="5" width="25.375" style="1" customWidth="1"/>
    <col min="6" max="6" width="19" style="1" customWidth="1"/>
    <col min="7" max="7" width="21.25" style="1" customWidth="1"/>
    <col min="8" max="8" width="24" style="1" customWidth="1"/>
    <col min="9" max="9" width="21.75" style="1" customWidth="1"/>
    <col min="10" max="10" width="15.375" style="1" customWidth="1"/>
    <col min="11" max="11" width="29.5" style="1" customWidth="1"/>
    <col min="12" max="12" width="10.75" style="1" customWidth="1"/>
    <col min="13" max="13" width="11.125" style="1" customWidth="1"/>
    <col min="14" max="14" width="11.25" style="1" customWidth="1"/>
    <col min="15" max="15" width="18.125" style="1" customWidth="1"/>
    <col min="16" max="16" width="10.625" style="1" customWidth="1"/>
    <col min="17" max="18" width="9" style="1"/>
    <col min="19" max="19" width="10.625" style="1" customWidth="1"/>
    <col min="20" max="20" width="10.5" style="1" customWidth="1"/>
    <col min="21" max="21" width="9.875" style="1" customWidth="1"/>
    <col min="22" max="16384" width="9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1" x14ac:dyDescent="0.2">
      <c r="A2" s="1" t="s">
        <v>8</v>
      </c>
      <c r="B2" s="1">
        <v>1.5</v>
      </c>
      <c r="C2" s="1">
        <v>2</v>
      </c>
      <c r="D2" s="1">
        <v>2</v>
      </c>
      <c r="E2" s="1">
        <v>1</v>
      </c>
      <c r="F2" s="1">
        <v>1</v>
      </c>
      <c r="G2" s="1">
        <v>15</v>
      </c>
      <c r="H2" s="1">
        <f>2.283152383</f>
        <v>2.283152383</v>
      </c>
    </row>
    <row r="3" spans="1:21" x14ac:dyDescent="0.2">
      <c r="A3" s="1" t="s">
        <v>9</v>
      </c>
      <c r="B3" s="1">
        <v>1.08</v>
      </c>
      <c r="C3" s="1">
        <v>1.44</v>
      </c>
      <c r="D3" s="1">
        <v>2.16</v>
      </c>
      <c r="E3" s="1">
        <v>0.96</v>
      </c>
      <c r="F3" s="1">
        <v>12</v>
      </c>
      <c r="G3" s="1">
        <f>0.48*G2</f>
        <v>7.1999999999999993</v>
      </c>
      <c r="H3" s="1">
        <v>9.7336385300000003</v>
      </c>
    </row>
    <row r="5" spans="1:2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</row>
    <row r="6" spans="1:21" x14ac:dyDescent="0.2">
      <c r="A6" s="1" t="s">
        <v>251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8" spans="1:21" x14ac:dyDescent="0.2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37</v>
      </c>
      <c r="G8" s="1" t="s">
        <v>38</v>
      </c>
      <c r="H8" s="1" t="s">
        <v>39</v>
      </c>
      <c r="I8" s="1" t="s">
        <v>40</v>
      </c>
    </row>
    <row r="9" spans="1:21" x14ac:dyDescent="0.2">
      <c r="A9" s="1" t="s">
        <v>41</v>
      </c>
      <c r="B9" s="1">
        <v>4.2027221249079875E-3</v>
      </c>
      <c r="C9" s="1">
        <f>(L129+L126/74+50*R6)/7200</f>
        <v>4.3193687405562332E-3</v>
      </c>
      <c r="D9" s="1">
        <f>50*R6/7200</f>
        <v>0</v>
      </c>
      <c r="E9" s="1">
        <v>0.41666700000000001</v>
      </c>
      <c r="F9" s="1">
        <v>1.6978873304057562</v>
      </c>
      <c r="G9" s="1">
        <v>1.5</v>
      </c>
      <c r="H9" s="1">
        <v>1.7141610782137631</v>
      </c>
      <c r="I9" s="1">
        <f>(H9-G9)/(1-(F9-H9)/(E9-G9))+G9</f>
        <v>1.7174272542672318</v>
      </c>
    </row>
    <row r="10" spans="1:21" x14ac:dyDescent="0.2">
      <c r="A10" s="1" t="s">
        <v>42</v>
      </c>
      <c r="B10" s="1">
        <v>4.1161460137072951E-3</v>
      </c>
      <c r="C10" s="1">
        <f>(L129+100*R6)/7200</f>
        <v>4.2326051183457719E-3</v>
      </c>
      <c r="D10" s="1">
        <f>100*R6/7200</f>
        <v>0</v>
      </c>
    </row>
    <row r="12" spans="1:21" x14ac:dyDescent="0.2">
      <c r="A12" s="1" t="s">
        <v>43</v>
      </c>
      <c r="B12" s="1" t="s">
        <v>285</v>
      </c>
      <c r="C12" s="1" t="s">
        <v>44</v>
      </c>
    </row>
    <row r="13" spans="1:21" x14ac:dyDescent="0.2">
      <c r="A13" s="1" t="s">
        <v>259</v>
      </c>
      <c r="B13" s="1">
        <v>999</v>
      </c>
      <c r="C13" s="1">
        <f>喷涂成本!B70</f>
        <v>0.15617451997882942</v>
      </c>
    </row>
    <row r="14" spans="1:21" x14ac:dyDescent="0.2">
      <c r="A14" s="1" t="s">
        <v>260</v>
      </c>
      <c r="B14" s="1">
        <v>999</v>
      </c>
      <c r="C14" s="1">
        <f>喷涂成本!C70</f>
        <v>0.31234903995765884</v>
      </c>
    </row>
    <row r="15" spans="1:21" x14ac:dyDescent="0.2">
      <c r="A15" s="1" t="s">
        <v>261</v>
      </c>
      <c r="B15" s="1">
        <v>999</v>
      </c>
      <c r="C15" s="1">
        <f>喷涂成本!D70</f>
        <v>0.46852355993648825</v>
      </c>
    </row>
    <row r="16" spans="1:21" x14ac:dyDescent="0.2">
      <c r="A16" s="1" t="s">
        <v>262</v>
      </c>
      <c r="B16" s="1">
        <v>0.62469807951525158</v>
      </c>
      <c r="C16" s="1">
        <f>喷涂成本!E70</f>
        <v>0.62469807991531767</v>
      </c>
    </row>
    <row r="17" spans="1:15" ht="15" customHeight="1" x14ac:dyDescent="0.2"/>
    <row r="18" spans="1:15" ht="27.75" customHeight="1" x14ac:dyDescent="0.2"/>
    <row r="21" spans="1:15" ht="24" thickBot="1" x14ac:dyDescent="0.25">
      <c r="A21" s="10" t="s">
        <v>211</v>
      </c>
      <c r="B21" s="10"/>
      <c r="C21" s="10"/>
      <c r="D21" s="10"/>
      <c r="E21" s="10"/>
      <c r="F21" s="10"/>
      <c r="G21" s="10"/>
      <c r="H21" s="10"/>
      <c r="I21" s="10"/>
      <c r="J21" s="10"/>
    </row>
    <row r="22" spans="1:15" ht="15" thickBot="1" x14ac:dyDescent="0.25">
      <c r="A22" s="13" t="s">
        <v>213</v>
      </c>
      <c r="B22" s="14"/>
      <c r="C22" s="13" t="s">
        <v>220</v>
      </c>
      <c r="D22" s="14"/>
      <c r="E22" s="13" t="s">
        <v>221</v>
      </c>
      <c r="F22" s="14"/>
      <c r="G22" s="13" t="s">
        <v>222</v>
      </c>
      <c r="H22" s="14"/>
      <c r="I22" s="13" t="s">
        <v>223</v>
      </c>
      <c r="J22" s="14"/>
    </row>
    <row r="23" spans="1:15" x14ac:dyDescent="0.2">
      <c r="A23" s="3" t="s">
        <v>212</v>
      </c>
      <c r="B23" s="4" t="s">
        <v>216</v>
      </c>
      <c r="C23" s="1">
        <f>B13</f>
        <v>999</v>
      </c>
      <c r="D23" s="4">
        <v>1.3</v>
      </c>
      <c r="E23" s="7">
        <f>B14</f>
        <v>999</v>
      </c>
      <c r="F23" s="4">
        <v>1.7</v>
      </c>
      <c r="G23" s="3">
        <f>B15</f>
        <v>999</v>
      </c>
      <c r="H23" s="4">
        <v>2.1</v>
      </c>
      <c r="I23" s="1">
        <f>B16</f>
        <v>0.62469807951525158</v>
      </c>
      <c r="J23" s="4">
        <v>2.5</v>
      </c>
    </row>
    <row r="24" spans="1:15" ht="15" thickBot="1" x14ac:dyDescent="0.25">
      <c r="A24" s="5" t="s">
        <v>215</v>
      </c>
      <c r="B24" s="6" t="s">
        <v>214</v>
      </c>
      <c r="C24" s="5">
        <v>1.125</v>
      </c>
      <c r="D24" s="6">
        <v>1.25</v>
      </c>
      <c r="E24" s="8">
        <v>1.2</v>
      </c>
      <c r="F24" s="6">
        <v>1.5</v>
      </c>
      <c r="G24" s="5">
        <v>1.2250000000000001</v>
      </c>
      <c r="H24" s="6">
        <v>1.75</v>
      </c>
      <c r="I24" s="5">
        <v>1.25</v>
      </c>
      <c r="J24" s="6">
        <v>2</v>
      </c>
    </row>
    <row r="27" spans="1:15" ht="20.25" x14ac:dyDescent="0.2">
      <c r="A27" s="11" t="s">
        <v>224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">
      <c r="A28" s="1" t="s">
        <v>225</v>
      </c>
      <c r="B28" s="1" t="s">
        <v>226</v>
      </c>
      <c r="C28" s="1" t="s">
        <v>229</v>
      </c>
      <c r="D28" s="1" t="s">
        <v>230</v>
      </c>
      <c r="E28" s="1" t="s">
        <v>228</v>
      </c>
      <c r="F28" s="1" t="s">
        <v>227</v>
      </c>
      <c r="G28" s="1" t="s">
        <v>231</v>
      </c>
      <c r="H28" s="1" t="s">
        <v>232</v>
      </c>
      <c r="I28" s="1" t="s">
        <v>233</v>
      </c>
      <c r="J28" s="1" t="s">
        <v>234</v>
      </c>
      <c r="K28" s="1" t="s">
        <v>235</v>
      </c>
      <c r="L28" s="1" t="s">
        <v>236</v>
      </c>
      <c r="M28" s="1" t="s">
        <v>237</v>
      </c>
      <c r="N28" s="1" t="s">
        <v>277</v>
      </c>
      <c r="O28" s="1" t="s">
        <v>258</v>
      </c>
    </row>
    <row r="29" spans="1:15" x14ac:dyDescent="0.2">
      <c r="A29" s="1">
        <v>1.1779408520000001</v>
      </c>
      <c r="B29" s="1">
        <v>1.5171714030000001</v>
      </c>
      <c r="C29" s="1">
        <v>6.2633078629999996</v>
      </c>
      <c r="D29" s="1">
        <v>1.6077766920000001</v>
      </c>
      <c r="E29" s="1">
        <v>1</v>
      </c>
      <c r="F29" s="1">
        <v>18.083014989999999</v>
      </c>
      <c r="G29" s="1">
        <v>6.777011066</v>
      </c>
      <c r="H29" s="1">
        <v>4.6086049789999999</v>
      </c>
      <c r="I29" s="1">
        <v>0</v>
      </c>
      <c r="J29" s="1">
        <v>200</v>
      </c>
      <c r="K29" s="1">
        <v>70.391774799999993</v>
      </c>
      <c r="L29" s="1">
        <v>0</v>
      </c>
      <c r="M29" s="1">
        <v>197.1753722</v>
      </c>
      <c r="N29" s="1">
        <v>11.48270078</v>
      </c>
      <c r="O29" s="1">
        <v>0</v>
      </c>
    </row>
    <row r="45" spans="1:12" x14ac:dyDescent="0.2">
      <c r="A45" s="1" t="s">
        <v>46</v>
      </c>
      <c r="B45" s="1" t="s">
        <v>47</v>
      </c>
      <c r="C45" s="1" t="s">
        <v>48</v>
      </c>
      <c r="D45" s="1" t="s">
        <v>49</v>
      </c>
      <c r="E45" s="1" t="s">
        <v>50</v>
      </c>
      <c r="F45" s="1" t="s">
        <v>51</v>
      </c>
      <c r="G45" s="1" t="s">
        <v>52</v>
      </c>
      <c r="H45" s="1" t="s">
        <v>53</v>
      </c>
      <c r="I45" s="1" t="s">
        <v>54</v>
      </c>
      <c r="J45" s="1" t="s">
        <v>55</v>
      </c>
      <c r="K45" s="1" t="s">
        <v>256</v>
      </c>
      <c r="L45" s="1" t="s">
        <v>280</v>
      </c>
    </row>
    <row r="46" spans="1:12" x14ac:dyDescent="0.2">
      <c r="A46" s="1" t="s">
        <v>56</v>
      </c>
      <c r="B46" s="1" t="s">
        <v>57</v>
      </c>
      <c r="C46" s="1">
        <v>0</v>
      </c>
      <c r="D46" s="1" t="s">
        <v>57</v>
      </c>
      <c r="E46" s="1" t="s">
        <v>57</v>
      </c>
      <c r="F46" s="1">
        <v>0</v>
      </c>
      <c r="G46" s="1" t="s">
        <v>57</v>
      </c>
      <c r="H46" s="1" t="s">
        <v>57</v>
      </c>
      <c r="I46" s="1" t="s">
        <v>57</v>
      </c>
      <c r="J46" s="1">
        <v>8.8950169979999991</v>
      </c>
      <c r="K46" s="1">
        <v>0</v>
      </c>
      <c r="L46" s="1" t="s">
        <v>281</v>
      </c>
    </row>
    <row r="47" spans="1:12" x14ac:dyDescent="0.2">
      <c r="A47" s="1" t="s">
        <v>58</v>
      </c>
      <c r="B47" s="1">
        <f>M92</f>
        <v>27.726969585209012</v>
      </c>
      <c r="C47" s="1">
        <f>M68</f>
        <v>0.29152931818179895</v>
      </c>
      <c r="D47" s="1">
        <f>M89</f>
        <v>16.892289581061494</v>
      </c>
      <c r="E47" s="1">
        <f>M94</f>
        <v>7.890860072655677</v>
      </c>
      <c r="F47" s="1">
        <f>10*S6</f>
        <v>0</v>
      </c>
      <c r="G47" s="1">
        <f>M100</f>
        <v>1.626688941562086</v>
      </c>
      <c r="H47" s="1">
        <f>M101</f>
        <v>14.978274295331934</v>
      </c>
      <c r="I47" s="1">
        <f>M102</f>
        <v>9.3381929815272464</v>
      </c>
      <c r="J47" s="1">
        <f>M103</f>
        <v>566.97558840839849</v>
      </c>
      <c r="K47" s="1" t="s">
        <v>257</v>
      </c>
      <c r="L47" s="1">
        <f>M60</f>
        <v>29.944444750944136</v>
      </c>
    </row>
    <row r="48" spans="1:12" x14ac:dyDescent="0.2">
      <c r="A48" s="1" t="s">
        <v>59</v>
      </c>
      <c r="B48" s="1">
        <f>M91</f>
        <v>1585.8566026234737</v>
      </c>
      <c r="C48" s="1">
        <f>M69</f>
        <v>2.5216332749447921E-2</v>
      </c>
      <c r="D48" s="1">
        <f>M88</f>
        <v>84.515441174739735</v>
      </c>
      <c r="E48" s="1">
        <f>M95</f>
        <v>11.757896089491899</v>
      </c>
      <c r="F48" s="1">
        <f>M70</f>
        <v>0.22132477474366263</v>
      </c>
      <c r="G48" s="1">
        <f>M66</f>
        <v>170.45769067041618</v>
      </c>
      <c r="H48" s="1">
        <f>M63</f>
        <v>2.097860163301001</v>
      </c>
      <c r="I48" s="1">
        <f>M62</f>
        <v>2.9652225981010014</v>
      </c>
      <c r="J48" s="1" t="s">
        <v>60</v>
      </c>
      <c r="K48" s="1" t="s">
        <v>60</v>
      </c>
      <c r="L48" s="1">
        <f>M104</f>
        <v>18.083014989999999</v>
      </c>
    </row>
    <row r="49" spans="1:17" x14ac:dyDescent="0.2">
      <c r="A49" s="1" t="s">
        <v>61</v>
      </c>
      <c r="B49" s="1">
        <f>B47</f>
        <v>27.726969585209012</v>
      </c>
      <c r="C49" s="1">
        <f>C46</f>
        <v>0</v>
      </c>
      <c r="D49" s="1">
        <f>D47</f>
        <v>16.892289581061494</v>
      </c>
      <c r="E49" s="1">
        <f>E48</f>
        <v>11.757896089491899</v>
      </c>
      <c r="F49" s="1">
        <f>F46</f>
        <v>0</v>
      </c>
      <c r="G49" s="1">
        <f>G47</f>
        <v>1.626688941562086</v>
      </c>
      <c r="H49" s="1">
        <f>H48</f>
        <v>2.097860163301001</v>
      </c>
      <c r="I49" s="1">
        <f>I48</f>
        <v>2.9652225981010014</v>
      </c>
      <c r="J49" s="1">
        <f>J46</f>
        <v>8.8950169979999991</v>
      </c>
      <c r="K49" s="1">
        <f>K46</f>
        <v>0</v>
      </c>
      <c r="L49" s="1">
        <f>L48</f>
        <v>18.083014989999999</v>
      </c>
    </row>
    <row r="51" spans="1:17" ht="25.5" x14ac:dyDescent="0.2">
      <c r="A51" s="15" t="s">
        <v>62</v>
      </c>
      <c r="B51" s="15"/>
      <c r="C51" s="15"/>
      <c r="D51" s="15"/>
      <c r="E51" s="15"/>
      <c r="F51" s="15"/>
      <c r="G51" s="15"/>
      <c r="H51" s="15"/>
      <c r="I51" s="15"/>
    </row>
    <row r="52" spans="1:17" x14ac:dyDescent="0.2">
      <c r="C52" s="2" t="s">
        <v>63</v>
      </c>
      <c r="D52" s="2"/>
      <c r="E52" s="2"/>
      <c r="F52" s="2"/>
      <c r="G52" s="2"/>
    </row>
    <row r="53" spans="1:17" x14ac:dyDescent="0.2">
      <c r="A53" s="1" t="s">
        <v>64</v>
      </c>
      <c r="B53" s="1" t="s">
        <v>65</v>
      </c>
      <c r="C53" s="1" t="s">
        <v>66</v>
      </c>
      <c r="D53" s="1" t="s">
        <v>238</v>
      </c>
      <c r="E53" s="1" t="s">
        <v>239</v>
      </c>
      <c r="F53" s="1" t="s">
        <v>240</v>
      </c>
      <c r="G53" s="1" t="s">
        <v>241</v>
      </c>
      <c r="H53" s="1" t="s">
        <v>242</v>
      </c>
      <c r="I53" s="1" t="s">
        <v>243</v>
      </c>
      <c r="J53" s="1" t="s">
        <v>244</v>
      </c>
      <c r="K53" s="1" t="s">
        <v>245</v>
      </c>
      <c r="L53" s="1" t="s">
        <v>67</v>
      </c>
      <c r="M53" s="1" t="s">
        <v>68</v>
      </c>
      <c r="N53" s="1" t="s">
        <v>69</v>
      </c>
      <c r="P53" s="1" t="s">
        <v>70</v>
      </c>
    </row>
    <row r="54" spans="1:17" ht="19.5" x14ac:dyDescent="0.2">
      <c r="A54" s="12" t="s">
        <v>71</v>
      </c>
      <c r="B54" s="12"/>
      <c r="C54" s="12"/>
      <c r="D54" s="12"/>
      <c r="E54" s="12"/>
      <c r="F54" s="12"/>
      <c r="G54" s="12"/>
      <c r="H54" s="12"/>
      <c r="I54" s="12"/>
    </row>
    <row r="55" spans="1:17" x14ac:dyDescent="0.2">
      <c r="A55" s="1" t="s">
        <v>72</v>
      </c>
      <c r="B55" s="1" t="s">
        <v>73</v>
      </c>
      <c r="C55" s="1">
        <f>$A$29+($B$6+$C$3*$B$9)/$C$2</f>
        <v>1.1809668119299339</v>
      </c>
      <c r="D55" s="1">
        <f>($A$29+($B$6+$C$3*$B$9*D$23)/$C$2+C$23)/C$24</f>
        <v>889.05055519991902</v>
      </c>
      <c r="E55" s="1">
        <f>($A$29+($B$6+$C$3*$B$9*D$23)/D$24/$C$2+C$23)</f>
        <v>1000.1810878503271</v>
      </c>
      <c r="F55" s="1">
        <f>($A$29+($B$6+$C$3*$B$9*F$23)/$C$2+E$23)/E$24</f>
        <v>833.48590415323417</v>
      </c>
      <c r="G55" s="1">
        <f>($A$29+($B$6+$C$3*$B$9*F$23)/F$24/$C$2+E$23)</f>
        <v>1000.1813702732539</v>
      </c>
      <c r="H55" s="1">
        <f>($A$29+($B$6+$C$3*$B$9*H$23)/$C$2+G$23)/G$24</f>
        <v>816.47697581049204</v>
      </c>
      <c r="I55" s="1">
        <f>($A$29+($B$6+$C$3*$B$9*H$23)/H$24/$C$2+G$23)</f>
        <v>1000.1815720039159</v>
      </c>
      <c r="J55" s="1">
        <f>($A$29+($B$6+$C$3*$B$9*J$23)/$C$2+I$23)/I$24</f>
        <v>1.4481630650720689</v>
      </c>
      <c r="K55" s="1">
        <f>($A$29+($B$6+$C$3*$B$9*J$23)/J$24/$C$2+I$23)</f>
        <v>1.8064213814276688</v>
      </c>
      <c r="L55" s="1">
        <f>MIN(C55:K55)</f>
        <v>1.1809668119299339</v>
      </c>
      <c r="M55" s="1">
        <f t="shared" ref="M55:M70" si="0">L55</f>
        <v>1.1809668119299339</v>
      </c>
      <c r="N55" s="1" t="str">
        <f>IF(C55=M55,$C$53,"")&amp;IF(D55=M55,$D$53,"")&amp;IF(E55=M55,$E$53,"")&amp;IF(F55=M55,$F$53,"")&amp;IF(G55=M55,$G$53,"")&amp;IF(H55=M55,$H$53,"")&amp;IF(I55=M55,$I$53,"")&amp;IF(J55=M55,$J$53,"")&amp;IF(K55=M55,$K$53,"")</f>
        <v>不使用增产剂</v>
      </c>
      <c r="O55" s="1" t="s">
        <v>72</v>
      </c>
      <c r="P55" s="1">
        <f t="shared" ref="P55:P70" si="1">60*318310/M55</f>
        <v>16172003.994582288</v>
      </c>
      <c r="Q55" s="1" t="s">
        <v>74</v>
      </c>
    </row>
    <row r="56" spans="1:17" x14ac:dyDescent="0.2">
      <c r="A56" s="1" t="s">
        <v>75</v>
      </c>
      <c r="B56" s="1" t="s">
        <v>76</v>
      </c>
      <c r="C56" s="1">
        <f>$B$29+($B$6+$C$3*$B$9)/$C$2</f>
        <v>1.5201973629299339</v>
      </c>
      <c r="D56" s="1">
        <f>($B$29+($B$6+$C$3*$B$9*D$23)/$C$2+C$23)/C$24</f>
        <v>889.35209346747467</v>
      </c>
      <c r="E56" s="1">
        <f>($B$29+($B$6+$C$3*$B$9*D$23)/D$24/$C$2+C$23)</f>
        <v>1000.5203184013271</v>
      </c>
      <c r="F56" s="1">
        <f>($B$29+($B$6+$C$3*$B$9*F$23)/$C$2+E$23)/E$24</f>
        <v>833.76859627906742</v>
      </c>
      <c r="G56" s="1">
        <f>($B$29+($B$6+$C$3*$B$9*F$23)/F$24/$C$2+E$23)</f>
        <v>1000.520600824254</v>
      </c>
      <c r="H56" s="1">
        <f>($B$29+($B$6+$C$3*$B$9*H$23)/$C$2+G$23)/G$24</f>
        <v>816.75389870926756</v>
      </c>
      <c r="I56" s="1">
        <f>($B$29+($B$6+$C$3*$B$9*H$23)/H$24/$C$2+G$23)</f>
        <v>1000.5208025549159</v>
      </c>
      <c r="J56" s="1">
        <f>($B$29+($B$6+$C$3*$B$9*J$23)/$C$2+I$23)/I$24</f>
        <v>1.7195475058720688</v>
      </c>
      <c r="K56" s="1">
        <f>($B$29+($B$6+$C$3*$B$9*J$23)/J$24/$C$2+I$23)</f>
        <v>2.1456519324276688</v>
      </c>
      <c r="L56" s="1">
        <f t="shared" ref="L56:L119" si="2">MIN(C56:K56)</f>
        <v>1.5201973629299339</v>
      </c>
      <c r="M56" s="1">
        <f>L56</f>
        <v>1.5201973629299339</v>
      </c>
      <c r="N56" s="1" t="str">
        <f>IF(C56=M56,$C$53,"")&amp;IF(D56=M56,$D$53,"")&amp;IF(E56=M56,$E$53,"")&amp;IF(F56=M56,$F$53,"")&amp;IF(G56=M56,$G$53,"")&amp;IF(H56=M56,$H$53,"")&amp;IF(I56=M56,$I$53,"")&amp;IF(J56=M56,$J$53,"")&amp;IF(K56=M56,$K$53,"")</f>
        <v>不使用增产剂</v>
      </c>
      <c r="O56" s="1" t="s">
        <v>75</v>
      </c>
      <c r="P56" s="1">
        <f t="shared" si="1"/>
        <v>12563237.159674153</v>
      </c>
      <c r="Q56" s="1" t="s">
        <v>74</v>
      </c>
    </row>
    <row r="57" spans="1:17" x14ac:dyDescent="0.2">
      <c r="A57" s="1" t="s">
        <v>77</v>
      </c>
      <c r="B57" s="1" t="s">
        <v>78</v>
      </c>
      <c r="C57" s="1">
        <f>2*$C$29+2*($B$6+$C$3*$B$9)/$C$2</f>
        <v>12.532667645859867</v>
      </c>
      <c r="D57" s="1">
        <f>(2*$C$29+2*($B$6+$C$3*$B$9*D$23)/$C$2+2*C$23)/C$24</f>
        <v>1787.1417628638383</v>
      </c>
      <c r="E57" s="1">
        <f>(2*$C$29+2*($B$6+$C$3*$B$9*D$23)/D$24/$C$2+2*C$23)</f>
        <v>2010.5329097226543</v>
      </c>
      <c r="F57" s="1">
        <f>(2*$C$29+2*($B$6+$C$3*$B$9*F$23)/$C$2+2*E$23)/E$24</f>
        <v>1675.4474199914682</v>
      </c>
      <c r="G57" s="1">
        <f>(2*$C$29+2*($B$6+$C$3*$B$9*F$23)/F$24/$C$2+2*E$23)</f>
        <v>2010.5334745685079</v>
      </c>
      <c r="H57" s="1">
        <f>(2*$C$29+2*($B$6+$C$3*$B$9*H$23)/$C$2+2*G$23)/G$24</f>
        <v>1641.2565916389433</v>
      </c>
      <c r="I57" s="1">
        <f>(2*$C$29+2*($B$6+$C$3*$B$9*H$23)/H$24/$C$2+2*G$23)</f>
        <v>2010.5338780298318</v>
      </c>
      <c r="J57" s="1">
        <f>(2*$C$29+2*($B$6+$C$3*$B$9*J$23)/$C$2+2*I$23)/I$24</f>
        <v>11.032913347744138</v>
      </c>
      <c r="K57" s="1">
        <f>(2*$C$29+2*($B$6+$C$3*$B$9*J$23)/J$24/$C$2+2*I$23)</f>
        <v>13.783576784855336</v>
      </c>
      <c r="L57" s="1">
        <f t="shared" si="2"/>
        <v>11.032913347744138</v>
      </c>
      <c r="M57" s="1">
        <f t="shared" si="0"/>
        <v>11.032913347744138</v>
      </c>
      <c r="N57" s="1" t="str">
        <f t="shared" ref="N57:N119" si="3">IF(C57=M57,$C$53,"")&amp;IF(D57=M57,$D$53,"")&amp;IF(E57=M57,$E$53,"")&amp;IF(F57=M57,$F$53,"")&amp;IF(G57=M57,$G$53,"")&amp;IF(H57=M57,$H$53,"")&amp;IF(I57=M57,$I$53,"")&amp;IF(J57=M57,$J$53,"")&amp;IF(K57=M57,$K$53,"")</f>
        <v>4喷涂增产</v>
      </c>
      <c r="O57" s="1" t="s">
        <v>77</v>
      </c>
      <c r="P57" s="1">
        <f t="shared" si="1"/>
        <v>1731056.8295095896</v>
      </c>
      <c r="Q57" s="1" t="s">
        <v>74</v>
      </c>
    </row>
    <row r="58" spans="1:17" x14ac:dyDescent="0.2">
      <c r="A58" s="1" t="s">
        <v>79</v>
      </c>
      <c r="B58" s="1" t="s">
        <v>80</v>
      </c>
      <c r="C58" s="1">
        <f>2*$D$29+2*($B$6+$C$3*$B$9)/$C$2</f>
        <v>3.2216053038598678</v>
      </c>
      <c r="D58" s="1">
        <f>(2*$D$29+2*($B$6+$C$3*$B$9*D$23)/$C$2+2*C$23)/C$24</f>
        <v>1778.8652630042825</v>
      </c>
      <c r="E58" s="1">
        <f>(2*$D$29+2*($B$6+$C$3*$B$9*D$23)/D$24/$C$2+2*C$23)</f>
        <v>2001.2218473806543</v>
      </c>
      <c r="F58" s="1">
        <f>(2*$D$29+2*($B$6+$C$3*$B$9*F$23)/$C$2+2*E$23)/E$24</f>
        <v>1667.6882013731349</v>
      </c>
      <c r="G58" s="1">
        <f>(2*$D$29+2*($B$6+$C$3*$B$9*F$23)/F$24/$C$2+2*E$23)</f>
        <v>2001.2224122265079</v>
      </c>
      <c r="H58" s="1">
        <f>(2*$D$29+2*($B$6+$C$3*$B$9*H$23)/$C$2+2*G$23)/G$24</f>
        <v>1633.6557244209841</v>
      </c>
      <c r="I58" s="1">
        <f>(2*$D$29+2*($B$6+$C$3*$B$9*H$23)/H$24/$C$2+2*G$23)</f>
        <v>2001.2228156878318</v>
      </c>
      <c r="J58" s="1">
        <f>(2*$D$29+2*($B$6+$C$3*$B$9*J$23)/$C$2+2*I$23)/I$24</f>
        <v>3.5840634741441377</v>
      </c>
      <c r="K58" s="1">
        <f>(2*$D$29+2*($B$6+$C$3*$B$9*J$23)/J$24/$C$2+2*I$23)</f>
        <v>4.4725144428553376</v>
      </c>
      <c r="L58" s="1">
        <f t="shared" si="2"/>
        <v>3.2216053038598678</v>
      </c>
      <c r="M58" s="1">
        <f t="shared" si="0"/>
        <v>3.2216053038598678</v>
      </c>
      <c r="N58" s="1" t="str">
        <f t="shared" si="3"/>
        <v>不使用增产剂</v>
      </c>
      <c r="O58" s="1" t="s">
        <v>79</v>
      </c>
      <c r="P58" s="1">
        <f t="shared" si="1"/>
        <v>5928286.7386385286</v>
      </c>
      <c r="Q58" s="1" t="s">
        <v>74</v>
      </c>
    </row>
    <row r="59" spans="1:17" x14ac:dyDescent="0.2">
      <c r="A59" s="1" t="s">
        <v>81</v>
      </c>
      <c r="B59" s="1" t="s">
        <v>82</v>
      </c>
      <c r="C59" s="1">
        <f>$E$29+($B$6+$C$3*$B$9)/$C$2</f>
        <v>1.0030259599299338</v>
      </c>
      <c r="D59" s="1">
        <f>($E$29+($B$6+$C$3*$B$9*D$23)/$C$2+C$23)/C$24</f>
        <v>888.89238555369684</v>
      </c>
      <c r="E59" s="1">
        <f>($E$29+($B$6+$C$3*$B$9*D$23)/D$24/$C$2+C$23)</f>
        <v>1000.0031469983271</v>
      </c>
      <c r="F59" s="1">
        <f>($E$29+($B$6+$C$3*$B$9*F$23)/$C$2+E$23)/E$24</f>
        <v>833.33762010990074</v>
      </c>
      <c r="G59" s="1">
        <f>($E$29+($B$6+$C$3*$B$9*F$23)/F$24/$C$2+E$23)</f>
        <v>1000.0034294212539</v>
      </c>
      <c r="H59" s="1">
        <f>($E$29+($B$6+$C$3*$B$9*H$23)/$C$2+G$23)/G$24</f>
        <v>816.33171797212469</v>
      </c>
      <c r="I59" s="1">
        <f>($E$29+($B$6+$C$3*$B$9*H$23)/H$24/$C$2+G$23)</f>
        <v>1000.0036311519159</v>
      </c>
      <c r="J59" s="1">
        <f>($E$29+($B$6+$C$3*$B$9*J$23)/$C$2+I$23)/I$24</f>
        <v>1.3058103834720687</v>
      </c>
      <c r="K59" s="1">
        <f>($E$29+($B$6+$C$3*$B$9*J$23)/J$24/$C$2+I$23)</f>
        <v>1.628480529427669</v>
      </c>
      <c r="L59" s="1">
        <f t="shared" si="2"/>
        <v>1.0030259599299338</v>
      </c>
      <c r="M59" s="1">
        <f t="shared" si="0"/>
        <v>1.0030259599299338</v>
      </c>
      <c r="N59" s="1" t="str">
        <f t="shared" si="3"/>
        <v>不使用增产剂</v>
      </c>
      <c r="O59" s="1" t="s">
        <v>81</v>
      </c>
      <c r="P59" s="1">
        <f t="shared" si="1"/>
        <v>19040982.749174438</v>
      </c>
      <c r="Q59" s="1" t="s">
        <v>74</v>
      </c>
    </row>
    <row r="60" spans="1:17" x14ac:dyDescent="0.2">
      <c r="A60" s="1" t="s">
        <v>83</v>
      </c>
      <c r="B60" s="1" t="s">
        <v>84</v>
      </c>
      <c r="C60" s="1">
        <f>2*$F$29+2*($B$6+$C$3*$B$9)/$C$2</f>
        <v>36.172081899859862</v>
      </c>
      <c r="D60" s="1">
        <f>(2*$F$29+2*($B$6+$C$3*$B$9*D$23)/$C$2+2*C$23)/C$24</f>
        <v>1808.1545755340603</v>
      </c>
      <c r="E60" s="1">
        <f>(2*$F$29+2*($B$6+$C$3*$B$9*D$23)/D$24/$C$2+2*C$23)</f>
        <v>2034.1723239766543</v>
      </c>
      <c r="F60" s="1">
        <f>(2*$F$29+2*($B$6+$C$3*$B$9*F$23)/$C$2+2*E$23)/E$24</f>
        <v>1695.1469318698014</v>
      </c>
      <c r="G60" s="1">
        <f>(2*$F$29+2*($B$6+$C$3*$B$9*F$23)/F$24/$C$2+2*E$23)</f>
        <v>2034.172888822508</v>
      </c>
      <c r="H60" s="1">
        <f>(2*$F$29+2*($B$6+$C$3*$B$9*H$23)/$C$2+2*G$23)/G$24</f>
        <v>1660.5540726626168</v>
      </c>
      <c r="I60" s="1">
        <f>(2*$F$29+2*($B$6+$C$3*$B$9*H$23)/H$24/$C$2+2*G$23)</f>
        <v>2034.1732922838319</v>
      </c>
      <c r="J60" s="1">
        <f>(2*$F$29+2*($B$6+$C$3*$B$9*J$23)/$C$2+2*I$23)/I$24</f>
        <v>29.944444750944136</v>
      </c>
      <c r="K60" s="1">
        <f>(2*$F$29+2*($B$6+$C$3*$B$9*J$23)/J$24/$C$2+2*I$23)</f>
        <v>37.422991038855336</v>
      </c>
      <c r="L60" s="1">
        <f t="shared" si="2"/>
        <v>29.944444750944136</v>
      </c>
      <c r="M60" s="1">
        <f t="shared" si="0"/>
        <v>29.944444750944136</v>
      </c>
      <c r="N60" s="1" t="str">
        <f t="shared" si="3"/>
        <v>4喷涂增产</v>
      </c>
      <c r="O60" s="1" t="s">
        <v>83</v>
      </c>
      <c r="P60" s="1">
        <f t="shared" si="1"/>
        <v>637801.10664425755</v>
      </c>
      <c r="Q60" s="1" t="s">
        <v>74</v>
      </c>
    </row>
    <row r="61" spans="1:17" x14ac:dyDescent="0.2">
      <c r="A61" s="1" t="s">
        <v>85</v>
      </c>
      <c r="B61" s="1" t="s">
        <v>86</v>
      </c>
      <c r="C61" s="1">
        <f>2*$E$29+2*($B$6+$C$3*$B$9)/$C$2</f>
        <v>2.0060519198598676</v>
      </c>
      <c r="D61" s="1">
        <f>(2*$E$29+2*($B$6+$C$3*$B$9*D$23)/$C$2+2*C$23)/C$24</f>
        <v>1777.7847711073937</v>
      </c>
      <c r="E61" s="1">
        <f>(2*$E$29+2*($B$6+$C$3*$B$9*D$23)/D$24/$C$2+2*C$23)</f>
        <v>2000.0062939966542</v>
      </c>
      <c r="F61" s="1">
        <f>(2*$E$29+2*($B$6+$C$3*$B$9*F$23)/$C$2+2*E$23)/E$24</f>
        <v>1666.6752402198015</v>
      </c>
      <c r="G61" s="1">
        <f>(2*$E$29+2*($B$6+$C$3*$B$9*F$23)/F$24/$C$2+2*E$23)</f>
        <v>2000.0068588425079</v>
      </c>
      <c r="H61" s="1">
        <f>(2*$E$29+2*($B$6+$C$3*$B$9*H$23)/$C$2+2*G$23)/G$24</f>
        <v>1632.6634359442494</v>
      </c>
      <c r="I61" s="1">
        <f>(2*$E$29+2*($B$6+$C$3*$B$9*H$23)/H$24/$C$2+2*G$23)</f>
        <v>2000.0072623038318</v>
      </c>
      <c r="J61" s="1">
        <f>(2*$E$29+2*($B$6+$C$3*$B$9*J$23)/$C$2+2*I$23)/I$24</f>
        <v>2.6116207669441374</v>
      </c>
      <c r="K61" s="1">
        <f>(2*$E$29+2*($B$6+$C$3*$B$9*J$23)/J$24/$C$2+2*I$23)</f>
        <v>3.2569610588553379</v>
      </c>
      <c r="L61" s="1">
        <f t="shared" si="2"/>
        <v>2.0060519198598676</v>
      </c>
      <c r="M61" s="1">
        <f t="shared" si="0"/>
        <v>2.0060519198598676</v>
      </c>
      <c r="N61" s="1" t="str">
        <f t="shared" si="3"/>
        <v>不使用增产剂</v>
      </c>
      <c r="O61" s="1" t="s">
        <v>85</v>
      </c>
      <c r="P61" s="1">
        <f t="shared" si="1"/>
        <v>9520491.3745872192</v>
      </c>
      <c r="Q61" s="1" t="s">
        <v>74</v>
      </c>
    </row>
    <row r="62" spans="1:17" x14ac:dyDescent="0.2">
      <c r="A62" s="1" t="s">
        <v>87</v>
      </c>
      <c r="B62" s="1" t="s">
        <v>88</v>
      </c>
      <c r="C62" s="1">
        <f>($G$29+1.5*($D$6+$B$3*$B$9)/$B$2)/2</f>
        <v>3.3907750029474504</v>
      </c>
      <c r="D62" s="1">
        <f>($G$29+1.5*($D$6+$B$3*$B$9*D$23)/$B$2+C$23)/C$24/2</f>
        <v>447.01462741682815</v>
      </c>
      <c r="E62" s="1">
        <f>($G$29+1.5*($D$6+$B$3*$B$9*D$23)/D$24/$B$2+C$23)/2</f>
        <v>502.89086578174533</v>
      </c>
      <c r="F62" s="1">
        <f>($G$29+1.5*($D$6+$B$3*$B$9*F$23)/$B$2+E$23)/E$24/2</f>
        <v>419.07696969325889</v>
      </c>
      <c r="G62" s="1">
        <f>($G$29+1.5*($D$6+$B$3*$B$9*F$23)/F$24/$B$2+E$23)/2</f>
        <v>502.89107759894046</v>
      </c>
      <c r="H62" s="1">
        <f>($G$29+1.5*($D$6+$B$3*$B$9*H$23)/$B$2+G$23)/G$24/2</f>
        <v>410.52511952644051</v>
      </c>
      <c r="I62" s="1">
        <f>($G$29+1.5*($D$6+$B$3*$B$9*H$23)/H$24/$B$2+G$23)/2</f>
        <v>502.89122889693692</v>
      </c>
      <c r="J62" s="1">
        <f>($G$29+1.5*($D$6+$B$3*$B$9*J$23)/$B$2+I$23)/I$24/2</f>
        <v>2.9652225981010014</v>
      </c>
      <c r="K62" s="1">
        <f>($G$29+1.5*($D$6+$B$3*$B$9*J$23)/J$24/$B$2+I$23)/2</f>
        <v>3.7036914101919387</v>
      </c>
      <c r="L62" s="1">
        <f t="shared" si="2"/>
        <v>2.9652225981010014</v>
      </c>
      <c r="M62" s="1">
        <f t="shared" si="0"/>
        <v>2.9652225981010014</v>
      </c>
      <c r="N62" s="1" t="str">
        <f t="shared" si="3"/>
        <v>4喷涂增产</v>
      </c>
      <c r="O62" s="1" t="s">
        <v>87</v>
      </c>
      <c r="P62" s="1">
        <f t="shared" si="1"/>
        <v>6440865.5229564197</v>
      </c>
      <c r="Q62" s="1" t="s">
        <v>74</v>
      </c>
    </row>
    <row r="63" spans="1:17" x14ac:dyDescent="0.2">
      <c r="A63" s="1" t="s">
        <v>89</v>
      </c>
      <c r="B63" s="1" t="s">
        <v>90</v>
      </c>
      <c r="C63" s="1">
        <f>($H$29+1.5*($B$6+$C$3*$B$9)/$C$2)/2</f>
        <v>2.3065719594474503</v>
      </c>
      <c r="D63" s="1">
        <f>($H$29+1.5*($B$6+$C$3*$B$9*D$23)/$C$2+C$23)/C$24/2</f>
        <v>446.05089137816151</v>
      </c>
      <c r="E63" s="1">
        <f>($H$29+1.5*($B$6+$C$3*$B$9*D$23)/D$24/$C$2+C$23)/2</f>
        <v>501.80666273824534</v>
      </c>
      <c r="F63" s="1">
        <f>($H$29+1.5*($B$6+$C$3*$B$9*F$23)/$C$2+E$23)/E$24/2</f>
        <v>418.17346715700887</v>
      </c>
      <c r="G63" s="1">
        <f>($H$29+1.5*($B$6+$C$3*$B$9*F$23)/F$24/$C$2+E$23)/2</f>
        <v>501.80687455544046</v>
      </c>
      <c r="H63" s="1">
        <f>($H$29+1.5*($B$6+$C$3*$B$9*H$23)/$C$2+G$23)/G$24/2</f>
        <v>409.6400558174609</v>
      </c>
      <c r="I63" s="1">
        <f>($H$29+1.5*($B$6+$C$3*$B$9*H$23)/H$24/$C$2+G$23)/2</f>
        <v>501.80702585343693</v>
      </c>
      <c r="J63" s="1">
        <f>($H$29+1.5*($B$6+$C$3*$B$9*J$23)/$C$2+I$23)/I$24/2</f>
        <v>2.097860163301001</v>
      </c>
      <c r="K63" s="1">
        <f>($H$29+1.5*($B$6+$C$3*$B$9*J$23)/J$24/$C$2+I$23)/2</f>
        <v>2.6194883666919386</v>
      </c>
      <c r="L63" s="1">
        <f t="shared" si="2"/>
        <v>2.097860163301001</v>
      </c>
      <c r="M63" s="1">
        <f t="shared" si="0"/>
        <v>2.097860163301001</v>
      </c>
      <c r="N63" s="1" t="str">
        <f t="shared" si="3"/>
        <v>4喷涂增产</v>
      </c>
      <c r="O63" s="1" t="s">
        <v>89</v>
      </c>
      <c r="P63" s="1">
        <f t="shared" si="1"/>
        <v>9103847.9752378669</v>
      </c>
      <c r="Q63" s="1" t="s">
        <v>74</v>
      </c>
    </row>
    <row r="64" spans="1:17" x14ac:dyDescent="0.2">
      <c r="A64" s="1" t="s">
        <v>91</v>
      </c>
      <c r="B64" s="1" t="s">
        <v>92</v>
      </c>
      <c r="C64" s="1">
        <f>(2*$I$29+2*($I$6+$D$3*$B$9)/$D$2)/2</f>
        <v>4.5389398949006272E-3</v>
      </c>
      <c r="D64" s="1">
        <f>(2*$I$29+2*($I$6+$D$3*$B$9*D$23)/$D$2+2*C$23)/C$24/2</f>
        <v>888.00524499721189</v>
      </c>
      <c r="E64" s="1">
        <f>(2*$I$29+2*($I$6+$D$3*$B$9*D$23)/D$24/$D$2+2*C$23)/2</f>
        <v>999.00472049749067</v>
      </c>
      <c r="F64" s="1">
        <f>(2*$I$29+2*($I$6+$D$3*$B$9*F$23)/$D$2+2*E$23)/E$24/2</f>
        <v>832.50643016485117</v>
      </c>
      <c r="G64" s="1">
        <f>(2*$I$29+2*($I$6+$D$3*$B$9*F$23)/F$24/$D$2+2*E$23)/2</f>
        <v>999.00514413188091</v>
      </c>
      <c r="H64" s="1">
        <f>(2*$I$29+2*($I$6+$D$3*$B$9*H$23)/$D$2+2*G$23)/G$24/2</f>
        <v>815.5179851214524</v>
      </c>
      <c r="I64" s="1">
        <f>(2*$I$29+2*($I$6+$D$3*$B$9*H$23)/H$24/$D$2+2*G$23)/2</f>
        <v>999.00544672787385</v>
      </c>
      <c r="J64" s="1">
        <f>(2*$I$29+2*($I$6+$D$3*$B$9*J$23)/$D$2+2*I$23)/I$24/2</f>
        <v>0.50883634340200257</v>
      </c>
      <c r="K64" s="1">
        <f>(2*$I$29+2*($I$6+$D$3*$B$9*J$23)/J$24/$D$2+2*I$23)/2</f>
        <v>0.63037175438387738</v>
      </c>
      <c r="L64" s="1">
        <f t="shared" si="2"/>
        <v>4.5389398949006272E-3</v>
      </c>
      <c r="M64" s="1">
        <f t="shared" si="0"/>
        <v>4.5389398949006272E-3</v>
      </c>
      <c r="N64" s="1" t="str">
        <f t="shared" si="3"/>
        <v>不使用增产剂</v>
      </c>
      <c r="O64" s="1" t="s">
        <v>91</v>
      </c>
      <c r="P64" s="1">
        <f t="shared" si="1"/>
        <v>4207722605.3283381</v>
      </c>
      <c r="Q64" s="1" t="s">
        <v>74</v>
      </c>
    </row>
    <row r="65" spans="1:17" x14ac:dyDescent="0.2">
      <c r="A65" s="1" t="s">
        <v>93</v>
      </c>
      <c r="B65" s="1" t="s">
        <v>94</v>
      </c>
      <c r="C65" s="1">
        <f>(2*$J$29+4*($N$6+$E$3*$B$9)/$E$2)/2</f>
        <v>200.00806922647982</v>
      </c>
      <c r="D65" s="1">
        <f>(2*$J$29+4*($N$6+$E$3*$B$9*D$23)/$E$2+2*C$23)/C$24/2</f>
        <v>1065.7871022172656</v>
      </c>
      <c r="E65" s="1">
        <f>(2*$J$29+4*($N$6+$E$3*$B$9*D$23)/D$24/$E$2+2*C$23)/2</f>
        <v>1199.0083919955391</v>
      </c>
      <c r="F65" s="1">
        <f>(2*$J$29+4*($N$6+$E$3*$B$9*F$23)/$E$2+2*E$23)/E$24/2</f>
        <v>999.17809807084654</v>
      </c>
      <c r="G65" s="1">
        <f>(2*$J$29+4*($N$6+$E$3*$B$9*F$23)/F$24/$E$2+2*E$23)/2</f>
        <v>1199.0091451233438</v>
      </c>
      <c r="H65" s="1">
        <f>(2*$J$29+4*($N$6+$E$3*$B$9*H$23)/$E$2+2*G$23)/G$24/2</f>
        <v>978.78934316376115</v>
      </c>
      <c r="I65" s="1">
        <f>(2*$J$29+4*($N$6+$E$3*$B$9*H$23)/H$24/$E$2+2*G$23)/2</f>
        <v>1199.0096830717757</v>
      </c>
      <c r="J65" s="1">
        <f>(2*$J$29+4*($N$6+$E$3*$B$9*J$23)/$E$2+2*I$23)/I$24/2</f>
        <v>160.51589691657185</v>
      </c>
      <c r="K65" s="1">
        <f>(2*$J$29+4*($N$6+$E$3*$B$9*J$23)/J$24/$E$2+2*I$23)/2</f>
        <v>200.63478461261502</v>
      </c>
      <c r="L65" s="1">
        <f t="shared" si="2"/>
        <v>160.51589691657185</v>
      </c>
      <c r="M65" s="1">
        <f t="shared" si="0"/>
        <v>160.51589691657185</v>
      </c>
      <c r="N65" s="1" t="str">
        <f t="shared" si="3"/>
        <v>4喷涂增产</v>
      </c>
      <c r="O65" s="1" t="s">
        <v>93</v>
      </c>
      <c r="P65" s="1">
        <f t="shared" si="1"/>
        <v>118982.60774710993</v>
      </c>
      <c r="Q65" s="1" t="s">
        <v>74</v>
      </c>
    </row>
    <row r="66" spans="1:17" x14ac:dyDescent="0.2">
      <c r="A66" s="1" t="s">
        <v>95</v>
      </c>
      <c r="B66" s="1" t="s">
        <v>96</v>
      </c>
      <c r="C66" s="1">
        <f>(6*$K$29+4*($H$6+$D$3*$B$9)/$D$2)/2</f>
        <v>211.18440227978977</v>
      </c>
      <c r="D66" s="1">
        <f>(6*$K$29+4*($H$6+$D$3*$B$9*D$23)/$D$2+6*C$23)/C$24/2</f>
        <v>2851.7218894610905</v>
      </c>
      <c r="E66" s="1">
        <f>(6*$K$29+4*($H$6+$D$3*$B$9*D$23)/D$24/$D$2+6*C$23)/2</f>
        <v>3208.1847653949812</v>
      </c>
      <c r="F66" s="1">
        <f>(6*$K$29+4*($H$6+$D$3*$B$9*F$23)/$D$2+6*E$23)/E$24/2</f>
        <v>2673.4922973297025</v>
      </c>
      <c r="G66" s="1">
        <f>(6*$K$29+4*($H$6+$D$3*$B$9*F$23)/F$24/$D$2+6*E$23)/2</f>
        <v>3208.1856126637617</v>
      </c>
      <c r="H66" s="1">
        <f>(6*$K$29+4*($H$6+$D$3*$B$9*H$23)/$D$2+6*G$23)/G$24/2</f>
        <v>2618.9341942429046</v>
      </c>
      <c r="I66" s="1">
        <f>(6*$K$29+4*($H$6+$D$3*$B$9*H$23)/H$24/$D$2+6*G$23)/2</f>
        <v>3208.1862178557476</v>
      </c>
      <c r="J66" s="1">
        <f>(6*$K$29+4*($H$6+$D$3*$B$9*J$23)/$D$2+6*I$23)/I$24/2</f>
        <v>170.45769067041618</v>
      </c>
      <c r="K66" s="1">
        <f>(6*$K$29+4*($H$6+$D$3*$B$9*J$23)/J$24/$D$2+6*I$23)/2</f>
        <v>213.06076598828298</v>
      </c>
      <c r="L66" s="1">
        <f t="shared" si="2"/>
        <v>170.45769067041618</v>
      </c>
      <c r="M66" s="1">
        <f t="shared" si="0"/>
        <v>170.45769067041618</v>
      </c>
      <c r="N66" s="1" t="str">
        <f t="shared" si="3"/>
        <v>4喷涂增产</v>
      </c>
      <c r="O66" s="1" t="s">
        <v>95</v>
      </c>
      <c r="P66" s="1">
        <f t="shared" si="1"/>
        <v>112043.05258908837</v>
      </c>
      <c r="Q66" s="1" t="s">
        <v>74</v>
      </c>
    </row>
    <row r="67" spans="1:17" x14ac:dyDescent="0.2">
      <c r="A67" s="1" t="s">
        <v>97</v>
      </c>
      <c r="B67" s="1" t="s">
        <v>98</v>
      </c>
      <c r="C67" s="1">
        <f>$A$29+1.5*($B$6+$C$3*$B$9)/$C$2</f>
        <v>1.1824797918949008</v>
      </c>
      <c r="D67" s="1">
        <f>($A$29+1.5*($B$6+$C$3*$B$9*D$23)/$C$2+C$23)/C$24</f>
        <v>889.05230353232298</v>
      </c>
      <c r="E67" s="1">
        <f>($A$29+1.5*($B$6+$C$3*$B$9*D$23)/D$24/$C$2+C$23)</f>
        <v>1000.1826613494907</v>
      </c>
      <c r="F67" s="1">
        <f>($A$29+1.5*($B$6+$C$3*$B$9*F$23)/$C$2+E$23)/E$24</f>
        <v>833.48804754151774</v>
      </c>
      <c r="G67" s="1">
        <f>($A$29+1.5*($B$6+$C$3*$B$9*F$23)/F$24/$C$2+E$23)</f>
        <v>1000.1830849838809</v>
      </c>
      <c r="H67" s="1">
        <f>($A$29+1.5*($B$6+$C$3*$B$9*H$23)/$C$2+G$23)/G$24</f>
        <v>816.47956949043203</v>
      </c>
      <c r="I67" s="1">
        <f>($A$29+1.5*($B$6+$C$3*$B$9*H$23)/H$24/$C$2+G$23)</f>
        <v>1000.1833875798739</v>
      </c>
      <c r="J67" s="1">
        <f>($A$29+1.5*($B$6+$C$3*$B$9*J$23)/$C$2+I$23)/I$24</f>
        <v>1.4511890250020028</v>
      </c>
      <c r="K67" s="1">
        <f>($A$29+1.5*($B$6+$C$3*$B$9*J$23)/J$24/$C$2+I$23)</f>
        <v>1.8083126063838773</v>
      </c>
      <c r="L67" s="1">
        <f t="shared" si="2"/>
        <v>1.1824797918949008</v>
      </c>
      <c r="M67" s="1">
        <f t="shared" si="0"/>
        <v>1.1824797918949008</v>
      </c>
      <c r="N67" s="1" t="str">
        <f t="shared" si="3"/>
        <v>不使用增产剂</v>
      </c>
      <c r="O67" s="1" t="s">
        <v>97</v>
      </c>
      <c r="P67" s="1">
        <f t="shared" si="1"/>
        <v>16151311.955525992</v>
      </c>
      <c r="Q67" s="1" t="s">
        <v>74</v>
      </c>
    </row>
    <row r="68" spans="1:17" x14ac:dyDescent="0.2">
      <c r="A68" s="1" t="s">
        <v>99</v>
      </c>
      <c r="B68" s="1" t="s">
        <v>100</v>
      </c>
      <c r="C68" s="1" t="s">
        <v>254</v>
      </c>
      <c r="D68" s="1" t="s">
        <v>254</v>
      </c>
      <c r="E68" s="1" t="s">
        <v>254</v>
      </c>
      <c r="F68" s="1" t="s">
        <v>254</v>
      </c>
      <c r="G68" s="1" t="s">
        <v>254</v>
      </c>
      <c r="H68" s="1" t="s">
        <v>254</v>
      </c>
      <c r="I68" s="1" t="s">
        <v>254</v>
      </c>
      <c r="J68" s="1" t="s">
        <v>254</v>
      </c>
      <c r="K68" s="1">
        <f>($L$29+$T$6+$B$9*$H$3+$I$23)/$H$2</f>
        <v>0.29152931818179895</v>
      </c>
      <c r="L68" s="1">
        <f>MIN(C68:K68)</f>
        <v>0.29152931818179895</v>
      </c>
      <c r="M68" s="1">
        <f t="shared" si="0"/>
        <v>0.29152931818179895</v>
      </c>
      <c r="N68" s="1" t="str">
        <f t="shared" si="3"/>
        <v>4喷涂加速</v>
      </c>
      <c r="O68" s="1" t="s">
        <v>255</v>
      </c>
      <c r="P68" s="1">
        <f t="shared" si="1"/>
        <v>65511764.371122465</v>
      </c>
      <c r="Q68" s="1" t="s">
        <v>74</v>
      </c>
    </row>
    <row r="69" spans="1:17" x14ac:dyDescent="0.2">
      <c r="A69" s="1" t="s">
        <v>102</v>
      </c>
      <c r="B69" s="1" t="s">
        <v>103</v>
      </c>
      <c r="C69" s="1">
        <f>(10*$L$29+2.5*($J$6+$F$3*$B$9)/$F$2)/5</f>
        <v>2.5216332749447921E-2</v>
      </c>
      <c r="D69" s="1" t="s">
        <v>101</v>
      </c>
      <c r="E69" s="1">
        <f>(10*$L$29+2.5*($J$6+$F$3*$B$9*D$23)/D$24/$F$2+10*C$23)/5</f>
        <v>1998.0262249860596</v>
      </c>
      <c r="F69" s="1" t="s">
        <v>101</v>
      </c>
      <c r="G69" s="1">
        <f>(10*$L$29+2.5*($J$6+$F$3*$B$9*F$23)/F$24/$F$2+10*E$23)/5</f>
        <v>1998.0285785104493</v>
      </c>
      <c r="H69" s="1" t="s">
        <v>101</v>
      </c>
      <c r="I69" s="1">
        <f>(10*$L$29+2.5*($J$6+$F$3*$B$9*H$23)/H$24/$F$2+10*G$23)/5</f>
        <v>1998.0302595992994</v>
      </c>
      <c r="J69" s="1" t="s">
        <v>101</v>
      </c>
      <c r="K69" s="1">
        <f>(10*$L$29+2.5*($J$6+$F$3*$B$9*J$23)/J$24/$F$2+10*I$23)/5</f>
        <v>1.280916574967313</v>
      </c>
      <c r="L69" s="1">
        <f t="shared" si="2"/>
        <v>2.5216332749447921E-2</v>
      </c>
      <c r="M69" s="1">
        <f t="shared" si="0"/>
        <v>2.5216332749447921E-2</v>
      </c>
      <c r="N69" s="1" t="str">
        <f t="shared" si="3"/>
        <v>不使用增产剂</v>
      </c>
      <c r="O69" s="1" t="s">
        <v>102</v>
      </c>
      <c r="P69" s="1">
        <f t="shared" si="1"/>
        <v>757390068.95910108</v>
      </c>
      <c r="Q69" s="1" t="s">
        <v>74</v>
      </c>
    </row>
    <row r="70" spans="1:17" x14ac:dyDescent="0.2">
      <c r="A70" s="1" t="s">
        <v>104</v>
      </c>
      <c r="B70" s="1" t="s">
        <v>105</v>
      </c>
      <c r="C70" s="1">
        <f>((0.1*$M$117)+60*$S$6)/12</f>
        <v>0.43744373215803151</v>
      </c>
      <c r="D70" s="1" t="s">
        <v>101</v>
      </c>
      <c r="E70" s="1">
        <f>(0.1*$M$117+60*$S$6+0.1*C$23)/12/D$24</f>
        <v>7.0099549857264254</v>
      </c>
      <c r="F70" s="1" t="s">
        <v>101</v>
      </c>
      <c r="G70" s="1">
        <f>(0.1*$M$117+60*$S$6+0.1*E$23)/12/F$24</f>
        <v>5.8416291547720212</v>
      </c>
      <c r="H70" s="1" t="s">
        <v>101</v>
      </c>
      <c r="I70" s="1">
        <f>(0.1*$M$117+60*$S$6+0.1*G$23)/12/H$24</f>
        <v>5.0071107040903033</v>
      </c>
      <c r="J70" s="1" t="s">
        <v>101</v>
      </c>
      <c r="K70" s="1">
        <f>(0.1*$M$117+60*$S$6+0.1*I$23)/12/J$24</f>
        <v>0.22132477474366263</v>
      </c>
      <c r="L70" s="1">
        <f t="shared" si="2"/>
        <v>0.22132477474366263</v>
      </c>
      <c r="M70" s="1">
        <f t="shared" si="0"/>
        <v>0.22132477474366263</v>
      </c>
      <c r="N70" s="1" t="str">
        <f t="shared" si="3"/>
        <v>4喷涂加速</v>
      </c>
      <c r="O70" s="1" t="s">
        <v>106</v>
      </c>
      <c r="P70" s="1">
        <f t="shared" si="1"/>
        <v>86292192.196377084</v>
      </c>
      <c r="Q70" s="1" t="s">
        <v>74</v>
      </c>
    </row>
    <row r="74" spans="1:17" ht="19.5" x14ac:dyDescent="0.2">
      <c r="A74" s="12" t="s">
        <v>107</v>
      </c>
      <c r="B74" s="12"/>
      <c r="C74" s="12"/>
      <c r="D74" s="12"/>
      <c r="E74" s="12"/>
      <c r="F74" s="12"/>
      <c r="G74" s="12"/>
      <c r="H74" s="12"/>
      <c r="I74" s="12"/>
    </row>
    <row r="75" spans="1:17" x14ac:dyDescent="0.2">
      <c r="A75" s="1" t="s">
        <v>108</v>
      </c>
      <c r="B75" s="1" t="s">
        <v>109</v>
      </c>
      <c r="C75" s="1">
        <f>((2*$M$67+$M$56)+($E$6+$B$3*$B$9)/$B$2)/2</f>
        <v>1.9440914533248348</v>
      </c>
      <c r="D75" s="1">
        <f>((2*$M$67+$M$56)+($E$6+$B$3*$B$9*D23)/$B$2+3*C23)/2/C24</f>
        <v>1333.7284847531682</v>
      </c>
      <c r="E75" s="1">
        <f>((2*$M$67+$M$56)+($E$6+$B$3*$B$9*D23)/$B$2/D24+3*C23)/2</f>
        <v>1500.4441519725235</v>
      </c>
      <c r="F75" s="1">
        <f>((2*$M$67+$M$56)+($E$6+$B$3*$B$9*F23)/$B$2+3*E23)/2/E24</f>
        <v>1250.3709587827504</v>
      </c>
      <c r="G75" s="1">
        <f>((2*$M$67+$M$56)+($E$6+$B$3*$B$9*F23)/$B$2/F24+3*E23)/2</f>
        <v>1500.4442931839869</v>
      </c>
      <c r="H75" s="1">
        <f>((2*$M$67+$M$56)+($E$6+$B$3*$B$9*H23)/$B$2+3*G23)/2/G24</f>
        <v>1224.8536781479886</v>
      </c>
      <c r="I75" s="1">
        <f>((2*$M$67+$M$56)+($E$6+$B$3*$B$9*H23)/$B$2/H24+3*G23)/2</f>
        <v>1500.4443940493179</v>
      </c>
      <c r="J75" s="1">
        <f>((2*$M$67+$M$56)+($E$6+$B$3*$B$9*J23)/$B$2+3*I23)/2/I24</f>
        <v>2.30672643403613</v>
      </c>
      <c r="K75" s="1">
        <f>((2*$M$67+$M$56)+($E$6+$B$3*$B$9*J23)/$B$2/J24+3*I23)/2</f>
        <v>2.8815168175889538</v>
      </c>
      <c r="L75" s="1">
        <f t="shared" si="2"/>
        <v>1.9440914533248348</v>
      </c>
      <c r="M75" s="1">
        <f t="shared" ref="M75:M104" si="4">L75</f>
        <v>1.9440914533248348</v>
      </c>
      <c r="N75" s="1" t="str">
        <f t="shared" si="3"/>
        <v>不使用增产剂</v>
      </c>
      <c r="O75" s="1" t="s">
        <v>108</v>
      </c>
      <c r="P75" s="1">
        <f t="shared" ref="P75:P104" si="5">60*318310/M75</f>
        <v>9823920.5605976451</v>
      </c>
      <c r="Q75" s="1" t="s">
        <v>74</v>
      </c>
    </row>
    <row r="76" spans="1:17" x14ac:dyDescent="0.2">
      <c r="A76" s="1" t="s">
        <v>110</v>
      </c>
      <c r="B76" s="1" t="s">
        <v>111</v>
      </c>
      <c r="C76" s="1">
        <f>((3*$M$55)+3*($B$6+$C$3*$B$9)/$C$2)</f>
        <v>3.5519783155796034</v>
      </c>
      <c r="D76" s="1">
        <f>((3*$M$55)+3*($B$6+$C$3*$B$9*D23)/$C$2+3*C23)/C24</f>
        <v>2667.1597348262371</v>
      </c>
      <c r="E76" s="1">
        <f>((3*$M$55)+3*($B$6+$C$3*$B$9*D23)/$C$2/D24+3*C23)</f>
        <v>3000.5523414307713</v>
      </c>
      <c r="F76" s="1">
        <f>((3*$M$55)+3*($B$6+$C$3*$B$9*F23)/$C$2+3*E23)/E24</f>
        <v>2500.4652773595271</v>
      </c>
      <c r="G76" s="1">
        <f>((3*$M$55)+3*($B$6+$C$3*$B$9*F23)/$C$2/F24+3*E23)</f>
        <v>3000.5531886995514</v>
      </c>
      <c r="H76" s="1">
        <f>((3*$M$55)+3*($B$6+$C$3*$B$9*H23)/$C$2+3*G23)/G24</f>
        <v>2449.4383379455903</v>
      </c>
      <c r="I76" s="1">
        <f>((3*$M$55)+3*($B$6+$C$3*$B$9*H23)/$C$2/H24+3*G23)</f>
        <v>3000.5537938915377</v>
      </c>
      <c r="J76" s="1">
        <f>((3*$M$55)+3*($B$6+$C$3*$B$9*J23)/$C$2+3*I23)/I24</f>
        <v>4.3517514990480475</v>
      </c>
      <c r="K76" s="1">
        <f>((3*$M$55)+3*($B$6+$C$3*$B$9*J23)/$C$2/J24+3*I23)</f>
        <v>5.4283420240728084</v>
      </c>
      <c r="L76" s="1">
        <f t="shared" si="2"/>
        <v>3.5519783155796034</v>
      </c>
      <c r="M76" s="1">
        <f t="shared" si="4"/>
        <v>3.5519783155796034</v>
      </c>
      <c r="N76" s="1" t="str">
        <f t="shared" si="3"/>
        <v>不使用增产剂</v>
      </c>
      <c r="O76" s="1" t="s">
        <v>110</v>
      </c>
      <c r="P76" s="1">
        <f t="shared" si="5"/>
        <v>5376890.9332104232</v>
      </c>
      <c r="Q76" s="1" t="s">
        <v>74</v>
      </c>
    </row>
    <row r="77" spans="1:17" x14ac:dyDescent="0.2">
      <c r="A77" s="1" t="s">
        <v>112</v>
      </c>
      <c r="B77" s="1" t="s">
        <v>113</v>
      </c>
      <c r="C77" s="1">
        <f>((4*$M$58+4*$M$76+8*K49)+(12/$C$2)*($C$6+$C$3*$B$9))/4</f>
        <v>6.7826614992292722</v>
      </c>
      <c r="D77" s="1">
        <f>((4*$M$58+4*$M$76)+(12/$C$2)*($C$6+$C$3*$B$9*D23)+16*C23)/4/C24</f>
        <v>3558.0314532117031</v>
      </c>
      <c r="E77" s="1">
        <f>((4*$M$58+4*$M$76)+(12/$C$2)*($C$6+$C$3*$B$9*D23)/D24+16*C23)/4</f>
        <v>4002.7830246144208</v>
      </c>
      <c r="F77" s="1">
        <f>((4*$M$58+4*$M$76)+(12/$C$2)*($C$6+$C$3*$B$9*F23)+16*E23)/4/E24</f>
        <v>3335.6575133459019</v>
      </c>
      <c r="G77" s="1">
        <f>((4*$M$58+4*$M$76)+(12/$C$2)*($C$6+$C$3*$B$9*F23)/F24+16*E23)/4</f>
        <v>4002.7838718832013</v>
      </c>
      <c r="H77" s="1">
        <f>((4*$M$58+4*$M$76)+(12/$C$2)*($C$6+$C$3*$B$9*H23)+16*G23)/4/G24</f>
        <v>3267.5858344220387</v>
      </c>
      <c r="I77" s="1">
        <f>((4*$M$58+4*$M$76)+(12/$C$2)*($C$6+$C$3*$B$9*H23)/H24+16*G23)/4</f>
        <v>4002.7844770751872</v>
      </c>
      <c r="J77" s="1">
        <f>((4*$M$58+4*$M$76)+(12/$C$2)*($C$6+$C$3*$B$9*J23)+16*I23)/4/I24</f>
        <v>7.4360565095799842</v>
      </c>
      <c r="K77" s="1">
        <f>((4*$M$58+4*$M$76)+(12/$C$2)*($C$6+$C$3*$B$9*J23)/J24+16*I23)/4</f>
        <v>9.2837232872377289</v>
      </c>
      <c r="L77" s="1">
        <f t="shared" si="2"/>
        <v>6.7826614992292722</v>
      </c>
      <c r="M77" s="1">
        <f t="shared" si="4"/>
        <v>6.7826614992292722</v>
      </c>
      <c r="N77" s="1" t="str">
        <f t="shared" si="3"/>
        <v>不使用增产剂</v>
      </c>
      <c r="O77" s="1" t="s">
        <v>112</v>
      </c>
      <c r="P77" s="1">
        <f t="shared" si="5"/>
        <v>2815797.3093851451</v>
      </c>
      <c r="Q77" s="1" t="s">
        <v>74</v>
      </c>
    </row>
    <row r="78" spans="1:17" x14ac:dyDescent="0.2">
      <c r="A78" s="1" t="s">
        <v>114</v>
      </c>
      <c r="B78" s="1" t="s">
        <v>115</v>
      </c>
      <c r="C78" s="1">
        <f>((2*$M$61+2*$M$58+2*$O$29)+(5/$B$2)*($F$6+$B$3*$B$9))/2</f>
        <v>5.2352221235445695</v>
      </c>
      <c r="D78" s="1">
        <f>((2*$M$61+2*$M$58+2*$O$29)+(5/$B$2)*($F$6+$B$3*$B$9*D23)+6*C23)/2/C24</f>
        <v>2668.6555480831039</v>
      </c>
      <c r="E78" s="1">
        <f>((2*$M$61+2*$M$58+2*$O$29)+(5/$B$2)*($F$6+$B$3*$B$9*D23)/D24+6*C23)/2</f>
        <v>3002.2355247195374</v>
      </c>
      <c r="F78" s="1">
        <f>((2*$M$61+2*$M$58+2*$O$29)+(5/$B$2)*($F$6+$B$3*$B$9*F23)+6*E23)/2/E24</f>
        <v>2501.8670979611848</v>
      </c>
      <c r="G78" s="1">
        <f>((2*$M$61+2*$M$58+2*$O$29)+(5/$B$2)*($F$6+$B$3*$B$9*F23)/F24+6*E23)/2</f>
        <v>3002.2362307768544</v>
      </c>
      <c r="H78" s="1">
        <f>((2*$M$61+2*$M$58+2*$O$29)+(5/$B$2)*($F$6+$B$3*$B$9*H23)+6*G23)/2/G24</f>
        <v>2450.8110559292668</v>
      </c>
      <c r="I78" s="1">
        <f>((2*$M$61+2*$M$58+2*$O$29)+(5/$B$2)*($F$6+$B$3*$B$9*H23)/H24+6*G23)/2</f>
        <v>3002.2367351035095</v>
      </c>
      <c r="J78" s="1">
        <f>((2*$M$61+2*$M$58+2*$O$29)+(5/$B$2)*($F$6+$B$3*$B$9*J23)+6*I23)/2/I24</f>
        <v>5.6965309694620601</v>
      </c>
      <c r="K78" s="1">
        <f>((2*$M$61+2*$M$58+2*$O$29)+(5/$B$2)*($F$6+$B$3*$B$9*J23)/J24+6*I23)/2</f>
        <v>7.1112075870465326</v>
      </c>
      <c r="L78" s="1">
        <f t="shared" si="2"/>
        <v>5.2352221235445695</v>
      </c>
      <c r="M78" s="1">
        <f t="shared" si="4"/>
        <v>5.2352221235445695</v>
      </c>
      <c r="N78" s="1" t="str">
        <f t="shared" si="3"/>
        <v>不使用增产剂</v>
      </c>
      <c r="O78" s="1" t="s">
        <v>114</v>
      </c>
      <c r="P78" s="1">
        <f t="shared" si="5"/>
        <v>3648097.3584878314</v>
      </c>
      <c r="Q78" s="1" t="s">
        <v>74</v>
      </c>
    </row>
    <row r="79" spans="1:17" x14ac:dyDescent="0.2">
      <c r="A79" s="1" t="s">
        <v>116</v>
      </c>
      <c r="B79" s="1" t="s">
        <v>117</v>
      </c>
      <c r="C79" s="1">
        <f>((3*$M$61)+(2/$B$2)*($D$6+$B$3*$B$9))/2</f>
        <v>3.0121038397197353</v>
      </c>
      <c r="D79" s="1">
        <f>((3*$M$61)+(2/$B$2)*($D$6+$B$3*$B$9*D23)+3*C23)/2/C24</f>
        <v>1334.6782325579543</v>
      </c>
      <c r="E79" s="1">
        <f>((3*$M$61)+(2/$B$2)*($D$6+$B$3*$B$9*D23)/D24+3*C23)/2</f>
        <v>1501.512224878117</v>
      </c>
      <c r="F79" s="1">
        <f>((3*$M$61)+(2/$B$2)*($D$6+$B$3*$B$9*F23)+3*E23)/2/E24</f>
        <v>1251.2618516763923</v>
      </c>
      <c r="G79" s="1">
        <f>((3*$M$61)+(2/$B$2)*($D$6+$B$3*$B$9*F23)/F24+3*E23)/2</f>
        <v>1501.5125073010438</v>
      </c>
      <c r="H79" s="1">
        <f>((3*$M$61)+(2/$B$2)*($D$6+$B$3*$B$9*H23)+3*G23)/2/G24</f>
        <v>1225.7268835882796</v>
      </c>
      <c r="I79" s="1">
        <f>((3*$M$61)+(2/$B$2)*($D$6+$B$3*$B$9*H23)/H24+3*G23)/2</f>
        <v>1501.5127090317058</v>
      </c>
      <c r="J79" s="1">
        <f>((3*$M$61)+(2/$B$2)*($D$6+$B$3*$B$9*J23)+3*I23)/2/I24</f>
        <v>3.1629519191100108</v>
      </c>
      <c r="K79" s="1">
        <f>((3*$M$61)+(2/$B$2)*($D$6+$B$3*$B$9*J23)/J24+3*I23)/2</f>
        <v>3.9499074489750958</v>
      </c>
      <c r="L79" s="1">
        <f t="shared" si="2"/>
        <v>3.0121038397197353</v>
      </c>
      <c r="M79" s="1">
        <f t="shared" si="4"/>
        <v>3.0121038397197353</v>
      </c>
      <c r="N79" s="1" t="str">
        <f t="shared" si="3"/>
        <v>不使用增产剂</v>
      </c>
      <c r="O79" s="1" t="s">
        <v>116</v>
      </c>
      <c r="P79" s="1">
        <f t="shared" si="5"/>
        <v>6340618.0584322261</v>
      </c>
      <c r="Q79" s="1" t="s">
        <v>74</v>
      </c>
    </row>
    <row r="80" spans="1:17" x14ac:dyDescent="0.2">
      <c r="A80" s="1" t="s">
        <v>118</v>
      </c>
      <c r="B80" s="1" t="s">
        <v>119</v>
      </c>
      <c r="C80" s="1">
        <f>((4*$M$75+2*$M$79)+(2/$B$2)*($E$6+$B$3*$B$9))/1</f>
        <v>13.806625412598677</v>
      </c>
      <c r="D80" s="1">
        <f>((4*$M$75+2*$M$79)+(2/$B$2)*($E$6+$B$3*$B$9*D23)+6*C23)/1/C24</f>
        <v>5340.2741697676065</v>
      </c>
      <c r="E80" s="1">
        <f>((4*$M$75+2*$M$79)+(2/$B$2)*($E$6+$B$3*$B$9*D23)/D24+6*C23)/1</f>
        <v>6007.806867489393</v>
      </c>
      <c r="F80" s="1">
        <f>((4*$M$75+2*$M$79)+(2/$B$2)*($E$6+$B$3*$B$9*F23)+6*E23)/1/E24</f>
        <v>5006.5090514637504</v>
      </c>
      <c r="G80" s="1">
        <f>((4*$M$75+2*$M$79)+(2/$B$2)*($E$6+$B$3*$B$9*F23)/F24+6*E23)/1</f>
        <v>6007.8074323352466</v>
      </c>
      <c r="H80" s="1">
        <f>((4*$M$75+2*$M$79)+(2/$B$2)*($E$6+$B$3*$B$9*H23)+6*G23)/1/G24</f>
        <v>4904.3373734893421</v>
      </c>
      <c r="I80" s="1">
        <f>((4*$M$75+2*$M$79)+(2/$B$2)*($E$6+$B$3*$B$9*H23)/H24+6*G23)/1</f>
        <v>6007.8078357965705</v>
      </c>
      <c r="J80" s="1">
        <f>((4*$M$75+2*$M$79)+(2/$B$2)*($E$6+$B$3*$B$9*J23)+6*I23)/1/I24</f>
        <v>14.051113415583989</v>
      </c>
      <c r="K80" s="1">
        <f>((4*$M$75+2*$M$79)+(2/$B$2)*($E$6+$B$3*$B$9*J23)/J24+6*I23)/1</f>
        <v>17.556326869655152</v>
      </c>
      <c r="L80" s="1">
        <f t="shared" si="2"/>
        <v>13.806625412598677</v>
      </c>
      <c r="M80" s="1">
        <f t="shared" si="4"/>
        <v>13.806625412598677</v>
      </c>
      <c r="N80" s="1" t="str">
        <f t="shared" si="3"/>
        <v>不使用增产剂</v>
      </c>
      <c r="O80" s="1" t="s">
        <v>118</v>
      </c>
      <c r="P80" s="1">
        <f t="shared" si="5"/>
        <v>1383292.3997903459</v>
      </c>
      <c r="Q80" s="1" t="s">
        <v>74</v>
      </c>
    </row>
    <row r="81" spans="1:17" x14ac:dyDescent="0.2">
      <c r="A81" s="1" t="s">
        <v>120</v>
      </c>
      <c r="B81" s="1" t="s">
        <v>121</v>
      </c>
      <c r="C81" s="1">
        <f>($M$55+(1/$B$2)*($D$6+$B$3*$B$9))</f>
        <v>1.1839927718598677</v>
      </c>
      <c r="D81" s="1">
        <f>($M$55+(1/$B$2)*($D$6+$B$3*$B$9*D23)+C23)/C24</f>
        <v>889.053244942079</v>
      </c>
      <c r="E81" s="1">
        <f>($M$55+(1/$B$2)*($D$6+$B$3*$B$9*D23)/D24+C23)</f>
        <v>1000.184113810257</v>
      </c>
      <c r="F81" s="1">
        <f>($M$55+(1/$B$2)*($D$6+$B$3*$B$9*F23)+E23)/E24</f>
        <v>833.48842578650908</v>
      </c>
      <c r="G81" s="1">
        <f>($M$55+(1/$B$2)*($D$6+$B$3*$B$9*F23)/F24+E23)</f>
        <v>1000.1843962331839</v>
      </c>
      <c r="H81" s="1">
        <f>($M$55+(1/$B$2)*($D$6+$B$3*$B$9*H23)+G23)/G24</f>
        <v>816.47944598186348</v>
      </c>
      <c r="I81" s="1">
        <f>($M$55+(1/$B$2)*($D$6+$B$3*$B$9*H23)/H24+G23)</f>
        <v>1000.1845979638458</v>
      </c>
      <c r="J81" s="1">
        <f>($M$55+(1/$B$2)*($D$6+$B$3*$B$9*J23)+I23)/I24</f>
        <v>1.4505838330160159</v>
      </c>
      <c r="K81" s="1">
        <f>($M$55+(1/$B$2)*($D$6+$B$3*$B$9*J23)/J24+I23)</f>
        <v>1.8094473413576027</v>
      </c>
      <c r="L81" s="1">
        <f t="shared" si="2"/>
        <v>1.1839927718598677</v>
      </c>
      <c r="M81" s="1">
        <f t="shared" si="4"/>
        <v>1.1839927718598677</v>
      </c>
      <c r="N81" s="1" t="str">
        <f t="shared" si="3"/>
        <v>不使用增产剂</v>
      </c>
      <c r="O81" s="1" t="s">
        <v>120</v>
      </c>
      <c r="P81" s="1">
        <f t="shared" si="5"/>
        <v>16130672.79963127</v>
      </c>
      <c r="Q81" s="1" t="s">
        <v>74</v>
      </c>
    </row>
    <row r="82" spans="1:17" x14ac:dyDescent="0.2">
      <c r="A82" s="1" t="s">
        <v>122</v>
      </c>
      <c r="B82" s="1" t="s">
        <v>123</v>
      </c>
      <c r="C82" s="1">
        <f>((2*$M$55+$M$56)+($E$6+$B$3*$B$9)/$B$2)/2</f>
        <v>1.9425784733598679</v>
      </c>
      <c r="D82" s="1">
        <f>((2*$M$55+$M$56)+($E$6+$B$3*$B$9*D23)/$B$2+3*C23)/2/C24</f>
        <v>1333.7271398820883</v>
      </c>
      <c r="E82" s="1">
        <f>((2*$M$55+$M$56)+($E$6+$B$3*$B$9*D23)/$B$2/D24+3*C23)/2</f>
        <v>1500.4426389925584</v>
      </c>
      <c r="F82" s="1">
        <f>((2*$M$55+$M$56)+($E$6+$B$3*$B$9*F23)/$B$2+3*E23)/2/E24</f>
        <v>1250.3696979661129</v>
      </c>
      <c r="G82" s="1">
        <f>((2*$M$55+$M$56)+($E$6+$B$3*$B$9*F23)/$B$2/F24+3*E23)/2</f>
        <v>1500.4427802040218</v>
      </c>
      <c r="H82" s="1">
        <f>((2*$M$55+$M$56)+($E$6+$B$3*$B$9*H23)/$B$2+3*G23)/2/G24</f>
        <v>1224.8524430623031</v>
      </c>
      <c r="I82" s="1">
        <f>((2*$M$55+$M$56)+($E$6+$B$3*$B$9*H23)/$B$2/H24+3*G23)/2</f>
        <v>1500.4428810693528</v>
      </c>
      <c r="J82" s="1">
        <f>((2*$M$55+$M$56)+($E$6+$B$3*$B$9*J23)/$B$2+3*I23)/2/I24</f>
        <v>2.3055160500641563</v>
      </c>
      <c r="K82" s="1">
        <f>((2*$M$55+$M$56)+($E$6+$B$3*$B$9*J23)/$B$2/J24+3*I23)/2</f>
        <v>2.8800038376239869</v>
      </c>
      <c r="L82" s="1">
        <f t="shared" si="2"/>
        <v>1.9425784733598679</v>
      </c>
      <c r="M82" s="1">
        <f t="shared" si="4"/>
        <v>1.9425784733598679</v>
      </c>
      <c r="N82" s="1" t="str">
        <f t="shared" si="3"/>
        <v>不使用增产剂</v>
      </c>
      <c r="O82" s="1" t="s">
        <v>122</v>
      </c>
      <c r="P82" s="1">
        <f t="shared" si="5"/>
        <v>9831571.9348867368</v>
      </c>
      <c r="Q82" s="1" t="s">
        <v>74</v>
      </c>
    </row>
    <row r="83" spans="1:17" x14ac:dyDescent="0.2">
      <c r="A83" s="1" t="s">
        <v>124</v>
      </c>
      <c r="B83" s="1" t="s">
        <v>125</v>
      </c>
      <c r="C83" s="1">
        <f>((2*$M$57+$M$56)+2*($E$6+$B$3*$B$9)/$B$2)</f>
        <v>23.592075978278078</v>
      </c>
      <c r="D83" s="1">
        <f>((2*$M$57+$M$56)+2*($E$6+$B$3*$B$9*D23)/$B$2+3*C23)/C24</f>
        <v>2684.9723480482098</v>
      </c>
      <c r="E83" s="1">
        <f>((2*$M$57+$M$56)+2*($E$6+$B$3*$B$9*D23)/$B$2/D24+3*C23)</f>
        <v>3020.5923180550726</v>
      </c>
      <c r="F83" s="1">
        <f>((2*$M$57+$M$56)+2*($E$6+$B$3*$B$9*F23)/$B$2+3*E23)/E24</f>
        <v>2517.163593601817</v>
      </c>
      <c r="G83" s="1">
        <f>((2*$M$57+$M$56)+2*($E$6+$B$3*$B$9*F23)/$B$2/F24+3*E23)</f>
        <v>3020.5928829009263</v>
      </c>
      <c r="H83" s="1">
        <f>((2*$M$57+$M$56)+2*($E$6+$B$3*$B$9*H23)/$B$2+3*G23)/G24</f>
        <v>2465.7948841552029</v>
      </c>
      <c r="I83" s="1">
        <f>((2*$M$57+$M$56)+2*($E$6+$B$3*$B$9*H23)/$B$2/H24+3*G23)</f>
        <v>3020.5932863622502</v>
      </c>
      <c r="J83" s="1">
        <f>((2*$M$57+$M$56)+2*($E$6+$B$3*$B$9*J23)/$B$2+3*I23)/I24</f>
        <v>20.380198477290907</v>
      </c>
      <c r="K83" s="1">
        <f>((2*$M$57+$M$56)+2*($E$6+$B$3*$B$9*J23)/$B$2/J24+3*I23)</f>
        <v>25.467683196788801</v>
      </c>
      <c r="L83" s="1">
        <f t="shared" si="2"/>
        <v>20.380198477290907</v>
      </c>
      <c r="M83" s="1">
        <f t="shared" si="4"/>
        <v>20.380198477290907</v>
      </c>
      <c r="N83" s="1" t="str">
        <f t="shared" si="3"/>
        <v>4喷涂增产</v>
      </c>
      <c r="O83" s="1" t="s">
        <v>124</v>
      </c>
      <c r="P83" s="1">
        <f t="shared" si="5"/>
        <v>937115.50558651541</v>
      </c>
      <c r="Q83" s="1" t="s">
        <v>74</v>
      </c>
    </row>
    <row r="84" spans="1:17" x14ac:dyDescent="0.2">
      <c r="A84" s="1" t="s">
        <v>126</v>
      </c>
      <c r="B84" s="1" t="s">
        <v>127</v>
      </c>
      <c r="C84" s="1">
        <f>((2*$M$82+2*$M$83)+(3/$B$2)*($E$6+$B$3*$B$9))</f>
        <v>44.654631781091354</v>
      </c>
      <c r="D84" s="1">
        <f>((2*$M$82+2*$M$83)+(3/$B$2)*($E$6+$B$3*$B$9*D23)+4*C23)/C24</f>
        <v>3591.6954267955807</v>
      </c>
      <c r="E84" s="1">
        <f>((2*$M$82+2*$M$83)+(3/$B$2)*($E$6+$B$3*$B$9*D23)/D24+4*C23)</f>
        <v>4040.6549948962829</v>
      </c>
      <c r="F84" s="1">
        <f>((2*$M$82+2*$M$83)+(3/$B$2)*($E$6+$B$3*$B$9*F23)+4*E23)/E24</f>
        <v>3367.2174885807872</v>
      </c>
      <c r="G84" s="1">
        <f>((2*$M$82+2*$M$83)+(3/$B$2)*($E$6+$B$3*$B$9*F23)/F24+4*E23)</f>
        <v>4040.6558421650634</v>
      </c>
      <c r="H84" s="1">
        <f>((2*$M$82+2*$M$83)+(3/$B$2)*($E$6+$B$3*$B$9*H23)+4*G23)/G24</f>
        <v>3298.5017285296813</v>
      </c>
      <c r="I84" s="1">
        <f>((2*$M$82+2*$M$83)+(3/$B$2)*($E$6+$B$3*$B$9*H23)/H24+4*G23)</f>
        <v>4040.6564473570493</v>
      </c>
      <c r="J84" s="1">
        <f>((2*$M$82+2*$M$83)+(3/$B$2)*($E$6+$B$3*$B$9*J23)+4*I23)/I24</f>
        <v>37.733632735069655</v>
      </c>
      <c r="K84" s="1">
        <f>((2*$M$82+2*$M$83)+(3/$B$2)*($E$6+$B$3*$B$9*J23)/J24+4*I23)</f>
        <v>47.15569356909981</v>
      </c>
      <c r="L84" s="1">
        <f t="shared" si="2"/>
        <v>37.733632735069655</v>
      </c>
      <c r="M84" s="1">
        <f t="shared" si="4"/>
        <v>37.733632735069655</v>
      </c>
      <c r="N84" s="1" t="str">
        <f t="shared" si="3"/>
        <v>4喷涂增产</v>
      </c>
      <c r="O84" s="1" t="s">
        <v>126</v>
      </c>
      <c r="P84" s="1">
        <f t="shared" si="5"/>
        <v>506142.62703229609</v>
      </c>
      <c r="Q84" s="1" t="s">
        <v>74</v>
      </c>
    </row>
    <row r="85" spans="1:17" x14ac:dyDescent="0.2">
      <c r="A85" s="1" t="s">
        <v>128</v>
      </c>
      <c r="B85" s="1" t="s">
        <v>129</v>
      </c>
      <c r="C85" s="1">
        <f>((2*$M$55+$M$81+$M$75)+(2/$B$2)*($F$6+$B$3*$B$9))</f>
        <v>5.4960697689044382</v>
      </c>
      <c r="D85" s="1">
        <f>((2*$M$55+$M$81+$M$75)+(2/$B$2)*($F$6+$B$3*$B$9*D23)+4*C23)/C24</f>
        <v>3556.8870091954332</v>
      </c>
      <c r="E85" s="1">
        <f>((2*$M$55+$M$81+$M$75)+(2/$B$2)*($F$6+$B$3*$B$9*D23)/D24+4*C23)</f>
        <v>4001.496311845699</v>
      </c>
      <c r="F85" s="1">
        <f>((2*$M$55+$M$81+$M$75)+(2/$B$2)*($F$6+$B$3*$B$9*F23)+4*E23)/E24</f>
        <v>3334.5835884273388</v>
      </c>
      <c r="G85" s="1">
        <f>((2*$M$55+$M$81+$M$75)+(2/$B$2)*($F$6+$B$3*$B$9*F23)/F24+4*E23)</f>
        <v>4001.4968766915526</v>
      </c>
      <c r="H85" s="1">
        <f>((2*$M$55+$M$81+$M$75)+(2/$B$2)*($F$6+$B$3*$B$9*H23)+4*G23)/G24</f>
        <v>3266.53283827</v>
      </c>
      <c r="I85" s="1">
        <f>((2*$M$55+$M$81+$M$75)+(2/$B$2)*($F$6+$B$3*$B$9*H23)/H24+4*G23)</f>
        <v>4001.4972801528766</v>
      </c>
      <c r="J85" s="1">
        <f>((2*$M$55+$M$81+$M$75)+(2/$B$2)*($F$6+$B$3*$B$9*J23)+4*I23)/I24</f>
        <v>6.4031519734041966</v>
      </c>
      <c r="K85" s="1">
        <f>((2*$M$55+$M$81+$M$75)+(2/$B$2)*($F$6+$B$3*$B$9*J23)/J24+4*I23)</f>
        <v>7.9963750669304119</v>
      </c>
      <c r="L85" s="1">
        <f t="shared" si="2"/>
        <v>5.4960697689044382</v>
      </c>
      <c r="M85" s="1">
        <f t="shared" si="4"/>
        <v>5.4960697689044382</v>
      </c>
      <c r="N85" s="1" t="str">
        <f t="shared" si="3"/>
        <v>不使用增产剂</v>
      </c>
      <c r="O85" s="1" t="s">
        <v>128</v>
      </c>
      <c r="P85" s="1">
        <f t="shared" si="5"/>
        <v>3474955.8872152069</v>
      </c>
      <c r="Q85" s="1" t="s">
        <v>74</v>
      </c>
    </row>
    <row r="86" spans="1:17" x14ac:dyDescent="0.2">
      <c r="A86" s="1" t="s">
        <v>130</v>
      </c>
      <c r="B86" s="1" t="s">
        <v>131</v>
      </c>
      <c r="C86" s="1">
        <f>((2*$M$85+2*$M$75)+(2/$B$2)*($E$6+$B$3*$B$9))</f>
        <v>14.886374364318414</v>
      </c>
      <c r="D86" s="1">
        <f>((2*$M$85+2*$M$75)+(2/$B$2)*($E$6+$B$3*$B$9*D23)+4*C23)/C24</f>
        <v>3565.2339466135791</v>
      </c>
      <c r="E86" s="1">
        <f>((2*$M$85+2*$M$75)+(2/$B$2)*($E$6+$B$3*$B$9*D23)/D24+4*C23)</f>
        <v>4010.8866164411129</v>
      </c>
      <c r="F86" s="1">
        <f>((2*$M$85+2*$M$75)+(2/$B$2)*($E$6+$B$3*$B$9*F23)+4*E23)/E24</f>
        <v>3342.4088422568502</v>
      </c>
      <c r="G86" s="1">
        <f>((2*$M$85+2*$M$75)+(2/$B$2)*($E$6+$B$3*$B$9*F23)/F24+4*E23)</f>
        <v>4010.8871812869666</v>
      </c>
      <c r="H86" s="1">
        <f>((2*$M$85+2*$M$75)+(2/$B$2)*($E$6+$B$3*$B$9*H23)+4*G23)/G24</f>
        <v>3274.1983930417664</v>
      </c>
      <c r="I86" s="1">
        <f>((2*$M$85+2*$M$75)+(2/$B$2)*($E$6+$B$3*$B$9*H23)/H24+4*G23)</f>
        <v>4010.8875847482905</v>
      </c>
      <c r="J86" s="1">
        <f>((2*$M$85+2*$M$75)+(2/$B$2)*($E$6+$B$3*$B$9*J23)+4*I23)/I24</f>
        <v>13.915395649735377</v>
      </c>
      <c r="K86" s="1">
        <f>((2*$M$85+2*$M$75)+(2/$B$2)*($E$6+$B$3*$B$9*J23)/J24+4*I23)</f>
        <v>17.386679662344385</v>
      </c>
      <c r="L86" s="1">
        <f t="shared" si="2"/>
        <v>13.915395649735377</v>
      </c>
      <c r="M86" s="1">
        <f t="shared" si="4"/>
        <v>13.915395649735377</v>
      </c>
      <c r="N86" s="1" t="str">
        <f t="shared" si="3"/>
        <v>4喷涂增产</v>
      </c>
      <c r="O86" s="1" t="s">
        <v>130</v>
      </c>
      <c r="P86" s="1">
        <f t="shared" si="5"/>
        <v>1372479.8403675421</v>
      </c>
      <c r="Q86" s="1" t="s">
        <v>74</v>
      </c>
    </row>
    <row r="87" spans="1:17" x14ac:dyDescent="0.2">
      <c r="A87" s="1" t="s">
        <v>132</v>
      </c>
      <c r="B87" s="1" t="s">
        <v>133</v>
      </c>
      <c r="C87" s="1">
        <f>(($J$49+3*$M$58)+(4/$B$2)*($E$6+$B$3*$B$9))</f>
        <v>18.57193674929934</v>
      </c>
      <c r="D87" s="1">
        <f>(($J$49+3*$M$58)+(4/$B$2)*($E$6+$B$3*$B$9*D23)+4*C23)/C24</f>
        <v>3568.5116159121917</v>
      </c>
      <c r="E87" s="1">
        <f>(($J$49+3*$M$58)+(4/$B$2)*($E$6+$B$3*$B$9*D23)/D24+4*C23)</f>
        <v>4014.5724209028881</v>
      </c>
      <c r="F87" s="1">
        <f>(($J$49+3*$M$58)+(4/$B$2)*($E$6+$B$3*$B$9*F23)+4*E23)/E24</f>
        <v>3345.4836745309194</v>
      </c>
      <c r="G87" s="1">
        <f>(($J$49+3*$M$58)+(4/$B$2)*($E$6+$B$3*$B$9*F23)/F24+4*E23)</f>
        <v>4014.5735505945954</v>
      </c>
      <c r="H87" s="1">
        <f>(($J$49+3*$M$58)+(4/$B$2)*($E$6+$B$3*$B$9*H23)+4*G23)/G24</f>
        <v>3277.21244977387</v>
      </c>
      <c r="I87" s="1">
        <f>(($J$49+3*$M$58)+(4/$B$2)*($E$6+$B$3*$B$9*H23)/H24+4*G23)</f>
        <v>4014.5743575172432</v>
      </c>
      <c r="J87" s="1">
        <f>(($J$49+3*$M$58)+(4/$B$2)*($E$6+$B$3*$B$9*J23)+4*I23)/I24</f>
        <v>16.871107861551959</v>
      </c>
      <c r="K87" s="1">
        <f>(($J$49+3*$M$58)+(4/$B$2)*($E$6+$B$3*$B$9*J23)/J24+4*I23)</f>
        <v>21.073755027290279</v>
      </c>
      <c r="L87" s="1">
        <f t="shared" si="2"/>
        <v>16.871107861551959</v>
      </c>
      <c r="M87" s="1">
        <f t="shared" si="4"/>
        <v>16.871107861551959</v>
      </c>
      <c r="N87" s="1" t="str">
        <f t="shared" si="3"/>
        <v>4喷涂增产</v>
      </c>
      <c r="O87" s="1" t="s">
        <v>132</v>
      </c>
      <c r="P87" s="1">
        <f t="shared" si="5"/>
        <v>1132029.986218293</v>
      </c>
      <c r="Q87" s="1" t="s">
        <v>74</v>
      </c>
    </row>
    <row r="88" spans="1:17" x14ac:dyDescent="0.2">
      <c r="A88" s="1" t="s">
        <v>134</v>
      </c>
      <c r="B88" s="1" t="s">
        <v>135</v>
      </c>
      <c r="C88" s="1">
        <f>((2*$M$64+8*$N$29+12*$L$29)+(4/$B$2)*($F$6+$B$3*$B$9))</f>
        <v>91.882787959509528</v>
      </c>
      <c r="D88" s="1">
        <f>((2*$M$64+8*$N$29+12*$L$29)+(4/$B$2)*($F$6+$B$3*$B$9*D23)+22*C23)/C24</f>
        <v>19617.676816987936</v>
      </c>
      <c r="E88" s="1">
        <f>((2*$M$64+8*$N$29+12*$L$29)+(4/$B$2)*($F$6+$B$3*$B$9*D23)/D24+22*C23)</f>
        <v>22069.883272113097</v>
      </c>
      <c r="F88" s="1">
        <f>((2*$M$64+8*$N$29+12*$L$29)+(4/$B$2)*($F$6+$B$3*$B$9*F23)+22*E23)/E24</f>
        <v>18391.576050539428</v>
      </c>
      <c r="G88" s="1">
        <f>((2*$M$64+8*$N$29+12*$L$29)+(4/$B$2)*($F$6+$B$3*$B$9*F23)/F24+22*E23)</f>
        <v>22069.884401804804</v>
      </c>
      <c r="H88" s="1">
        <f>((2*$M$64+8*$N$29+12*$L$29)+(4/$B$2)*($F$6+$B$3*$B$9*H23)+22*G23)/G24</f>
        <v>18016.241716067918</v>
      </c>
      <c r="I88" s="1">
        <f>((2*$M$64+8*$N$29+12*$L$29)+(4/$B$2)*($F$6+$B$3*$B$9*H23)/H24+22*G23)</f>
        <v>22069.885208727454</v>
      </c>
      <c r="J88" s="1">
        <f>((2*$M$64+8*$N$29+12*$L$29)+(4/$B$2)*($F$6+$B$3*$B$9*J23)+22*I23)/I24</f>
        <v>84.515441174739735</v>
      </c>
      <c r="K88" s="1">
        <f>((2*$M$64+8*$N$29+12*$L$29)+(4/$B$2)*($F$6+$B$3*$B$9*J23)/J24+22*I23)</f>
        <v>105.629171668775</v>
      </c>
      <c r="L88" s="1">
        <f t="shared" si="2"/>
        <v>84.515441174739735</v>
      </c>
      <c r="M88" s="1">
        <f t="shared" si="4"/>
        <v>84.515441174739735</v>
      </c>
      <c r="N88" s="1" t="str">
        <f t="shared" si="3"/>
        <v>4喷涂增产</v>
      </c>
      <c r="O88" s="1" t="s">
        <v>134</v>
      </c>
      <c r="P88" s="1">
        <f t="shared" si="5"/>
        <v>225977.64070724932</v>
      </c>
      <c r="Q88" s="1" t="s">
        <v>74</v>
      </c>
    </row>
    <row r="89" spans="1:17" x14ac:dyDescent="0.2">
      <c r="A89" s="1" t="s">
        <v>136</v>
      </c>
      <c r="B89" s="1" t="s">
        <v>137</v>
      </c>
      <c r="C89" s="1">
        <f>(($M$87+2*$M$64+12*$L$29)+(4/$B$2)*($F$6+$B$3*$B$9))</f>
        <v>16.892289581061494</v>
      </c>
      <c r="D89" s="1">
        <f>(($M$87+2*$M$64+12*$L$29)+(4/$B$2)*($F$6+$B$3*$B$9*D23)+15*C23)/C24</f>
        <v>13335.01859620709</v>
      </c>
      <c r="E89" s="1">
        <f>(($M$87+2*$M$64+12*$L$29)+(4/$B$2)*($F$6+$B$3*$B$9*D23)/D24+15*C23)</f>
        <v>15001.892773734649</v>
      </c>
      <c r="F89" s="1">
        <f>(($M$87+2*$M$64+12*$L$29)+(4/$B$2)*($F$6+$B$3*$B$9*F23)+15*E23)/E24</f>
        <v>12501.583968557388</v>
      </c>
      <c r="G89" s="1">
        <f>(($M$87+2*$M$64+12*$L$29)+(4/$B$2)*($F$6+$B$3*$B$9*F23)/F24+15*E23)</f>
        <v>15001.893903426357</v>
      </c>
      <c r="H89" s="1">
        <f>(($M$87+2*$M$64+12*$L$29)+(4/$B$2)*($F$6+$B$3*$B$9*H23)+15*G23)/G24</f>
        <v>12246.453554126329</v>
      </c>
      <c r="I89" s="1">
        <f>(($M$87+2*$M$64+12*$L$29)+(4/$B$2)*($F$6+$B$3*$B$9*H23)/H24+15*G23)</f>
        <v>15001.894710349006</v>
      </c>
      <c r="J89" s="1">
        <f>(($M$87+2*$M$64+12*$L$29)+(4/$B$2)*($F$6+$B$3*$B$9*J23)+15*I23)/I24</f>
        <v>21.024733226695894</v>
      </c>
      <c r="K89" s="1">
        <f>(($M$87+2*$M$64+12*$L$29)+(4/$B$2)*($F$6+$B$3*$B$9*J23)/J24+15*I23)</f>
        <v>26.265786733720198</v>
      </c>
      <c r="L89" s="1">
        <f t="shared" si="2"/>
        <v>16.892289581061494</v>
      </c>
      <c r="M89" s="1">
        <f t="shared" si="4"/>
        <v>16.892289581061494</v>
      </c>
      <c r="N89" s="1" t="str">
        <f t="shared" si="3"/>
        <v>不使用增产剂</v>
      </c>
      <c r="O89" s="1" t="s">
        <v>136</v>
      </c>
      <c r="P89" s="1">
        <f t="shared" si="5"/>
        <v>1130610.5018121446</v>
      </c>
      <c r="Q89" s="1" t="s">
        <v>74</v>
      </c>
    </row>
    <row r="90" spans="1:17" x14ac:dyDescent="0.2">
      <c r="A90" s="1" t="s">
        <v>138</v>
      </c>
      <c r="B90" s="1" t="s">
        <v>139</v>
      </c>
      <c r="C90" s="1">
        <f>(($D$49+2*$M$78)+(12/$B$2)*($E$6+$B$3*$B$9))</f>
        <v>27.399045347309837</v>
      </c>
      <c r="D90" s="1">
        <f>(($D$49+2*$M$78)+(12/$B$2)*($E$6+$B$3*$B$9*D23)+3*C23)/C24</f>
        <v>2688.3643900471625</v>
      </c>
      <c r="E90" s="1">
        <f>(($D$49+2*$M$78)+(12/$B$2)*($E$6+$B$3*$B$9*D23)/D24+3*C23)</f>
        <v>3024.4004978080761</v>
      </c>
      <c r="F90" s="1">
        <f>(($D$49+2*$M$78)+(12/$B$2)*($E$6+$B$3*$B$9*F23)+3*E23)/E24</f>
        <v>2520.3537195089343</v>
      </c>
      <c r="G90" s="1">
        <f>(($D$49+2*$M$78)+(12/$B$2)*($E$6+$B$3*$B$9*F23)/F24+3*E23)</f>
        <v>3024.4038868831976</v>
      </c>
      <c r="H90" s="1">
        <f>(($D$49+2*$M$78)+(12/$B$2)*($E$6+$B$3*$B$9*H23)+3*G23)/G24</f>
        <v>2468.9297861374566</v>
      </c>
      <c r="I90" s="1">
        <f>(($D$49+2*$M$78)+(12/$B$2)*($E$6+$B$3*$B$9*H23)/H24+3*G23)</f>
        <v>3024.4063076511416</v>
      </c>
      <c r="J90" s="1">
        <f>(($D$49+2*$M$78)+(12/$B$2)*($E$6+$B$3*$B$9*J23)+3*I23)/I24</f>
        <v>23.462085491675516</v>
      </c>
      <c r="K90" s="1">
        <f>(($D$49+2*$M$78)+(12/$B$2)*($E$6+$B$3*$B$9*J23)/J24+3*I23)</f>
        <v>29.282217465645392</v>
      </c>
      <c r="L90" s="1">
        <f t="shared" si="2"/>
        <v>23.462085491675516</v>
      </c>
      <c r="M90" s="1">
        <f t="shared" si="4"/>
        <v>23.462085491675516</v>
      </c>
      <c r="N90" s="1" t="str">
        <f t="shared" si="3"/>
        <v>4喷涂增产</v>
      </c>
      <c r="O90" s="1" t="s">
        <v>138</v>
      </c>
      <c r="P90" s="1">
        <f t="shared" si="5"/>
        <v>814019.70880961511</v>
      </c>
      <c r="Q90" s="1" t="s">
        <v>74</v>
      </c>
    </row>
    <row r="91" spans="1:17" x14ac:dyDescent="0.2">
      <c r="A91" s="1" t="s">
        <v>140</v>
      </c>
      <c r="B91" s="1" t="s">
        <v>141</v>
      </c>
      <c r="C91" s="1">
        <f>((2*$M$56+10*$M$29)+(4/$B$2)*($E$6+$B$3*$B$9))</f>
        <v>1974.8062205655795</v>
      </c>
      <c r="D91" s="1">
        <f>((2*$M$56+10*$M$29)+(4/$B$2)*($E$6+$B$3*$B$9*D23)+12*C23)/C24</f>
        <v>12411.386534859996</v>
      </c>
      <c r="E91" s="1">
        <f>((2*$M$56+10*$M$29)+(4/$B$2)*($E$6+$B$3*$B$9*D23)/D24+12*C23)</f>
        <v>13962.806704719169</v>
      </c>
      <c r="F91" s="1">
        <f>((2*$M$56+10*$M$29)+(4/$B$2)*($E$6+$B$3*$B$9*F23)+12*E23)/E24</f>
        <v>11635.678911044486</v>
      </c>
      <c r="G91" s="1">
        <f>((2*$M$56+10*$M$29)+(4/$B$2)*($E$6+$B$3*$B$9*F23)/F24+12*E23)</f>
        <v>13962.807834410876</v>
      </c>
      <c r="H91" s="1">
        <f>((2*$M$56+10*$M$29)+(4/$B$2)*($E$6+$B$3*$B$9*H23)+12*G23)/G24</f>
        <v>11398.220028399404</v>
      </c>
      <c r="I91" s="1">
        <f>((2*$M$56+10*$M$29)+(4/$B$2)*($E$6+$B$3*$B$9*H23)/H24+12*G23)</f>
        <v>13962.808641333524</v>
      </c>
      <c r="J91" s="1">
        <f>((2*$M$56+10*$M$29)+(4/$B$2)*($E$6+$B$3*$B$9*J23)+12*I23)/I24</f>
        <v>1585.8566026234737</v>
      </c>
      <c r="K91" s="1">
        <f>((2*$M$56+10*$M$29)+(4/$B$2)*($E$6+$B$3*$B$9*J23)/J24+12*I23)</f>
        <v>1982.3056234796925</v>
      </c>
      <c r="L91" s="1">
        <f>MIN(C91:K91)</f>
        <v>1585.8566026234737</v>
      </c>
      <c r="M91" s="1">
        <f t="shared" si="4"/>
        <v>1585.8566026234737</v>
      </c>
      <c r="N91" s="1" t="str">
        <f t="shared" si="3"/>
        <v>4喷涂增产</v>
      </c>
      <c r="O91" s="1" t="s">
        <v>140</v>
      </c>
      <c r="P91" s="1">
        <f t="shared" si="5"/>
        <v>12043.081302814702</v>
      </c>
      <c r="Q91" s="1" t="s">
        <v>74</v>
      </c>
    </row>
    <row r="92" spans="1:17" x14ac:dyDescent="0.2">
      <c r="A92" s="1" t="s">
        <v>142</v>
      </c>
      <c r="B92" s="1" t="s">
        <v>143</v>
      </c>
      <c r="C92" s="1">
        <f>((2*$M$86+2*$M$56+2*$M$64)+(4/$B$2)*($F$6+$B$3*$B$9))</f>
        <v>30.892367744840158</v>
      </c>
      <c r="D92" s="1">
        <f>((2*$M$86+2*$M$56+2*$M$64)+(4/$B$2)*($F$6+$B$3*$B$9*D23)+C23*6)/C24</f>
        <v>5355.4631101304503</v>
      </c>
      <c r="E92" s="1">
        <f>((2*$M$86+2*$M$56+2*$M$64)+(4/$B$2)*($F$6+$B$3*$B$9*D23)/D24+C23*6)</f>
        <v>6024.8928518984294</v>
      </c>
      <c r="F92" s="1">
        <f>((2*$M$86+2*$M$56+2*$M$64)+(4/$B$2)*($F$6+$B$3*$B$9*F23)+E23*6)/E24</f>
        <v>5020.7507003605369</v>
      </c>
      <c r="G92" s="1">
        <f>((2*$M$86+2*$M$56+2*$M$64)+(4/$B$2)*($F$6+$B$3*$B$9*F23)/F24+E23*6)</f>
        <v>6024.8939815901358</v>
      </c>
      <c r="H92" s="1">
        <f>((2*$M$86+2*$M$56+2*$M$64)+(4/$B$2)*($F$6+$B$3*$B$9*H23)+G23*6)/G24</f>
        <v>4918.2903526273731</v>
      </c>
      <c r="I92" s="1">
        <f>((2*$M$86+2*$M$56+2*$M$64)+(4/$B$2)*($F$6+$B$3*$B$9*H23)/H24+G23*6)</f>
        <v>6024.8947885127845</v>
      </c>
      <c r="J92" s="1">
        <f>((2*$M$86+2*$M$56+2*$M$64)+(4/$B$2)*($F$6+$B$3*$B$9*J23)+I23*6)/I24</f>
        <v>27.726969585209012</v>
      </c>
      <c r="K92" s="1">
        <f>((2*$M$86+2*$M$56+2*$M$64)+(4/$B$2)*($F$6+$B$3*$B$9*J23)/J24+I23*6)</f>
        <v>34.643582181861596</v>
      </c>
      <c r="L92" s="1">
        <f t="shared" si="2"/>
        <v>27.726969585209012</v>
      </c>
      <c r="M92" s="1">
        <f t="shared" si="4"/>
        <v>27.726969585209012</v>
      </c>
      <c r="N92" s="1" t="str">
        <f t="shared" si="3"/>
        <v>4喷涂增产</v>
      </c>
      <c r="O92" s="1" t="s">
        <v>142</v>
      </c>
      <c r="P92" s="1">
        <f t="shared" si="5"/>
        <v>688809.49796216364</v>
      </c>
      <c r="Q92" s="1" t="s">
        <v>74</v>
      </c>
    </row>
    <row r="93" spans="1:17" x14ac:dyDescent="0.2">
      <c r="A93" s="1" t="s">
        <v>144</v>
      </c>
      <c r="B93" s="1" t="s">
        <v>145</v>
      </c>
      <c r="C93" s="1">
        <f>((2*$B$49+2*$M$55+10*$C$49)+(8/$F$2)*($L$6+$F$3*$B$9))</f>
        <v>58.21933411826906</v>
      </c>
      <c r="D93" s="1">
        <f>((2*$B$49+2*$M$55+10*$C$49)+(8/$F$2)*($L$6+$F$3*$B$9*D23)+C23*14)/C24</f>
        <v>12483.858108902636</v>
      </c>
      <c r="E93" s="1">
        <f>((2*$B$49+2*$M$55+10*$C$49)+(8/$F$2)*($L$6+$F$3*$B$9*D23)/D24+C23*14)</f>
        <v>14044.235472571228</v>
      </c>
      <c r="F93" s="1">
        <f>((2*$B$49+2*$M$55+10*$C$49)+(8/$F$2)*($L$6+$F$3*$B$9*F23)+E23*14)/E24</f>
        <v>11703.751464204221</v>
      </c>
      <c r="G93" s="1">
        <f>((2*$B$49+2*$M$55+10*$C$49)+(8/$F$2)*($L$6+$F$3*$B$9*F23)/F24+E23*14)</f>
        <v>14044.273128961468</v>
      </c>
      <c r="H93" s="1">
        <f>((2*$B$49+2*$M$55+10*$C$49)+(8/$F$2)*($L$6+$F$3*$B$9*H23)+G23*14)/G24</f>
        <v>11465.031135979314</v>
      </c>
      <c r="I93" s="1">
        <f>((2*$B$49+2*$M$55+10*$C$49)+(8/$F$2)*($L$6+$F$3*$B$9*H23)/H24+G23*14)</f>
        <v>14044.300026383067</v>
      </c>
      <c r="J93" s="1">
        <f>((2*$B$49+2*$M$55+10*$C$49)+(8/$F$2)*($L$6+$F$3*$B$9*J23)+I23*14)/I24</f>
        <v>54.056239373975458</v>
      </c>
      <c r="K93" s="1">
        <f>((2*$B$49+2*$M$55+10*$C$49)+(8/$F$2)*($L$6+$F$3*$B$9*J23)/J24+I23*14)</f>
        <v>67.065972562480368</v>
      </c>
      <c r="L93" s="1">
        <f t="shared" si="2"/>
        <v>54.056239373975458</v>
      </c>
      <c r="M93" s="1">
        <f t="shared" si="4"/>
        <v>54.056239373975458</v>
      </c>
      <c r="N93" s="1" t="str">
        <f t="shared" si="3"/>
        <v>4喷涂增产</v>
      </c>
      <c r="O93" s="1" t="s">
        <v>144</v>
      </c>
      <c r="P93" s="1">
        <f t="shared" si="5"/>
        <v>353309.8162428725</v>
      </c>
      <c r="Q93" s="1" t="s">
        <v>74</v>
      </c>
    </row>
    <row r="94" spans="1:17" x14ac:dyDescent="0.2">
      <c r="A94" s="1" t="s">
        <v>146</v>
      </c>
      <c r="B94" s="1" t="s">
        <v>147</v>
      </c>
      <c r="C94" s="1">
        <f>((2*$M$79+$M$82)+(3/$B$2)*($E$6+$B$3*$B$9))</f>
        <v>7.9758640325891399</v>
      </c>
      <c r="D94" s="1">
        <f>((2*$M$79+$M$82)+(3/$B$2)*($E$6+$B$3*$B$9*D23)+C23*3)/C24</f>
        <v>2671.0920776858011</v>
      </c>
      <c r="E94" s="1">
        <f>((2*$M$79+$M$82)+(3/$B$2)*($E$6+$B$3*$B$9*D23)/D24+C23*3)</f>
        <v>3004.9762271477807</v>
      </c>
      <c r="F94" s="1">
        <f>((2*$M$79+$M$82)+(3/$B$2)*($E$6+$B$3*$B$9*F23)+E23*3)/E24</f>
        <v>2504.1518487903681</v>
      </c>
      <c r="G94" s="1">
        <f>((2*$M$79+$M$82)+(3/$B$2)*($E$6+$B$3*$B$9*F23)/F24+E23*3)</f>
        <v>3004.9770744165612</v>
      </c>
      <c r="H94" s="1">
        <f>((2*$M$79+$M$82)+(3/$B$2)*($E$6+$B$3*$B$9*H23)+G23*3)/G24</f>
        <v>2453.0496732247816</v>
      </c>
      <c r="I94" s="1">
        <f>((2*$M$79+$M$82)+(3/$B$2)*($E$6+$B$3*$B$9*H23)/H24+G23*3)</f>
        <v>3004.9776796085471</v>
      </c>
      <c r="J94" s="1">
        <f>((2*$M$79+$M$82)+(3/$B$2)*($E$6+$B$3*$B$9*J23)+I23*3)/I24</f>
        <v>7.890860072655677</v>
      </c>
      <c r="K94" s="1">
        <f>((2*$M$79+$M$82)+(3/$B$2)*($E$6+$B$3*$B$9*J23)/J24+I23*3)</f>
        <v>9.8522277410823449</v>
      </c>
      <c r="L94" s="1">
        <f t="shared" si="2"/>
        <v>7.890860072655677</v>
      </c>
      <c r="M94" s="1">
        <f t="shared" si="4"/>
        <v>7.890860072655677</v>
      </c>
      <c r="N94" s="1" t="str">
        <f t="shared" si="3"/>
        <v>4喷涂增产</v>
      </c>
      <c r="O94" s="1" t="s">
        <v>146</v>
      </c>
      <c r="P94" s="1">
        <f t="shared" si="5"/>
        <v>2420344.5282451129</v>
      </c>
      <c r="Q94" s="1" t="s">
        <v>74</v>
      </c>
    </row>
    <row r="95" spans="1:17" x14ac:dyDescent="0.2">
      <c r="A95" s="1" t="s">
        <v>148</v>
      </c>
      <c r="B95" s="1" t="s">
        <v>149</v>
      </c>
      <c r="C95" s="1">
        <f>(($M$82+$N$29)+(3/$B$2)*($E$6+$B$3*$B$9))</f>
        <v>13.434357133149669</v>
      </c>
      <c r="D95" s="1">
        <f>(($M$82+$N$29)+(3/$B$2)*($E$6+$B$3*$B$9*D23)+C23*2)/C24</f>
        <v>1787.9440715529659</v>
      </c>
      <c r="E95" s="1">
        <f>(($M$82+$N$29)+(3/$B$2)*($E$6+$B$3*$B$9*D23)/D24+C23*2)</f>
        <v>2011.4347202483414</v>
      </c>
      <c r="F95" s="1">
        <f>(($M$82+$N$29)+(3/$B$2)*($E$6+$B$3*$B$9*F23)+E23*2)/E24</f>
        <v>1676.2005930408354</v>
      </c>
      <c r="G95" s="1">
        <f>(($M$82+$N$29)+(3/$B$2)*($E$6+$B$3*$B$9*F23)/F24+E23*2)</f>
        <v>2011.4355675171216</v>
      </c>
      <c r="H95" s="1">
        <f>(($M$82+$N$29)+(3/$B$2)*($E$6+$B$3*$B$9*H23)+G23*2)/G24</f>
        <v>1641.9953818783008</v>
      </c>
      <c r="I95" s="1">
        <f>(($M$82+$N$29)+(3/$B$2)*($E$6+$B$3*$B$9*H23)/H24+G23*2)</f>
        <v>2011.4361727091077</v>
      </c>
      <c r="J95" s="1">
        <f>(($M$82+$N$29)+(3/$B$2)*($E$6+$B$3*$B$9*J23)+I23*2)/I24</f>
        <v>11.757896089491899</v>
      </c>
      <c r="K95" s="1">
        <f>(($M$82+$N$29)+(3/$B$2)*($E$6+$B$3*$B$9*J23)/J24+I23*2)</f>
        <v>14.686022762127623</v>
      </c>
      <c r="L95" s="1">
        <f t="shared" si="2"/>
        <v>11.757896089491899</v>
      </c>
      <c r="M95" s="1">
        <f t="shared" si="4"/>
        <v>11.757896089491899</v>
      </c>
      <c r="N95" s="1" t="str">
        <f t="shared" si="3"/>
        <v>4喷涂增产</v>
      </c>
      <c r="O95" s="1" t="s">
        <v>148</v>
      </c>
      <c r="P95" s="1">
        <f t="shared" si="5"/>
        <v>1624321.2097331369</v>
      </c>
      <c r="Q95" s="1" t="s">
        <v>74</v>
      </c>
    </row>
    <row r="96" spans="1:17" x14ac:dyDescent="0.2">
      <c r="A96" s="1" t="s">
        <v>150</v>
      </c>
      <c r="B96" s="1" t="s">
        <v>151</v>
      </c>
      <c r="C96" s="1">
        <f>(($M$64+$E$49)+(4/$B$2)*($E$6+$B$3*$B$9))/2</f>
        <v>5.887269434553267</v>
      </c>
      <c r="D96" s="1">
        <f>(($M$64+$E$49)+(4/$B$2)*($E$6+$B$3*$B$9*D23)+C23*2)/2/C24</f>
        <v>893.23474223156563</v>
      </c>
      <c r="E96" s="1">
        <f>(($M$64+$E$49)+(4/$B$2)*($E$6+$B$3*$B$9*D23)/D24+C23*2)/2</f>
        <v>1004.8875115113476</v>
      </c>
      <c r="F96" s="1">
        <f>(($M$64+$E$49)+(4/$B$2)*($E$6+$B$3*$B$9*F23)+E23*2)/2/E24</f>
        <v>837.40958814871271</v>
      </c>
      <c r="G96" s="1">
        <f>(($M$64+$E$49)+(4/$B$2)*($E$6+$B$3*$B$9*F23)/F24+E23*2)/2</f>
        <v>1004.8880763572013</v>
      </c>
      <c r="H96" s="1">
        <f>(($M$64+$E$49)+(4/$B$2)*($E$6+$B$3*$B$9*H23)+G23*2)/2/G24</f>
        <v>820.32157269093807</v>
      </c>
      <c r="I96" s="1">
        <f>(($M$64+$E$49)+(4/$B$2)*($E$6+$B$3*$B$9*H23)/H24+G23*2)/2</f>
        <v>1004.8884798185252</v>
      </c>
      <c r="J96" s="1">
        <f>(($M$64+$E$49)+(4/$B$2)*($E$6+$B$3*$B$9*J23)+I23*2)/2/I24</f>
        <v>5.2168363150866561</v>
      </c>
      <c r="K96" s="1">
        <f>(($M$64+$E$49)+(4/$B$2)*($E$6+$B$3*$B$9*J23)/J24+I23*2)/2</f>
        <v>6.5134804940334856</v>
      </c>
      <c r="L96" s="1">
        <f t="shared" si="2"/>
        <v>5.2168363150866561</v>
      </c>
      <c r="M96" s="1">
        <f t="shared" si="4"/>
        <v>5.2168363150866561</v>
      </c>
      <c r="N96" s="1" t="str">
        <f t="shared" si="3"/>
        <v>4喷涂增产</v>
      </c>
      <c r="O96" s="1" t="s">
        <v>150</v>
      </c>
      <c r="P96" s="1">
        <f t="shared" si="5"/>
        <v>3660954.4264918645</v>
      </c>
      <c r="Q96" s="1" t="s">
        <v>74</v>
      </c>
    </row>
    <row r="97" spans="1:17" x14ac:dyDescent="0.2">
      <c r="A97" s="1" t="s">
        <v>152</v>
      </c>
      <c r="B97" s="1" t="s">
        <v>153</v>
      </c>
      <c r="C97" s="1">
        <f>((2*F49)+(2/$F$2)*($L$6+$F$3*$B$9))/2</f>
        <v>5.043266549889585E-2</v>
      </c>
      <c r="D97" s="1">
        <f>((2*G49)+(2/$F$2)*($L$6+$F$3*$B$9*D23)+C23*2)/2/C24</f>
        <v>889.50422347263168</v>
      </c>
      <c r="E97" s="1">
        <f>((2*H49)+(2/$F$2)*($L$6+$F$3*$B$9*D23)/D24+C23*2)/2</f>
        <v>1001.1503101354199</v>
      </c>
      <c r="F97" s="1">
        <f>((2*I49)+(2/$F$2)*($L$6+$F$3*$B$9*F23)+E23*2)/2/E24</f>
        <v>835.04246510787425</v>
      </c>
      <c r="G97" s="1">
        <f>((2*J49)+(2/$F$2)*($L$6+$F$3*$B$9*F23)/F24+E23*2)/2</f>
        <v>1007.9521740188987</v>
      </c>
      <c r="H97" s="1">
        <f>((2*K49)+(2/$F$2)*($L$6+$F$3*$B$9*H23)+G23*2)/2/G24</f>
        <v>815.59666007963074</v>
      </c>
      <c r="I97" s="1">
        <f>((2*L49)+(2/$F$2)*($L$6+$F$3*$B$9*H23)/H24+G23*2)/2</f>
        <v>1017.1435341885987</v>
      </c>
      <c r="J97" s="1">
        <f>((2*M49)+(2/$F$2)*($L$6+$F$3*$B$9*J23)+I23*2)/2/I24</f>
        <v>0.60062379460999293</v>
      </c>
      <c r="K97" s="1">
        <f>((2*N49)+(2/$F$2)*($L$6+$F$3*$B$9*J23)/J24+I23*2)/2</f>
        <v>0.68773891138887144</v>
      </c>
      <c r="L97" s="1">
        <f t="shared" si="2"/>
        <v>5.043266549889585E-2</v>
      </c>
      <c r="M97" s="1">
        <f t="shared" si="4"/>
        <v>5.043266549889585E-2</v>
      </c>
      <c r="N97" s="1" t="str">
        <f t="shared" si="3"/>
        <v>不使用增产剂</v>
      </c>
      <c r="O97" s="1" t="s">
        <v>152</v>
      </c>
      <c r="P97" s="1">
        <f t="shared" si="5"/>
        <v>378695034.47955048</v>
      </c>
      <c r="Q97" s="1" t="s">
        <v>74</v>
      </c>
    </row>
    <row r="98" spans="1:17" x14ac:dyDescent="0.2">
      <c r="A98" s="1" t="s">
        <v>154</v>
      </c>
      <c r="B98" s="1" t="s">
        <v>155</v>
      </c>
      <c r="C98" s="1">
        <f>((2*$M$65+$L$48)+(3/$D$2)*($I$6+$D$3*$B$9))</f>
        <v>339.1284256428284</v>
      </c>
      <c r="D98" s="1">
        <f>((2*$M$65+$L$48)+(3/$D$2)*($I$6+$D$3*$B$9*D23)+C23*3)/C24</f>
        <v>2965.4511206122079</v>
      </c>
      <c r="E98" s="1">
        <f>((2*$M$65+$L$48)+(3/$D$2)*($I$6+$D$3*$B$9*D23)/D24+C23*3)</f>
        <v>3336.1289703156158</v>
      </c>
      <c r="F98" s="1">
        <f>((2*$M$65+$L$48)+(3/$D$2)*($I$6+$D$3*$B$9*F23)+E23*3)/E24</f>
        <v>2780.1149645138398</v>
      </c>
      <c r="G98" s="1">
        <f>((2*$M$65+$L$48)+(3/$D$2)*($I$6+$D$3*$B$9*F23)/F24+E23*3)</f>
        <v>3336.1302412187865</v>
      </c>
      <c r="H98" s="1">
        <f>((2*$M$65+$L$48)+(3/$D$2)*($I$6+$D$3*$B$9*H23)+G23*3)/G24</f>
        <v>2723.382370730189</v>
      </c>
      <c r="I98" s="1">
        <f>((2*$M$65+$L$48)+(3/$D$2)*($I$6+$D$3*$B$9*H23)/H24+G23*3)</f>
        <v>3336.1311490067656</v>
      </c>
      <c r="J98" s="1">
        <f>((2*$M$65+$L$48)+(3/$D$2)*($I$6+$D$3*$B$9*J23)+I23*3)/I24</f>
        <v>272.81835608872092</v>
      </c>
      <c r="K98" s="1">
        <f>((2*$M$65+$L$48)+(3/$D$2)*($I$6+$D$3*$B$9*J23)/J24+I23*3)</f>
        <v>341.00592408629529</v>
      </c>
      <c r="L98" s="1">
        <f t="shared" si="2"/>
        <v>272.81835608872092</v>
      </c>
      <c r="M98" s="1">
        <f t="shared" si="4"/>
        <v>272.81835608872092</v>
      </c>
      <c r="N98" s="1" t="str">
        <f t="shared" si="3"/>
        <v>4喷涂增产</v>
      </c>
      <c r="O98" s="1" t="s">
        <v>154</v>
      </c>
      <c r="P98" s="1">
        <f t="shared" si="5"/>
        <v>70004.820327372363</v>
      </c>
      <c r="Q98" s="1" t="s">
        <v>74</v>
      </c>
    </row>
    <row r="99" spans="1:17" x14ac:dyDescent="0.2">
      <c r="A99" s="1" t="s">
        <v>156</v>
      </c>
      <c r="B99" s="1" t="s">
        <v>157</v>
      </c>
      <c r="C99" s="1">
        <f>((2*$M$66+2*$I$49+$M$98)+(8/$B$2)*($F$6+$B$3*$B$9))</f>
        <v>619.68839030519473</v>
      </c>
      <c r="D99" s="1">
        <f>((2*$M$66+2*$I$49+$M$98)+(8/$B$2)*($F$6+$B$3*$B$9*D23)+C23*5)/C24</f>
        <v>4990.8405800969131</v>
      </c>
      <c r="E99" s="1">
        <f>((2*$M$66+2*$I$49+$M$98)+(8/$B$2)*($F$6+$B$3*$B$9*D23)/D24+C23*5)</f>
        <v>5614.6893586123724</v>
      </c>
      <c r="F99" s="1">
        <f>((2*$M$66+2*$I$49+$M$98)+(8/$B$2)*($F$6+$B$3*$B$9*F23)+E23*5)/E24</f>
        <v>4678.9211130673357</v>
      </c>
      <c r="G99" s="1">
        <f>((2*$M$66+2*$I$49+$M$98)+(8/$B$2)*($F$6+$B$3*$B$9*F23)/F24+E23*5)</f>
        <v>5614.6916179957871</v>
      </c>
      <c r="H99" s="1">
        <f>((2*$M$66+2*$I$49+$M$98)+(8/$B$2)*($F$6+$B$3*$B$9*H23)+G23*5)/G24</f>
        <v>4583.4408316347581</v>
      </c>
      <c r="I99" s="1">
        <f>((2*$M$66+2*$I$49+$M$98)+(8/$B$2)*($F$6+$B$3*$B$9*H23)/H24+G23*5)</f>
        <v>5614.6932318410827</v>
      </c>
      <c r="J99" s="1">
        <f>((2*$M$66+2*$I$49+$M$98)+(8/$B$2)*($F$6+$B$3*$B$9*J23)+I23*5)/I24</f>
        <v>498.27855377754412</v>
      </c>
      <c r="K99" s="1">
        <f>((2*$M$66+2*$I$49+$M$98)+(8/$B$2)*($F$6+$B$3*$B$9*J23)/J24+I23*5)</f>
        <v>622.81793262263091</v>
      </c>
      <c r="L99" s="1">
        <f t="shared" si="2"/>
        <v>498.27855377754412</v>
      </c>
      <c r="M99" s="1">
        <f t="shared" si="4"/>
        <v>498.27855377754412</v>
      </c>
      <c r="N99" s="1" t="str">
        <f t="shared" si="3"/>
        <v>4喷涂增产</v>
      </c>
      <c r="O99" s="1" t="s">
        <v>156</v>
      </c>
      <c r="P99" s="1">
        <f t="shared" si="5"/>
        <v>38329.16318635409</v>
      </c>
      <c r="Q99" s="1" t="s">
        <v>74</v>
      </c>
    </row>
    <row r="100" spans="1:17" x14ac:dyDescent="0.2">
      <c r="A100" s="1" t="s">
        <v>158</v>
      </c>
      <c r="B100" s="1" t="s">
        <v>159</v>
      </c>
      <c r="C100" s="1">
        <f>((3*$M$64+$M$58)+(4/$D$2)*($I$6+$D$3*$B$9))/2</f>
        <v>1.626688941562086</v>
      </c>
      <c r="D100" s="1">
        <f>((3*$M$64+$M$58)+(4/$D$2)*($I$6+$D$3*$B$9*D23)+C23*4)/2/C24</f>
        <v>1777.448366493777</v>
      </c>
      <c r="E100" s="1">
        <f>((3*$M$64+$M$58)+(4/$D$2)*($I$6+$D$3*$B$9*D23)/D24+C23*4)/2</f>
        <v>1999.6270520567537</v>
      </c>
      <c r="F100" s="1">
        <f>((3*$M$64+$M$58)+(4/$D$2)*($I$6+$D$3*$B$9*F23)+E23*4)/2/E24</f>
        <v>1666.3608695478458</v>
      </c>
      <c r="G100" s="1">
        <f>((3*$M$64+$M$58)+(4/$D$2)*($I$6+$D$3*$B$9*F23)/F24+E23*4)/2</f>
        <v>1999.6278993255341</v>
      </c>
      <c r="H100" s="1">
        <f>((3*$M$64+$M$58)+(4/$D$2)*($I$6+$D$3*$B$9*H23)+G23*4)/2/G24</f>
        <v>1632.3564690688413</v>
      </c>
      <c r="I100" s="1">
        <f>((3*$M$64+$M$58)+(4/$D$2)*($I$6+$D$3*$B$9*H23)/H24+G23*4)/2</f>
        <v>1999.62850451752</v>
      </c>
      <c r="J100" s="1">
        <f>((3*$M$64+$M$58)+(4/$D$2)*($I$6+$D$3*$B$9*J23)+I23*4)/2/I24</f>
        <v>2.3117615362218329</v>
      </c>
      <c r="K100" s="1">
        <f>((3*$M$64+$M$58)+(4/$D$2)*($I$6+$D$3*$B$9*J23)/J24+I23*4)/2</f>
        <v>2.8783545705400395</v>
      </c>
      <c r="L100" s="1">
        <f t="shared" si="2"/>
        <v>1.626688941562086</v>
      </c>
      <c r="M100" s="1">
        <f t="shared" si="4"/>
        <v>1.626688941562086</v>
      </c>
      <c r="N100" s="1" t="str">
        <f t="shared" si="3"/>
        <v>不使用增产剂</v>
      </c>
      <c r="O100" s="1" t="s">
        <v>158</v>
      </c>
      <c r="P100" s="1">
        <f t="shared" si="5"/>
        <v>11740781.849577148</v>
      </c>
      <c r="Q100" s="1" t="s">
        <v>74</v>
      </c>
    </row>
    <row r="101" spans="1:17" x14ac:dyDescent="0.2">
      <c r="A101" s="1" t="s">
        <v>160</v>
      </c>
      <c r="B101" s="1" t="s">
        <v>161</v>
      </c>
      <c r="C101" s="1">
        <f>(($L$48)+2*($B$6+$C$3*$B$9)/$C$2)/1</f>
        <v>18.089066909859866</v>
      </c>
      <c r="D101" s="1">
        <f>(($L$48)+2*($B$6+$C$3*$B$9*D23)/$C$2+C23*1)/1/C24</f>
        <v>904.08078443183808</v>
      </c>
      <c r="E101" s="1">
        <f>(($L$48)+2*($B$6+$C$3*$B$9*D23)/$C$2/D24+C23*1)/1</f>
        <v>1017.0893089866543</v>
      </c>
      <c r="F101" s="1">
        <f>(($L$48)+2*($B$6+$C$3*$B$9*F23)/$C$2+E23*1)/1/E24</f>
        <v>847.57775271146818</v>
      </c>
      <c r="G101" s="1">
        <f>(($L$48)+2*($B$6+$C$3*$B$9*F23)/$C$2/F24+E23*1)/1</f>
        <v>1017.0898738325078</v>
      </c>
      <c r="H101" s="1">
        <f>(($L$48)+2*($B$6+$C$3*$B$9*H23)/$C$2+G23*1)/1/G24</f>
        <v>830.28222369118828</v>
      </c>
      <c r="I101" s="1">
        <f>(($L$48)+2*($B$6+$C$3*$B$9*H23)/$C$2/H24+G23*1)/1</f>
        <v>1017.0902772938318</v>
      </c>
      <c r="J101" s="1">
        <f>(($L$48)+2*($B$6+$C$3*$B$9*J23)/$C$2+I23*1)/1/I24</f>
        <v>14.978274295331934</v>
      </c>
      <c r="K101" s="1">
        <f>(($L$48)+2*($B$6+$C$3*$B$9*J23)/$C$2/J24+I23*1)/1</f>
        <v>18.715277969340086</v>
      </c>
      <c r="L101" s="1">
        <f t="shared" si="2"/>
        <v>14.978274295331934</v>
      </c>
      <c r="M101" s="1">
        <f t="shared" si="4"/>
        <v>14.978274295331934</v>
      </c>
      <c r="N101" s="1" t="str">
        <f t="shared" si="3"/>
        <v>4喷涂增产</v>
      </c>
      <c r="O101" s="1" t="s">
        <v>160</v>
      </c>
      <c r="P101" s="1">
        <f t="shared" si="5"/>
        <v>1275086.8106315953</v>
      </c>
      <c r="Q101" s="1" t="s">
        <v>74</v>
      </c>
    </row>
    <row r="102" spans="1:17" x14ac:dyDescent="0.2">
      <c r="A102" s="1" t="s">
        <v>162</v>
      </c>
      <c r="B102" s="1" t="s">
        <v>163</v>
      </c>
      <c r="C102" s="1">
        <f>(($M$57)+2*($B$6+$C$3*$B$9)/$C$2)/1</f>
        <v>11.038965267604006</v>
      </c>
      <c r="D102" s="1">
        <f>(($M$57)+2*($B$6+$C$3*$B$9*D23)/$C$2+C23*1)/1/C24</f>
        <v>897.81402741649947</v>
      </c>
      <c r="E102" s="1">
        <f>(($M$57)+2*($B$6+$C$3*$B$9*D23)/$C$2/D24+C23*1)/1</f>
        <v>1010.0392073443984</v>
      </c>
      <c r="F102" s="1">
        <f>(($M$57)+2*($B$6+$C$3*$B$9*F23)/$C$2+E23*1)/1/E24</f>
        <v>841.70266800958825</v>
      </c>
      <c r="G102" s="1">
        <f>(($M$57)+2*($B$6+$C$3*$B$9*F23)/$C$2/F24+E23*1)/1</f>
        <v>1010.0397721902519</v>
      </c>
      <c r="H102" s="1">
        <f>(($M$57)+2*($B$6+$C$3*$B$9*H23)/$C$2+G23*1)/1/G24</f>
        <v>824.52703867710181</v>
      </c>
      <c r="I102" s="1">
        <f>(($M$57)+2*($B$6+$C$3*$B$9*H23)/$C$2/H24+G23*1)/1</f>
        <v>1010.040175651576</v>
      </c>
      <c r="J102" s="1">
        <f>(($M$57)+2*($B$6+$C$3*$B$9*J23)/$C$2+I23*1)/1/I24</f>
        <v>9.3381929815272464</v>
      </c>
      <c r="K102" s="1">
        <f>(($M$57)+2*($B$6+$C$3*$B$9*J23)/$C$2/J24+I23*1)/1</f>
        <v>11.665176327084223</v>
      </c>
      <c r="L102" s="1">
        <f t="shared" si="2"/>
        <v>9.3381929815272464</v>
      </c>
      <c r="M102" s="1">
        <f t="shared" si="4"/>
        <v>9.3381929815272464</v>
      </c>
      <c r="N102" s="1" t="str">
        <f t="shared" si="3"/>
        <v>4喷涂增产</v>
      </c>
      <c r="O102" s="1" t="s">
        <v>162</v>
      </c>
      <c r="P102" s="1">
        <f t="shared" si="5"/>
        <v>2045213.6765411389</v>
      </c>
      <c r="Q102" s="1" t="s">
        <v>74</v>
      </c>
    </row>
    <row r="103" spans="1:17" x14ac:dyDescent="0.2">
      <c r="A103" s="1" t="s">
        <v>164</v>
      </c>
      <c r="B103" s="1" t="s">
        <v>165</v>
      </c>
      <c r="C103" s="1">
        <f>((2*$M$98+$M$65+$O$29)+(6/$D$2)*($I$6+$D$3*$B$9))/1</f>
        <v>706.17984273338311</v>
      </c>
      <c r="D103" s="1">
        <f>((2*$M$98+$M$65+$O$29)+(6/$D$2)*($I$6+$D$3*$B$9*D23)+C23*4)/1/C24</f>
        <v>4179.7226780668389</v>
      </c>
      <c r="E103" s="1">
        <f>((2*$M$98+$M$65+$O$29)+(6/$D$2)*($I$6+$D$3*$B$9*D23)/D24+C23*4)/1</f>
        <v>4702.180932078958</v>
      </c>
      <c r="F103" s="1">
        <f>((2*$M$98+$M$65+$O$29)+(6/$D$2)*($I$6+$D$3*$B$9*F23)+E23*4)/1/E24</f>
        <v>3918.4990885674515</v>
      </c>
      <c r="G103" s="1">
        <f>((2*$M$98+$M$65+$O$29)+(6/$D$2)*($I$6+$D$3*$B$9*F23)/F24+E23*4)/1</f>
        <v>4702.1834738852995</v>
      </c>
      <c r="H103" s="1">
        <f>((2*$M$98+$M$65+$O$29)+(6/$D$2)*($I$6+$D$3*$B$9*H23)+G23*4)/1/G24</f>
        <v>3838.5386120299499</v>
      </c>
      <c r="I103" s="1">
        <f>((2*$M$98+$M$65+$O$29)+(6/$D$2)*($I$6+$D$3*$B$9*H23)/H24+G23*4)/1</f>
        <v>4702.1852894612566</v>
      </c>
      <c r="J103" s="1">
        <f>((2*$M$98+$M$65+$O$29)+(6/$D$2)*($I$6+$D$3*$B$9*J23)+I23*4)/1/I24</f>
        <v>566.97558840839849</v>
      </c>
      <c r="K103" s="1">
        <f>((2*$M$98+$M$65+$O$29)+(6/$D$2)*($I$6+$D$3*$B$9*J23)/J24+I23*4)/1</f>
        <v>708.68544346128635</v>
      </c>
      <c r="L103" s="1">
        <f t="shared" si="2"/>
        <v>566.97558840839849</v>
      </c>
      <c r="M103" s="1">
        <f t="shared" si="4"/>
        <v>566.97558840839849</v>
      </c>
      <c r="N103" s="1" t="str">
        <f t="shared" si="3"/>
        <v>4喷涂增产</v>
      </c>
      <c r="O103" s="1" t="s">
        <v>164</v>
      </c>
      <c r="P103" s="1">
        <f t="shared" si="5"/>
        <v>33685.04815809297</v>
      </c>
      <c r="Q103" s="1" t="s">
        <v>74</v>
      </c>
    </row>
    <row r="104" spans="1:17" x14ac:dyDescent="0.2">
      <c r="A104" s="1" t="s">
        <v>282</v>
      </c>
      <c r="B104" s="1" t="s">
        <v>283</v>
      </c>
      <c r="C104" s="1">
        <f>$F$29</f>
        <v>18.083014989999999</v>
      </c>
      <c r="D104" s="1" t="s">
        <v>284</v>
      </c>
      <c r="E104" s="1" t="s">
        <v>284</v>
      </c>
      <c r="F104" s="1" t="s">
        <v>284</v>
      </c>
      <c r="G104" s="1" t="s">
        <v>284</v>
      </c>
      <c r="H104" s="1" t="s">
        <v>284</v>
      </c>
      <c r="I104" s="1" t="s">
        <v>284</v>
      </c>
      <c r="J104" s="1" t="s">
        <v>284</v>
      </c>
      <c r="K104" s="1" t="s">
        <v>284</v>
      </c>
      <c r="L104" s="1">
        <f t="shared" si="2"/>
        <v>18.083014989999999</v>
      </c>
      <c r="M104" s="1">
        <f t="shared" si="4"/>
        <v>18.083014989999999</v>
      </c>
      <c r="N104" s="1" t="str">
        <f t="shared" si="3"/>
        <v>不使用增产剂</v>
      </c>
      <c r="O104" s="1" t="s">
        <v>282</v>
      </c>
      <c r="P104" s="1">
        <f t="shared" si="5"/>
        <v>1056162.3717373251</v>
      </c>
      <c r="Q104" s="1" t="s">
        <v>74</v>
      </c>
    </row>
    <row r="115" spans="1:17" ht="19.5" x14ac:dyDescent="0.2">
      <c r="A115" s="12" t="s">
        <v>166</v>
      </c>
      <c r="B115" s="12"/>
      <c r="C115" s="12"/>
      <c r="D115" s="12"/>
      <c r="E115" s="12"/>
      <c r="F115" s="12"/>
      <c r="G115" s="12"/>
      <c r="H115" s="12"/>
      <c r="I115" s="12"/>
      <c r="J115" s="12"/>
    </row>
    <row r="116" spans="1:17" x14ac:dyDescent="0.2">
      <c r="A116" s="1" t="s">
        <v>167</v>
      </c>
      <c r="B116" s="1" t="s">
        <v>168</v>
      </c>
      <c r="C116" s="1">
        <f>((2*$M$86+3*$M$67+$L$48)+(3/$B$2)*($F$6+$B$3*$B$9))</f>
        <v>49.470323544945259</v>
      </c>
      <c r="D116" s="1">
        <f>((2*$M$86+3*$M$67+$L$48)+(3/$B$2)*($F$6+$B$3*$B$9*D23)+6*C23)/C24</f>
        <v>5371.9760416967838</v>
      </c>
      <c r="E116" s="1">
        <f>((2*$M$86+3*$M$67+$L$48)+(3/$B$2)*($F$6+$B$3*$B$9*D23)/D24+6*C23)</f>
        <v>6043.4706866601373</v>
      </c>
      <c r="F116" s="1">
        <f>((2*$M$86+3*$M$67+$L$48)+(3/$B$2)*($F$6+$B$3*$B$9*F23)+6*E23)/E24</f>
        <v>5036.2305650506651</v>
      </c>
      <c r="G116" s="1">
        <f>((2*$M$86+3*$M$67+$L$48)+(3/$B$2)*($F$6+$B$3*$B$9*F23)/F24+6*E23)</f>
        <v>6043.4715339289169</v>
      </c>
      <c r="H116" s="1">
        <f>((2*$M$86+3*$M$67+$L$48)+(3/$B$2)*($F$6+$B$3*$B$9*H23)+6*G23)/G24</f>
        <v>4933.4533136430318</v>
      </c>
      <c r="I116" s="1">
        <f>((2*$M$86+3*$M$67+$L$48)+(3/$B$2)*($F$6+$B$3*$B$9*H23)/H24+6*G23)</f>
        <v>6043.4721391209032</v>
      </c>
      <c r="J116" s="1">
        <f>((2*$M$86+3*$M$67+$L$48)+(3/$B$2)*($F$6+$B$3*$B$9*J23)+6*I23)/I24</f>
        <v>42.585703073377182</v>
      </c>
      <c r="K116" s="1">
        <f>((2*$M$86+3*$M$67+$L$48)+(3/$B$2)*($F$6+$B$3*$B$9*J23)/J24+6*I23)</f>
        <v>53.220781491984219</v>
      </c>
      <c r="L116" s="1">
        <f t="shared" si="2"/>
        <v>42.585703073377182</v>
      </c>
      <c r="M116" s="1">
        <f t="shared" ref="M116:M131" si="6">L116</f>
        <v>42.585703073377182</v>
      </c>
      <c r="N116" s="1" t="str">
        <f t="shared" si="3"/>
        <v>4喷涂增产</v>
      </c>
      <c r="O116" s="1" t="s">
        <v>167</v>
      </c>
      <c r="P116" s="1">
        <f t="shared" ref="P116:P131" si="7">60*318310/M116</f>
        <v>448474.45554890117</v>
      </c>
      <c r="Q116" s="1" t="s">
        <v>74</v>
      </c>
    </row>
    <row r="117" spans="1:17" x14ac:dyDescent="0.2">
      <c r="A117" s="1" t="s">
        <v>169</v>
      </c>
      <c r="B117" s="1" t="s">
        <v>170</v>
      </c>
      <c r="C117" s="1">
        <f>(4*$H$49+$M$93)+(6/$B$2)*($E$6+$B$3*$B$9)</f>
        <v>62.465835786759058</v>
      </c>
      <c r="D117" s="1">
        <f>((4*$H$49+$M$93)+(6/$B$2)*($E$6+$B$3*$B$9*D23)+C23*5)/C24</f>
        <v>4495.530028901896</v>
      </c>
      <c r="E117" s="1">
        <f>((4*$H$49+$M$93)+(6/$B$2)*($E$6+$B$3*$B$9*D23)/D24+C23*5)</f>
        <v>5057.4665620171427</v>
      </c>
      <c r="F117" s="1">
        <f>((4*$H$49+$M$93)+(6/$B$2)*($E$6+$B$3*$B$9*F23)+E23*5)/E24</f>
        <v>4214.5654540153873</v>
      </c>
      <c r="G117" s="1">
        <f>((4*$H$49+$M$93)+(6/$B$2)*($E$6+$B$3*$B$9*F23)/F24+E23*5)</f>
        <v>5057.4682565547027</v>
      </c>
      <c r="H117" s="1">
        <f>((4*$H$49+$M$93)+(6/$B$2)*($E$6+$B$3*$B$9*H23)+G23*5)/G24</f>
        <v>4128.5598425488133</v>
      </c>
      <c r="I117" s="1">
        <f>((4*$H$49+$M$93)+(6/$B$2)*($E$6+$B$3*$B$9*H23)/H24+G23*5)</f>
        <v>5057.4694669386754</v>
      </c>
      <c r="J117" s="1">
        <f>((4*$H$49+$M$93)+(6/$B$2)*($E$6+$B$3*$B$9*J23)+I23*5)/I24</f>
        <v>52.493247858963777</v>
      </c>
      <c r="K117" s="1">
        <f>((4*$H$49+$M$93)+(6/$B$2)*($E$6+$B$3*$B$9*J23)/J24+I23*5)</f>
        <v>65.59386512423022</v>
      </c>
      <c r="L117" s="1">
        <f t="shared" si="2"/>
        <v>52.493247858963777</v>
      </c>
      <c r="M117" s="1">
        <f t="shared" si="6"/>
        <v>52.493247858963777</v>
      </c>
      <c r="N117" s="1" t="str">
        <f t="shared" si="3"/>
        <v>4喷涂增产</v>
      </c>
      <c r="O117" s="1" t="s">
        <v>169</v>
      </c>
      <c r="P117" s="1">
        <f t="shared" si="7"/>
        <v>363829.65007829503</v>
      </c>
      <c r="Q117" s="1" t="s">
        <v>74</v>
      </c>
    </row>
    <row r="118" spans="1:17" x14ac:dyDescent="0.2">
      <c r="A118" s="1" t="s">
        <v>171</v>
      </c>
      <c r="B118" s="1" t="s">
        <v>172</v>
      </c>
      <c r="C118" s="1">
        <f>(2*$M$84+2*$M$90)+(6/$B$2)*($E$6+$B$3*$B$9)</f>
        <v>122.40959221306994</v>
      </c>
      <c r="D118" s="1">
        <f>((2*$M$84+2*$M$90)+(6/$B$2)*($E$6+$B$3*$B$9*D23)+C23*4)/C24</f>
        <v>3660.8133679475059</v>
      </c>
      <c r="E118" s="1">
        <f>((2*$M$84+2*$M$90)+(6/$B$2)*($E$6+$B$3*$B$9*D23)/D24+C23*4)</f>
        <v>4118.4103184434534</v>
      </c>
      <c r="F118" s="1">
        <f>((2*$M$84+2*$M$90)+(6/$B$2)*($E$6+$B$3*$B$9*F23)+E23*4)/E24</f>
        <v>3432.0185843706463</v>
      </c>
      <c r="G118" s="1">
        <f>((2*$M$84+2*$M$90)+(6/$B$2)*($E$6+$B$3*$B$9*F23)/F24+E23*4)</f>
        <v>4118.4120129810135</v>
      </c>
      <c r="H118" s="1">
        <f>((2*$M$84+2*$M$90)+(6/$B$2)*($E$6+$B$3*$B$9*H23)+G23*4)/G24</f>
        <v>3361.9833171825367</v>
      </c>
      <c r="I118" s="1">
        <f>((2*$M$84+2*$M$90)+(6/$B$2)*($E$6+$B$3*$B$9*H23)/H24+G23*4)</f>
        <v>4118.4132233649862</v>
      </c>
      <c r="J118" s="1">
        <f>((2*$M$84+2*$M$90)+(6/$B$2)*($E$6+$B$3*$B$9*J23)+I23*4)/I24</f>
        <v>99.94849453640029</v>
      </c>
      <c r="K118" s="1">
        <f>((2*$M$84+2*$M$90)+(6/$B$2)*($E$6+$B$3*$B$9*J23)/J24+I23*4)</f>
        <v>124.91292347102585</v>
      </c>
      <c r="L118" s="1">
        <f t="shared" si="2"/>
        <v>99.94849453640029</v>
      </c>
      <c r="M118" s="1">
        <f t="shared" si="6"/>
        <v>99.94849453640029</v>
      </c>
      <c r="N118" s="1" t="str">
        <f t="shared" si="3"/>
        <v>4喷涂增产</v>
      </c>
      <c r="O118" s="1" t="s">
        <v>171</v>
      </c>
      <c r="P118" s="1">
        <f t="shared" si="7"/>
        <v>191084.41891582942</v>
      </c>
      <c r="Q118" s="1" t="s">
        <v>74</v>
      </c>
    </row>
    <row r="119" spans="1:17" x14ac:dyDescent="0.2">
      <c r="A119" s="1" t="s">
        <v>173</v>
      </c>
      <c r="B119" s="1" t="s">
        <v>174</v>
      </c>
      <c r="C119" s="1">
        <f>((4*$M$66+$M$77+$M$57)+(6/$B$2)*($F$6+$B$3*$B$9))</f>
        <v>699.66449328821773</v>
      </c>
      <c r="D119" s="1">
        <f>((4*$M$66+$M$77+$M$57)+(6/$B$2)*($F$6+$B$3*$B$9*D23)+C23*6)/C24</f>
        <v>5949.9288355698591</v>
      </c>
      <c r="E119" s="1">
        <f>((4*$M$66+$M$77+$M$57)+(6/$B$2)*($F$6+$B$3*$B$9*D23)/D24+C23*6)</f>
        <v>6693.6652195186007</v>
      </c>
      <c r="F119" s="1">
        <f>((4*$M$66+$M$77+$M$57)+(6/$B$2)*($F$6+$B$3*$B$9*F23)+E23*6)/E24</f>
        <v>5578.0643352666029</v>
      </c>
      <c r="G119" s="1">
        <f>((4*$M$66+$M$77+$M$57)+(6/$B$2)*($F$6+$B$3*$B$9*F23)/F24+E23*6)</f>
        <v>6693.6669140561617</v>
      </c>
      <c r="H119" s="1">
        <f>((4*$M$66+$M$77+$M$57)+(6/$B$2)*($F$6+$B$3*$B$9*H23)+G23*6)/G24</f>
        <v>5464.2322160193917</v>
      </c>
      <c r="I119" s="1">
        <f>((4*$M$66+$M$77+$M$57)+(6/$B$2)*($F$6+$B$3*$B$9*H23)/H24+G23*6)</f>
        <v>6693.6681244401334</v>
      </c>
      <c r="J119" s="1">
        <f>((4*$M$66+$M$77+$M$57)+(6/$B$2)*($F$6+$B$3*$B$9*J23)+I23*6)/I24</f>
        <v>562.75193232374295</v>
      </c>
      <c r="K119" s="1">
        <f>((4*$M$66+$M$77+$M$57)+(6/$B$2)*($F$6+$B$3*$B$9*J23)/J24+I23*6)</f>
        <v>703.41722070520416</v>
      </c>
      <c r="L119" s="1">
        <f t="shared" si="2"/>
        <v>562.75193232374295</v>
      </c>
      <c r="M119" s="1">
        <f t="shared" si="6"/>
        <v>562.75193232374295</v>
      </c>
      <c r="N119" s="1" t="str">
        <f t="shared" si="3"/>
        <v>4喷涂增产</v>
      </c>
      <c r="O119" s="1" t="s">
        <v>173</v>
      </c>
      <c r="P119" s="1">
        <f t="shared" si="7"/>
        <v>33937.866585614589</v>
      </c>
      <c r="Q119" s="1" t="s">
        <v>74</v>
      </c>
    </row>
    <row r="120" spans="1:17" x14ac:dyDescent="0.2">
      <c r="A120" s="1" t="s">
        <v>175</v>
      </c>
      <c r="B120" s="1" t="s">
        <v>176</v>
      </c>
      <c r="C120" s="1">
        <f>((3*$M$119+3*$M$96+3*$M$84)+(8/$B$2)*($F$6+$B$3*$B$9))</f>
        <v>1817.1314118011373</v>
      </c>
      <c r="D120" s="1">
        <f>((3*$M$119+3*$M$96+3*$M$84)+(8/$B$2)*($F$6+$B$3*$B$9*D23)+C23*9)/C24</f>
        <v>9607.2343769821946</v>
      </c>
      <c r="E120" s="1">
        <f>((3*$M$119+3*$M$96+3*$M$84)+(8/$B$2)*($F$6+$B$3*$B$9*D23)/D24+C23*9)</f>
        <v>10808.132380108314</v>
      </c>
      <c r="F120" s="1">
        <f>((3*$M$119+3*$M$96+3*$M$84)+(8/$B$2)*($F$6+$B$3*$B$9*F23)+E23*9)/E24</f>
        <v>9006.7902976472888</v>
      </c>
      <c r="G120" s="1">
        <f>((3*$M$119+3*$M$96+3*$M$84)+(8/$B$2)*($F$6+$B$3*$B$9*F23)/F24+E23*9)</f>
        <v>10808.134639491729</v>
      </c>
      <c r="H120" s="1">
        <f>((3*$M$119+3*$M$96+3*$M$84)+(8/$B$2)*($F$6+$B$3*$B$9*H23)+G23*9)/G24</f>
        <v>8822.9861553049141</v>
      </c>
      <c r="I120" s="1">
        <f>((3*$M$119+3*$M$96+3*$M$84)+(8/$B$2)*($F$6+$B$3*$B$9*H23)/H24+G23*9)</f>
        <v>10808.136253337025</v>
      </c>
      <c r="J120" s="1">
        <f>((3*$M$119+3*$M$96+3*$M$84)+(8/$B$2)*($F$6+$B$3*$B$9*J23)+I23*9)/I24</f>
        <v>1458.232004828747</v>
      </c>
      <c r="K120" s="1">
        <f>((3*$M$119+3*$M$96+3*$M$84)+(8/$B$2)*($F$6+$B$3*$B$9*J23)/J24+I23*9)</f>
        <v>1822.7597464366345</v>
      </c>
      <c r="L120" s="1">
        <f t="shared" ref="L120:L140" si="8">MIN(C120:K120)</f>
        <v>1458.232004828747</v>
      </c>
      <c r="M120" s="1">
        <f t="shared" si="6"/>
        <v>1458.232004828747</v>
      </c>
      <c r="N120" s="1" t="str">
        <f t="shared" ref="N120:N140" si="9">IF(C120=M120,$C$53,"")&amp;IF(D120=M120,$D$53,"")&amp;IF(E120=M120,$E$53,"")&amp;IF(F120=M120,$F$53,"")&amp;IF(G120=M120,$G$53,"")&amp;IF(H120=M120,$H$53,"")&amp;IF(I120=M120,$I$53,"")&amp;IF(J120=M120,$J$53,"")&amp;IF(K120=M120,$K$53,"")</f>
        <v>4喷涂增产</v>
      </c>
      <c r="O120" s="1" t="s">
        <v>175</v>
      </c>
      <c r="P120" s="1">
        <f t="shared" si="7"/>
        <v>13097.092874629998</v>
      </c>
      <c r="Q120" s="1" t="s">
        <v>74</v>
      </c>
    </row>
    <row r="121" spans="1:17" x14ac:dyDescent="0.2">
      <c r="A121" s="1" t="s">
        <v>177</v>
      </c>
      <c r="B121" s="1" t="s">
        <v>178</v>
      </c>
      <c r="C121" s="1">
        <f>(($B$49+$M$84)+(20/$B$2)*($E$6+$B$3*$B$9))</f>
        <v>65.521121518877337</v>
      </c>
      <c r="D121" s="1">
        <f>(($B$49+$M$84)+(20/$B$2)*($E$6+$B$3*$B$9*D23)+C23*2)/C24</f>
        <v>1834.2571353586286</v>
      </c>
      <c r="E121" s="1">
        <f>(($B$49+$M$84)+(20/$B$2)*($E$6+$B$3*$B$9*D23)/D24+C23*2)</f>
        <v>2063.5235422868213</v>
      </c>
      <c r="F121" s="1">
        <f>(($B$49+$M$84)+(20/$B$2)*($E$6+$B$3*$B$9*F23)+E23*2)/E24</f>
        <v>1719.6362374649138</v>
      </c>
      <c r="G121" s="1">
        <f>(($B$49+$M$84)+(20/$B$2)*($E$6+$B$3*$B$9*F23)/F24+E23*2)</f>
        <v>2063.529190745357</v>
      </c>
      <c r="H121" s="1">
        <f>(($B$49+$M$84)+(20/$B$2)*($E$6+$B$3*$B$9*H23)+G23*2)/G24</f>
        <v>1684.5613817447638</v>
      </c>
      <c r="I121" s="1">
        <f>(($B$49+$M$84)+(20/$B$2)*($E$6+$B$3*$B$9*H23)/H24+G23*2)</f>
        <v>2063.5332253585971</v>
      </c>
      <c r="J121" s="1">
        <f>(($B$49+$M$84)+(20/$B$2)*($E$6+$B$3*$B$9*J23)+I23*2)/I24</f>
        <v>53.489037180644686</v>
      </c>
      <c r="K121" s="1">
        <f>(($B$49+$M$84)+(20/$B$2)*($E$6+$B$3*$B$9*J23)/J24+I23*2)</f>
        <v>66.785647477557504</v>
      </c>
      <c r="L121" s="1">
        <f t="shared" si="8"/>
        <v>53.489037180644686</v>
      </c>
      <c r="M121" s="1">
        <f t="shared" si="6"/>
        <v>53.489037180644686</v>
      </c>
      <c r="N121" s="1" t="str">
        <f t="shared" si="9"/>
        <v>4喷涂增产</v>
      </c>
      <c r="O121" s="1" t="s">
        <v>177</v>
      </c>
      <c r="P121" s="1">
        <f t="shared" si="7"/>
        <v>357056.34288199409</v>
      </c>
      <c r="Q121" s="1" t="s">
        <v>74</v>
      </c>
    </row>
    <row r="122" spans="1:17" x14ac:dyDescent="0.2">
      <c r="A122" s="1" t="s">
        <v>179</v>
      </c>
      <c r="B122" s="1" t="s">
        <v>180</v>
      </c>
      <c r="C122" s="1">
        <f>($M$139+(10/$B$2)*($D$6+$B$3*$B$9))/8</f>
        <v>7.6943912974920119</v>
      </c>
      <c r="D122" s="1">
        <f>($M$139+(10/$B$2)*($D$6+$B$3*$B$9*D23)+C23*1)/C24/8</f>
        <v>117.840467584414</v>
      </c>
      <c r="E122" s="1">
        <f>($M$139+(10/$B$2)*($D$6+$B$3*$B$9*D23)/D24+C23*1)/8</f>
        <v>132.56954259548851</v>
      </c>
      <c r="F122" s="1">
        <f>($M$139+(10/$B$2)*($D$6+$B$3*$B$9*F23)+E23*1)/E24/8</f>
        <v>110.47669917702559</v>
      </c>
      <c r="G122" s="1">
        <f>($M$139+(10/$B$2)*($D$6+$B$3*$B$9*F23)/F24+E23*1)/8</f>
        <v>132.56989562414699</v>
      </c>
      <c r="H122" s="1">
        <f>($M$139+(10/$B$2)*($D$6+$B$3*$B$9*H23)+G23*1)/G24/8</f>
        <v>108.22330774889441</v>
      </c>
      <c r="I122" s="1">
        <f>($M$139+(10/$B$2)*($D$6+$B$3*$B$9*H23)/H24+G23*1)/8</f>
        <v>132.5701477874745</v>
      </c>
      <c r="J122" s="1">
        <f>($M$139+(10/$B$2)*($D$6+$B$3*$B$9*J23)+I23*1)/I24/8</f>
        <v>6.2225217858400352</v>
      </c>
      <c r="K122" s="1">
        <f>($M$139+(10/$B$2)*($D$6+$B$3*$B$9*J23)/J24+I23*1)/8</f>
        <v>7.7734241699095223</v>
      </c>
      <c r="L122" s="1">
        <f t="shared" si="8"/>
        <v>6.2225217858400352</v>
      </c>
      <c r="M122" s="1">
        <f t="shared" si="6"/>
        <v>6.2225217858400352</v>
      </c>
      <c r="N122" s="1" t="str">
        <f t="shared" si="9"/>
        <v>4喷涂增产</v>
      </c>
      <c r="O122" s="1" t="s">
        <v>179</v>
      </c>
      <c r="P122" s="1">
        <f t="shared" si="7"/>
        <v>3069270.0897344798</v>
      </c>
      <c r="Q122" s="1" t="s">
        <v>74</v>
      </c>
    </row>
    <row r="123" spans="1:17" x14ac:dyDescent="0.2">
      <c r="A123" s="1" t="s">
        <v>181</v>
      </c>
      <c r="B123" s="1" t="s">
        <v>182</v>
      </c>
      <c r="C123" s="1">
        <f>((2*$M$120+4*$M$128+2*$M$118)+(6/$B$2)*($F$6+$B$3*$B$9))</f>
        <v>3215.1885066734058</v>
      </c>
      <c r="D123" s="1">
        <f>((2*$M$120+4*$M$128+2*$M$118)+(6/$B$2)*($F$6+$B$3*$B$9*D23)+C23*8)/C24</f>
        <v>9961.9501808011373</v>
      </c>
      <c r="E123" s="1">
        <f>((2*$M$120+4*$M$128+2*$M$118)+(6/$B$2)*($F$6+$B$3*$B$9*D23)/D24+C23*8)</f>
        <v>11207.189232903789</v>
      </c>
      <c r="F123" s="1">
        <f>((2*$M$120+4*$M$128+2*$M$118)+(6/$B$2)*($F$6+$B$3*$B$9*F23)+E23*8)/E24</f>
        <v>9339.3343464209265</v>
      </c>
      <c r="G123" s="1">
        <f>((2*$M$120+4*$M$128+2*$M$118)+(6/$B$2)*($F$6+$B$3*$B$9*F23)/F24+E23*8)</f>
        <v>11207.19092744135</v>
      </c>
      <c r="H123" s="1">
        <f>((2*$M$120+4*$M$128+2*$M$118)+(6/$B$2)*($F$6+$B$3*$B$9*H23)+G23*8)/G24</f>
        <v>9148.7416147011772</v>
      </c>
      <c r="I123" s="1">
        <f>((2*$M$120+4*$M$128+2*$M$118)+(6/$B$2)*($F$6+$B$3*$B$9*H23)/H24+G23*8)</f>
        <v>11207.192137825321</v>
      </c>
      <c r="J123" s="1">
        <f>((2*$M$120+4*$M$128+2*$M$118)+(6/$B$2)*($F$6+$B$3*$B$9*J23)+I23*8)/I24</f>
        <v>2576.1706599591175</v>
      </c>
      <c r="K123" s="1">
        <f>((2*$M$120+4*$M$128+2*$M$118)+(6/$B$2)*($F$6+$B$3*$B$9*J23)/J24+I23*8)</f>
        <v>3220.1906302494226</v>
      </c>
      <c r="L123" s="1">
        <f t="shared" si="8"/>
        <v>2576.1706599591175</v>
      </c>
      <c r="M123" s="1">
        <f t="shared" si="6"/>
        <v>2576.1706599591175</v>
      </c>
      <c r="N123" s="1" t="str">
        <f t="shared" si="9"/>
        <v>4喷涂增产</v>
      </c>
      <c r="O123" s="1" t="s">
        <v>181</v>
      </c>
      <c r="P123" s="1">
        <f t="shared" si="7"/>
        <v>7413.5616466896199</v>
      </c>
      <c r="Q123" s="1" t="s">
        <v>74</v>
      </c>
    </row>
    <row r="124" spans="1:17" x14ac:dyDescent="0.2">
      <c r="A124" s="1" t="s">
        <v>183</v>
      </c>
      <c r="B124" s="1" t="s">
        <v>184</v>
      </c>
      <c r="C124" s="1">
        <f>($F$29+(0.5/$B$2)*($D$6+$B$3*$B$9))</f>
        <v>18.084527969964967</v>
      </c>
      <c r="D124" s="1">
        <f>($F$29+(0.5/$B$2)*($D$6+$B$3*$B$9*D23)+C23)/C24</f>
        <v>904.07553943462619</v>
      </c>
      <c r="E124" s="1">
        <f>($F$29+(0.5/$B$2)*($D$6+$B$3*$B$9*D23)/D24+C23)</f>
        <v>1017.0845884891636</v>
      </c>
      <c r="F124" s="1">
        <f>($F$29+(0.5/$B$2)*($D$6+$B$3*$B$9*F23)+E23)/E24</f>
        <v>847.57132254661701</v>
      </c>
      <c r="G124" s="1">
        <f>($F$29+(0.5/$B$2)*($D$6+$B$3*$B$9*F23)/F24+E23)</f>
        <v>1017.084729700627</v>
      </c>
      <c r="H124" s="1">
        <f>($F$29+(0.5/$B$2)*($D$6+$B$3*$B$9*H23)+G23)/G24</f>
        <v>830.27444265136842</v>
      </c>
      <c r="I124" s="1">
        <f>($F$29+(0.5/$B$2)*($D$6+$B$3*$B$9*H23)/H24+G23)</f>
        <v>1017.084830565958</v>
      </c>
      <c r="J124" s="1">
        <f>($F$29+(0.5/$B$2)*($D$6+$B$3*$B$9*J23)+I23)/I24</f>
        <v>14.969196415542134</v>
      </c>
      <c r="K124" s="1">
        <f>($F$29+(0.5/$B$2)*($D$6+$B$3*$B$9*J23)/J24+I23)</f>
        <v>18.709604294471458</v>
      </c>
      <c r="L124" s="1">
        <f t="shared" si="8"/>
        <v>14.969196415542134</v>
      </c>
      <c r="M124" s="1">
        <f t="shared" si="6"/>
        <v>14.969196415542134</v>
      </c>
      <c r="N124" s="1" t="str">
        <f t="shared" si="9"/>
        <v>4喷涂增产</v>
      </c>
      <c r="O124" s="1" t="s">
        <v>183</v>
      </c>
      <c r="P124" s="1">
        <f t="shared" si="7"/>
        <v>1275860.0708966856</v>
      </c>
      <c r="Q124" s="1" t="s">
        <v>74</v>
      </c>
    </row>
    <row r="125" spans="1:17" x14ac:dyDescent="0.2">
      <c r="A125" s="1" t="s">
        <v>185</v>
      </c>
      <c r="B125" s="1" t="s">
        <v>186</v>
      </c>
      <c r="C125" s="1">
        <f>((2*$M$124+$H$49)+(1/$B$2)*($E$6+$B$3*$B$9))</f>
        <v>32.039278954315208</v>
      </c>
      <c r="D125" s="1">
        <f>((2*$M$124+$H$49)+(1/$B$2)*($E$6+$B$3*$B$9*D23)+3*C23)/C24</f>
        <v>2692.4801659931504</v>
      </c>
      <c r="E125" s="1">
        <f>((2*$M$124+$H$49)+(1/$B$2)*($E$6+$B$3*$B$9*D23)/D24+3*C23)</f>
        <v>3029.0393999927123</v>
      </c>
      <c r="F125" s="1">
        <f>((2*$M$124+$H$49)+(1/$B$2)*($E$6+$B$3*$B$9*F23)+3*E23)/E24</f>
        <v>2524.2011642718885</v>
      </c>
      <c r="G125" s="1">
        <f>((2*$M$124+$H$49)+(1/$B$2)*($E$6+$B$3*$B$9*F23)/F24+3*E23)</f>
        <v>3029.0396824156392</v>
      </c>
      <c r="H125" s="1">
        <f>((2*$M$124+$H$49)+(1/$B$2)*($E$6+$B$3*$B$9*H23)+3*G23)/G24</f>
        <v>2472.6878428655004</v>
      </c>
      <c r="I125" s="1">
        <f>((2*$M$124+$H$49)+(1/$B$2)*($E$6+$B$3*$B$9*H23)/H24+3*G23)</f>
        <v>3029.0398841463011</v>
      </c>
      <c r="J125" s="1">
        <f>((2*$M$124+$H$49)+(1/$B$2)*($E$6+$B$3*$B$9*J23)+3*I23)/I24</f>
        <v>27.134329706204689</v>
      </c>
      <c r="K125" s="1">
        <f>((2*$M$124+$H$49)+(1/$B$2)*($E$6+$B$3*$B$9*J23)/J24+3*I23)</f>
        <v>33.914129682843438</v>
      </c>
      <c r="L125" s="1">
        <f t="shared" si="8"/>
        <v>27.134329706204689</v>
      </c>
      <c r="M125" s="1">
        <f t="shared" si="6"/>
        <v>27.134329706204689</v>
      </c>
      <c r="N125" s="1" t="str">
        <f t="shared" si="9"/>
        <v>4喷涂增产</v>
      </c>
      <c r="O125" s="1" t="s">
        <v>185</v>
      </c>
      <c r="P125" s="1">
        <f t="shared" si="7"/>
        <v>703853.76041306101</v>
      </c>
      <c r="Q125" s="1" t="s">
        <v>74</v>
      </c>
    </row>
    <row r="126" spans="1:17" x14ac:dyDescent="0.2">
      <c r="A126" s="1" t="s">
        <v>45</v>
      </c>
      <c r="B126" s="1" t="s">
        <v>187</v>
      </c>
      <c r="C126" s="1">
        <f>((2*$M$125+$G$49)+(2/$B$2)*($E$6+$B$3*$B$9))</f>
        <v>55.901400273831328</v>
      </c>
      <c r="D126" s="1">
        <f>((2*$M$125+$G$49)+(2/$B$2)*($E$6+$B$3*$B$9*D23)+3*C23)/C24</f>
        <v>2713.691747422035</v>
      </c>
      <c r="E126" s="1">
        <f>((2*$M$125+$G$49)+(2/$B$2)*($E$6+$B$3*$B$9*D23)/D24+3*C23)</f>
        <v>3052.9016423506259</v>
      </c>
      <c r="F126" s="1">
        <f>((2*$M$125+$G$49)+(2/$B$2)*($E$6+$B$3*$B$9*F23)+3*E23)/E24</f>
        <v>2544.088030514778</v>
      </c>
      <c r="G126" s="1">
        <f>((2*$M$125+$G$49)+(2/$B$2)*($E$6+$B$3*$B$9*F23)/F24+3*E23)</f>
        <v>3052.9022071964791</v>
      </c>
      <c r="H126" s="1">
        <f>((2*$M$125+$G$49)+(2/$B$2)*($E$6+$B$3*$B$9*H23)+3*G23)/G24</f>
        <v>2492.169842763818</v>
      </c>
      <c r="I126" s="1">
        <f>((2*$M$125+$G$49)+(2/$B$2)*($E$6+$B$3*$B$9*H23)/H24+3*G23)</f>
        <v>3052.9026106578035</v>
      </c>
      <c r="J126" s="1">
        <f>((2*$M$125+$G$49)+(2/$B$2)*($E$6+$B$3*$B$9*J23)+3*I23)/I24</f>
        <v>46.227657913733509</v>
      </c>
      <c r="K126" s="1">
        <f>((2*$M$125+$G$49)+(2/$B$2)*($E$6+$B$3*$B$9*J23)/J24+3*I23)</f>
        <v>57.777007492342051</v>
      </c>
      <c r="L126" s="1">
        <f t="shared" si="8"/>
        <v>46.227657913733509</v>
      </c>
      <c r="M126" s="1">
        <f t="shared" si="6"/>
        <v>46.227657913733509</v>
      </c>
      <c r="N126" s="1" t="str">
        <f t="shared" si="9"/>
        <v>4喷涂增产</v>
      </c>
      <c r="O126" s="1" t="s">
        <v>45</v>
      </c>
      <c r="P126" s="1">
        <f t="shared" si="7"/>
        <v>413142.28022627352</v>
      </c>
      <c r="Q126" s="1" t="s">
        <v>74</v>
      </c>
    </row>
    <row r="127" spans="1:17" x14ac:dyDescent="0.2">
      <c r="A127" s="1" t="s">
        <v>188</v>
      </c>
      <c r="B127" s="1" t="s">
        <v>189</v>
      </c>
      <c r="C127" s="1">
        <f>($M$58+10*$L$29+(6/$B$2)*($E$6+$B$3*$B$9))/2</f>
        <v>1.6198805317197351</v>
      </c>
      <c r="D127" s="1">
        <f>($M$58+10*$L$29+(6/$B$2)*($E$6+$B$3*$B$9*D23)+11*C23)/2/C24</f>
        <v>4885.4423145739165</v>
      </c>
      <c r="E127" s="1">
        <f>($M$58+10*$L$29+(6/$B$2)*($E$6+$B$3*$B$9*D23)/D24+11*C23)/2</f>
        <v>5496.1202436469111</v>
      </c>
      <c r="F127" s="1">
        <f>($M$58+10*$L$29+(6/$B$2)*($E$6+$B$3*$B$9*F23)+11*E23)/2/E24</f>
        <v>4580.1051958729777</v>
      </c>
      <c r="G127" s="1">
        <f>($M$58+10*$L$29+(6/$B$2)*($E$6+$B$3*$B$9*F23)/F24+11*E23)/2</f>
        <v>5496.1210909156916</v>
      </c>
      <c r="H127" s="1">
        <f>($M$58+10*$L$29+(6/$B$2)*($E$6+$B$3*$B$9*H23)+11*G23)/2/G24</f>
        <v>4486.6366254689701</v>
      </c>
      <c r="I127" s="1">
        <f>($M$58+10*$L$29+(6/$B$2)*($E$6+$B$3*$B$9*H23)/H24+11*G23)/2</f>
        <v>5496.121696107678</v>
      </c>
      <c r="J127" s="1">
        <f>($M$58+10*$L$29+(6/$B$2)*($E$6+$B$3*$B$9*J23)+11*I23)/2/I24</f>
        <v>4.0554694309906569</v>
      </c>
      <c r="K127" s="1">
        <f>($M$58+10*$L$29+(6/$B$2)*($E$6+$B$3*$B$9*J23)/J24+11*I23)/2</f>
        <v>5.0579894390010693</v>
      </c>
      <c r="L127" s="1">
        <f t="shared" si="8"/>
        <v>1.6198805317197351</v>
      </c>
      <c r="M127" s="1">
        <f t="shared" si="6"/>
        <v>1.6198805317197351</v>
      </c>
      <c r="N127" s="1" t="str">
        <f t="shared" si="9"/>
        <v>不使用增产剂</v>
      </c>
      <c r="O127" s="1" t="s">
        <v>188</v>
      </c>
      <c r="P127" s="1">
        <f t="shared" si="7"/>
        <v>11790128.732347997</v>
      </c>
      <c r="Q127" s="1" t="s">
        <v>74</v>
      </c>
    </row>
    <row r="128" spans="1:17" x14ac:dyDescent="0.2">
      <c r="A128" s="1" t="s">
        <v>190</v>
      </c>
      <c r="B128" s="1" t="s">
        <v>191</v>
      </c>
      <c r="C128" s="1">
        <f>(($M$77+20*$C$49+$M$116)+(12/$B$2)*($F$6+$B$3*$B$9))/2</f>
        <v>24.702338045882829</v>
      </c>
      <c r="D128" s="1">
        <f>(($M$77+20*$C$49+$M$116)+(12/$B$2)*($F$6+$B$3*$B$9*D23)+22*C23)/2/C24</f>
        <v>9789.9624753544504</v>
      </c>
      <c r="E128" s="1">
        <f>(($M$77+20*$C$49+$M$116)+(12/$B$2)*($F$6+$B$3*$B$9*D23)/D24+22*C23)/2</f>
        <v>11013.703064276266</v>
      </c>
      <c r="F128" s="1">
        <f>(($M$77+20*$C$49+$M$116)+(12/$B$2)*($F$6+$B$3*$B$9*F23)+22*E23)/2/E24</f>
        <v>9178.0958725646578</v>
      </c>
      <c r="G128" s="1">
        <f>(($M$77+20*$C$49+$M$116)+(12/$B$2)*($F$6+$B$3*$B$9*F23)/F24+22*E23)/2</f>
        <v>11013.704758813827</v>
      </c>
      <c r="H128" s="1">
        <f>(($M$77+20*$C$49+$M$116)+(12/$B$2)*($F$6+$B$3*$B$9*H23)+22*G23)/2/G24</f>
        <v>8990.7937219440173</v>
      </c>
      <c r="I128" s="1">
        <f>(($M$77+20*$C$49+$M$116)+(12/$B$2)*($F$6+$B$3*$B$9*H23)/H24+22*G23)/2</f>
        <v>11013.705969197799</v>
      </c>
      <c r="J128" s="1">
        <f>(($M$77+20*$C$49+$M$116)+(12/$B$2)*($F$6+$B$3*$B$9*J23)+22*I23)/2/I24</f>
        <v>25.281000447936002</v>
      </c>
      <c r="K128" s="1">
        <f>(($M$77+20*$C$49+$M$116)+(12/$B$2)*($F$6+$B$3*$B$9*J23)/J24+22*I23)/2</f>
        <v>31.578555860445498</v>
      </c>
      <c r="L128" s="1">
        <f t="shared" si="8"/>
        <v>24.702338045882829</v>
      </c>
      <c r="M128" s="1">
        <f t="shared" si="6"/>
        <v>24.702338045882829</v>
      </c>
      <c r="N128" s="1" t="str">
        <f t="shared" si="9"/>
        <v>不使用增产剂</v>
      </c>
      <c r="O128" s="1" t="s">
        <v>190</v>
      </c>
      <c r="P128" s="1">
        <f t="shared" si="7"/>
        <v>773149.48749084864</v>
      </c>
      <c r="Q128" s="1" t="s">
        <v>74</v>
      </c>
    </row>
    <row r="129" spans="1:17" x14ac:dyDescent="0.2">
      <c r="A129" s="1" t="s">
        <v>192</v>
      </c>
      <c r="B129" s="1" t="s">
        <v>193</v>
      </c>
      <c r="C129" s="1">
        <f>((12*$M$97+12*$L$29+$M$121+$M$77)+(24/$B$2)*($G$6+$B$3*$B$9))/2</f>
        <v>30.474756852089559</v>
      </c>
      <c r="D129" s="1" t="s">
        <v>278</v>
      </c>
      <c r="E129" s="1">
        <f>((12*$M$97+12*$L$29+$M$121+$M$77)+(24/$B$2)*($G$6+$B$3*$B$9*D23)/D24+C23*26)/2</f>
        <v>13017.476209312856</v>
      </c>
      <c r="F129" s="1" t="s">
        <v>278</v>
      </c>
      <c r="G129" s="1">
        <f>((12*$M$97+12*$L$29+$M$121+$M$77)+(24/$B$2)*($G$6+$B$3*$B$9*F23)/F24+E23*26)/2</f>
        <v>13017.479598387978</v>
      </c>
      <c r="H129" s="1" t="s">
        <v>278</v>
      </c>
      <c r="I129" s="1">
        <f>((12*$M$97+12*$L$29+$M$121+$M$77)+(24/$B$2)*($G$6+$B$3*$B$9*H23)/H24+G23*26)/2</f>
        <v>13017.482019155921</v>
      </c>
      <c r="J129" s="1" t="s">
        <v>278</v>
      </c>
      <c r="K129" s="1">
        <f>((12*$M$97+12*$L$29+$M$121+$M$77)+(24/$B$2)*($G$6+$B$3*$B$9*J23)/J24+I23*26)/2</f>
        <v>38.604909765577631</v>
      </c>
      <c r="L129" s="1">
        <f t="shared" si="8"/>
        <v>30.474756852089559</v>
      </c>
      <c r="M129" s="1">
        <f t="shared" si="6"/>
        <v>30.474756852089559</v>
      </c>
      <c r="N129" s="1" t="str">
        <f t="shared" si="9"/>
        <v>不使用增产剂</v>
      </c>
      <c r="O129" s="1" t="s">
        <v>192</v>
      </c>
      <c r="P129" s="1">
        <f t="shared" si="7"/>
        <v>626702.29307146941</v>
      </c>
      <c r="Q129" s="1" t="s">
        <v>74</v>
      </c>
    </row>
    <row r="130" spans="1:17" x14ac:dyDescent="0.2">
      <c r="A130" s="1" t="s">
        <v>194</v>
      </c>
      <c r="B130" s="1" t="s">
        <v>195</v>
      </c>
      <c r="C130" s="1">
        <f>(2*$M$76+3*$M$56)+(4/$B$2)*($E$6+$B$3*$B$9)</f>
        <v>11.676652559668744</v>
      </c>
      <c r="D130" s="1">
        <f>((2*$M$76+3*$M$56)+(4/$B$2)*($E$6+$B$3*$B$9*D23)+C23*5)/C24</f>
        <v>4450.3824744102976</v>
      </c>
      <c r="E130" s="1">
        <f>((2*$M$76+3*$M$56)+(4/$B$2)*($E$6+$B$3*$B$9*D23)/D24+C23*5)</f>
        <v>5006.6771367132578</v>
      </c>
      <c r="F130" s="1">
        <f>((2*$M$76+3*$M$56)+(4/$B$2)*($E$6+$B$3*$B$9*F23)+E23*5)/E24</f>
        <v>4172.2376043728937</v>
      </c>
      <c r="G130" s="1">
        <f>((2*$M$76+3*$M$56)+(4/$B$2)*($E$6+$B$3*$B$9*F23)/F24+E23*5)</f>
        <v>5006.6782664049651</v>
      </c>
      <c r="H130" s="1">
        <f>((2*$M$76+3*$M$56)+(4/$B$2)*($E$6+$B$3*$B$9*H23)+G23*5)/G24</f>
        <v>4087.0938504353958</v>
      </c>
      <c r="I130" s="1">
        <f>((2*$M$76+3*$M$56)+(4/$B$2)*($E$6+$B$3*$B$9*H23)/H24+G23*5)</f>
        <v>5006.679073327613</v>
      </c>
      <c r="J130" s="1">
        <f>((2*$M$76+3*$M$56)+(4/$B$2)*($E$6+$B$3*$B$9*J23)+I23*5)/I24</f>
        <v>11.854638973459684</v>
      </c>
      <c r="K130" s="1">
        <f>((2*$M$76+3*$M$56)+(4/$B$2)*($E$6+$B$3*$B$9*J23)/J24+I23*5)</f>
        <v>14.803168917174936</v>
      </c>
      <c r="L130" s="1">
        <f t="shared" si="8"/>
        <v>11.676652559668744</v>
      </c>
      <c r="M130" s="1">
        <f t="shared" si="6"/>
        <v>11.676652559668744</v>
      </c>
      <c r="N130" s="1" t="str">
        <f t="shared" si="9"/>
        <v>不使用增产剂</v>
      </c>
      <c r="O130" s="1" t="s">
        <v>194</v>
      </c>
      <c r="P130" s="1">
        <f t="shared" si="7"/>
        <v>1635622.8724289292</v>
      </c>
      <c r="Q130" s="1" t="s">
        <v>74</v>
      </c>
    </row>
    <row r="131" spans="1:17" x14ac:dyDescent="0.2">
      <c r="A131" s="1" t="s">
        <v>196</v>
      </c>
      <c r="B131" s="1" t="s">
        <v>197</v>
      </c>
      <c r="C131" s="1">
        <f>(5*$M$77+5*$M$86)+(6/$B$2)*($E$6+$B$3*$B$9)</f>
        <v>103.50844150440284</v>
      </c>
      <c r="D131" s="1">
        <f>((5*$M$77+5*$M$86)+(6/$B$2)*($E$6+$B$3*$B$9*D23)+C23*10)/C24</f>
        <v>8972.0123450953579</v>
      </c>
      <c r="E131" s="1">
        <f>((5*$M$77+5*$M$86)+(6/$B$2)*($E$6+$B$3*$B$9*D23)/D24+C23*10)</f>
        <v>10093.509167734786</v>
      </c>
      <c r="F131" s="1">
        <f>((5*$M$77+5*$M$86)+(6/$B$2)*($E$6+$B$3*$B$9*F23)+E23*10)/E24</f>
        <v>8411.2676254467588</v>
      </c>
      <c r="G131" s="1">
        <f>((5*$M$77+5*$M$86)+(6/$B$2)*($E$6+$B$3*$B$9*F23)/F24+E23*10)</f>
        <v>10093.510862272347</v>
      </c>
      <c r="H131" s="1">
        <f>((5*$M$77+5*$M$86)+(6/$B$2)*($E$6+$B$3*$B$9*H23)+G23*10)/G24</f>
        <v>8239.6150308897468</v>
      </c>
      <c r="I131" s="1">
        <f>((5*$M$77+5*$M$86)+(6/$B$2)*($E$6+$B$3*$B$9*H23)/H24+G23*10)</f>
        <v>10093.512072656318</v>
      </c>
      <c r="J131" s="1">
        <f>((5*$M$77+5*$M$86)+(6/$B$2)*($E$6+$B$3*$B$9*J23)+I23*10)/I24</f>
        <v>87.826124751139815</v>
      </c>
      <c r="K131" s="1">
        <f>((5*$M$77+5*$M$86)+(6/$B$2)*($E$6+$B$3*$B$9*J23)/J24+I23*10)</f>
        <v>109.75996123945025</v>
      </c>
      <c r="L131" s="1">
        <f t="shared" si="8"/>
        <v>87.826124751139815</v>
      </c>
      <c r="M131" s="1">
        <f t="shared" si="6"/>
        <v>87.826124751139815</v>
      </c>
      <c r="N131" s="1" t="str">
        <f t="shared" si="9"/>
        <v>4喷涂增产</v>
      </c>
      <c r="O131" s="1" t="s">
        <v>196</v>
      </c>
      <c r="P131" s="1">
        <f t="shared" si="7"/>
        <v>217459.21335043461</v>
      </c>
      <c r="Q131" s="1" t="s">
        <v>74</v>
      </c>
    </row>
    <row r="134" spans="1:17" ht="19.5" x14ac:dyDescent="0.2">
      <c r="A134" s="12" t="s">
        <v>198</v>
      </c>
      <c r="B134" s="12"/>
      <c r="C134" s="12"/>
      <c r="D134" s="12"/>
      <c r="E134" s="12"/>
      <c r="F134" s="12"/>
      <c r="G134" s="12"/>
      <c r="H134" s="12"/>
      <c r="I134" s="12"/>
      <c r="J134" s="12"/>
    </row>
    <row r="135" spans="1:17" x14ac:dyDescent="0.2">
      <c r="A135" s="1" t="s">
        <v>199</v>
      </c>
      <c r="B135" s="1" t="s">
        <v>200</v>
      </c>
      <c r="C135" s="1">
        <f>($M$75+$M$82)+(3/$G$2)*($P$6+$G$3*$B$9)</f>
        <v>3.8927218465445703</v>
      </c>
      <c r="D135" s="1">
        <f>(($M$75+$M$82)+(3/$G$2)*($P$6+$G$3*$B$9*D23)+2*C23)/C24</f>
        <v>1779.4618110422243</v>
      </c>
      <c r="E135" s="1">
        <f>(($M$75+$M$82)+(3/$G$2)*($P$6+$G$3*$B$9*D23)/D24+2*C23)</f>
        <v>2001.892963923339</v>
      </c>
      <c r="F135" s="1">
        <f>(($M$75+$M$82)+(3/$G$2)*($P$6+$G$3*$B$9*F23)+2*E23)/E24</f>
        <v>1668.2474651587054</v>
      </c>
      <c r="G135" s="1">
        <f>(($M$75+$M$82)+(3/$G$2)*($P$6+$G$3*$B$9*F23)/F24+2*E23)</f>
        <v>2001.8935287691925</v>
      </c>
      <c r="H135" s="1">
        <f>(($M$75+$M$82)+(3/$G$2)*($P$6+$G$3*$B$9*H23)+2*G23)/G24</f>
        <v>1634.2035746599104</v>
      </c>
      <c r="I135" s="1">
        <f>(($M$75+$M$82)+(3/$G$2)*($P$6+$G$3*$B$9*H23)/H24+2*G23)</f>
        <v>2001.8939322305166</v>
      </c>
      <c r="J135" s="1">
        <f>(($M$75+$M$82)+(3/$G$2)*($P$6+$G$3*$B$9*J23)+2*I23)/I24</f>
        <v>4.1209567082918994</v>
      </c>
      <c r="K135" s="1">
        <f>(($M$75+$M$82)+(3/$G$2)*($P$6+$G$3*$B$9*J23)/J24+2*I23)</f>
        <v>5.1436309855400406</v>
      </c>
      <c r="L135" s="1">
        <f t="shared" si="8"/>
        <v>3.8927218465445703</v>
      </c>
      <c r="M135" s="1">
        <f t="shared" ref="M135:M140" si="10">L135</f>
        <v>3.8927218465445703</v>
      </c>
      <c r="N135" s="1" t="str">
        <f t="shared" si="9"/>
        <v>不使用增产剂</v>
      </c>
      <c r="O135" s="1" t="s">
        <v>199</v>
      </c>
      <c r="P135" s="1">
        <f t="shared" ref="P135:P140" si="11">60*318310/M135</f>
        <v>4906232.9015244544</v>
      </c>
      <c r="Q135" s="1" t="s">
        <v>74</v>
      </c>
    </row>
    <row r="136" spans="1:17" x14ac:dyDescent="0.2">
      <c r="A136" s="1" t="s">
        <v>201</v>
      </c>
      <c r="B136" s="1" t="s">
        <v>202</v>
      </c>
      <c r="C136" s="1">
        <f>((2*$L$48+2*$L$29)+(6/$G$2)*($P$6+$G$3*$B$9))</f>
        <v>36.178133819719733</v>
      </c>
      <c r="D136" s="1">
        <f>((2*$L$48+2*$L$29)+(6/$G$2)*($P$6+$G$3*$B$9*D23)+4*C23)/C24</f>
        <v>3584.1615688636762</v>
      </c>
      <c r="E136" s="1">
        <f>((2*$L$48+2*$L$29)+(6/$G$2)*($P$6+$G$3*$B$9*D23)/D24+4*C23)</f>
        <v>4032.1786179733085</v>
      </c>
      <c r="F136" s="1">
        <f>((2*$L$48+2*$L$29)+(6/$G$2)*($P$6+$G$3*$B$9*F23)+4*E23)/E24</f>
        <v>3360.1555054229366</v>
      </c>
      <c r="G136" s="1">
        <f>((2*$L$48+2*$L$29)+(6/$G$2)*($P$6+$G$3*$B$9*F23)/F24+4*E23)</f>
        <v>4032.1797476650158</v>
      </c>
      <c r="H136" s="1">
        <f>((2*$L$48+2*$L$29)+(6/$G$2)*($P$6+$G$3*$B$9*H23)+4*G23)/G24</f>
        <v>3291.5848555456419</v>
      </c>
      <c r="I136" s="1">
        <f>((2*$L$48+2*$L$29)+(6/$G$2)*($P$6+$G$3*$B$9*H23)/H24+4*G23)</f>
        <v>4032.1805545876637</v>
      </c>
      <c r="J136" s="1">
        <f>((2*$L$48+2*$L$29)+(6/$G$2)*($P$6+$G$3*$B$9*J23)+4*I23)/I24</f>
        <v>30.95606551788827</v>
      </c>
      <c r="K136" s="1">
        <f>((2*$L$48+2*$L$29)+(6/$G$2)*($P$6+$G$3*$B$9*J23)/J24+4*I23)</f>
        <v>38.679952097710675</v>
      </c>
      <c r="L136" s="1">
        <f t="shared" si="8"/>
        <v>30.95606551788827</v>
      </c>
      <c r="M136" s="1">
        <f t="shared" si="10"/>
        <v>30.95606551788827</v>
      </c>
      <c r="N136" s="1" t="str">
        <f t="shared" si="9"/>
        <v>4喷涂增产</v>
      </c>
      <c r="O136" s="1" t="s">
        <v>201</v>
      </c>
      <c r="P136" s="1">
        <f t="shared" si="11"/>
        <v>616958.24971567153</v>
      </c>
      <c r="Q136" s="1" t="s">
        <v>74</v>
      </c>
    </row>
    <row r="137" spans="1:17" x14ac:dyDescent="0.2">
      <c r="A137" s="1" t="s">
        <v>203</v>
      </c>
      <c r="B137" s="1" t="s">
        <v>204</v>
      </c>
      <c r="C137" s="1">
        <f>(($H$49+$M$87)+(8/$G$2)*($P$6+$G$3*$B$9))</f>
        <v>18.985106477812607</v>
      </c>
      <c r="D137" s="1">
        <f>(($H$49+$M$87)+(8/$G$2)*($P$6+$G$3*$B$9*D23)+2*C23)/C24</f>
        <v>1792.8799537899561</v>
      </c>
      <c r="E137" s="1">
        <f>(($H$49+$M$87)+(8/$G$2)*($P$6+$G$3*$B$9*D23)/D24+2*C23)</f>
        <v>2016.985752015931</v>
      </c>
      <c r="F137" s="1">
        <f>(($H$49+$M$87)+(8/$G$2)*($P$6+$G$3*$B$9*F23)+2*E23)/E24</f>
        <v>1680.8303361624037</v>
      </c>
      <c r="G137" s="1">
        <f>(($H$49+$M$87)+(8/$G$2)*($P$6+$G$3*$B$9*F23)/F24+2*E23)</f>
        <v>2016.9872582715407</v>
      </c>
      <c r="H137" s="1">
        <f>(($H$49+$M$87)+(8/$G$2)*($P$6+$G$3*$B$9*H23)+2*G23)/G24</f>
        <v>1646.5329459396473</v>
      </c>
      <c r="I137" s="1">
        <f>(($H$49+$M$87)+(8/$G$2)*($P$6+$G$3*$B$9*H23)/H24+2*G23)</f>
        <v>2016.9883341684044</v>
      </c>
      <c r="J137" s="1">
        <f>(($H$49+$M$87)+(8/$G$2)*($P$6+$G$3*$B$9*J23)+2*I23)/I24</f>
        <v>16.206968253026062</v>
      </c>
      <c r="K137" s="1">
        <f>(($H$49+$M$87)+(8/$G$2)*($P$6+$G$3*$B$9*J23)/J24+2*I23)</f>
        <v>20.23853725008302</v>
      </c>
      <c r="L137" s="1">
        <f t="shared" si="8"/>
        <v>16.206968253026062</v>
      </c>
      <c r="M137" s="1">
        <f t="shared" si="10"/>
        <v>16.206968253026062</v>
      </c>
      <c r="N137" s="1" t="str">
        <f t="shared" si="9"/>
        <v>4喷涂增产</v>
      </c>
      <c r="O137" s="1" t="s">
        <v>203</v>
      </c>
      <c r="P137" s="1">
        <f t="shared" si="11"/>
        <v>1178419.0418484982</v>
      </c>
      <c r="Q137" s="1" t="s">
        <v>74</v>
      </c>
    </row>
    <row r="138" spans="1:17" x14ac:dyDescent="0.2">
      <c r="A138" s="1" t="s">
        <v>205</v>
      </c>
      <c r="B138" s="1" t="s">
        <v>206</v>
      </c>
      <c r="C138" s="1">
        <f>((2*$M$84+$M$99)+(10/$G$2)*($P$6+$G$3*$B$9))</f>
        <v>573.76599231388298</v>
      </c>
      <c r="D138" s="1">
        <f>((2*$M$84+$M$99)+(10/$G$2)*($P$6+$G$3*$B$9*D23)+3*C23)/C24</f>
        <v>3174.0195948744386</v>
      </c>
      <c r="E138" s="1">
        <f>((2*$M$84+$M$99)+(10/$G$2)*($P$6+$G$3*$B$9*D23)/D24+3*C23)</f>
        <v>3570.7667992365309</v>
      </c>
      <c r="F138" s="1">
        <f>((2*$M$84+$M$99)+(10/$G$2)*($P$6+$G$3*$B$9*F23)+3*E23)/E24</f>
        <v>2975.6500945501857</v>
      </c>
      <c r="G138" s="1">
        <f>((2*$M$84+$M$99)+(10/$G$2)*($P$6+$G$3*$B$9*F23)/F24+3*E23)</f>
        <v>3570.768682056043</v>
      </c>
      <c r="H138" s="1">
        <f>((2*$M$84+$M$99)+(10/$G$2)*($P$6+$G$3*$B$9*H23)+3*G23)/G24</f>
        <v>2914.9291287238384</v>
      </c>
      <c r="I138" s="1">
        <f>((2*$M$84+$M$99)+(10/$G$2)*($P$6+$G$3*$B$9*H23)/H24+3*G23)</f>
        <v>3570.7700269271227</v>
      </c>
      <c r="J138" s="1">
        <f>((2*$M$84+$M$99)+(10/$G$2)*($P$6+$G$3*$B$9*J23)+3*I23)/I24</f>
        <v>460.53627692138252</v>
      </c>
      <c r="K138" s="1">
        <f>((2*$M$84+$M$99)+(10/$G$2)*($P$6+$G$3*$B$9*J23)/J24+3*I23)</f>
        <v>575.64512981897872</v>
      </c>
      <c r="L138" s="1">
        <f t="shared" si="8"/>
        <v>460.53627692138252</v>
      </c>
      <c r="M138" s="1">
        <f t="shared" si="10"/>
        <v>460.53627692138252</v>
      </c>
      <c r="N138" s="1" t="str">
        <f t="shared" si="9"/>
        <v>4喷涂增产</v>
      </c>
      <c r="O138" s="1" t="s">
        <v>205</v>
      </c>
      <c r="P138" s="1">
        <f t="shared" si="11"/>
        <v>41470.34871535276</v>
      </c>
      <c r="Q138" s="1" t="s">
        <v>74</v>
      </c>
    </row>
    <row r="139" spans="1:17" x14ac:dyDescent="0.2">
      <c r="A139" s="1" t="s">
        <v>207</v>
      </c>
      <c r="B139" s="1" t="s">
        <v>208</v>
      </c>
      <c r="C139" s="1">
        <f>(($M$118+$M$117)+(24/$G$2)*($P$6+$G$3*$B$9))/2</f>
        <v>76.2450788771215</v>
      </c>
      <c r="D139" s="1">
        <f>(($M$118+$M$117)+(24/$G$2)*($P$6+$G$3*$B$9*D23)+2*C23)/2/C24</f>
        <v>955.77985882751409</v>
      </c>
      <c r="E139" s="1">
        <f>(($M$118+$M$117)+(24/$G$2)*($P$6+$G$3*$B$9*D23)/D24+2*C23)/2</f>
        <v>1075.2460471842992</v>
      </c>
      <c r="F139" s="1">
        <f>(($M$118+$M$117)+(24/$G$2)*($P$6+$G$3*$B$9*F23)+2*E23)/2/E24</f>
        <v>896.05168687727428</v>
      </c>
      <c r="G139" s="1">
        <f>(($M$118+$M$117)+(24/$G$2)*($P$6+$G$3*$B$9*F23)/F24+2*E23)/2</f>
        <v>1075.2483065677134</v>
      </c>
      <c r="H139" s="1">
        <f>(($M$118+$M$117)+(24/$G$2)*($P$6+$G$3*$B$9*H23)+2*G23)/2/G24</f>
        <v>877.77282230571814</v>
      </c>
      <c r="I139" s="1">
        <f>(($M$118+$M$117)+(24/$G$2)*($P$6+$G$3*$B$9*H23)/H24+2*G23)/2</f>
        <v>1075.2499204130095</v>
      </c>
      <c r="J139" s="1">
        <f>(($M$118+$M$117)+(24/$G$2)*($P$6+$G$3*$B$9*J23)+2*I23)/2/I24</f>
        <v>61.524870780636761</v>
      </c>
      <c r="K139" s="1">
        <f>(($M$118+$M$117)+(24/$G$2)*($P$6+$G$3*$B$9*J23)/J24+2*I23)/2</f>
        <v>76.875828876496627</v>
      </c>
      <c r="L139" s="1">
        <f t="shared" si="8"/>
        <v>61.524870780636761</v>
      </c>
      <c r="M139" s="1">
        <f t="shared" si="10"/>
        <v>61.524870780636761</v>
      </c>
      <c r="N139" s="1" t="str">
        <f t="shared" si="9"/>
        <v>4喷涂增产</v>
      </c>
      <c r="O139" s="1" t="s">
        <v>207</v>
      </c>
      <c r="P139" s="1">
        <f t="shared" si="11"/>
        <v>310420.8063775528</v>
      </c>
      <c r="Q139" s="1" t="s">
        <v>74</v>
      </c>
    </row>
    <row r="140" spans="1:17" x14ac:dyDescent="0.2">
      <c r="A140" s="1" t="s">
        <v>209</v>
      </c>
      <c r="B140" s="1" t="s">
        <v>210</v>
      </c>
      <c r="C140" s="1">
        <f>($M$135+$M$136+$M$137+$M$138+$M$139+$M$97)+(15/$G$2)*($Q$6+$G$3*$B$9)</f>
        <v>573.19759558427643</v>
      </c>
      <c r="D140" s="1">
        <f>(($M$135+$M$136+$M$137+$M$138+$M$139+$M$97)+(15/$G$2)*($Q$6+$G$3*$B$9*D23)+6*C23)/C24</f>
        <v>5837.5170430791704</v>
      </c>
      <c r="E140" s="1">
        <f>(($M$135+$M$136+$M$137+$M$138+$M$139+$M$97)+(15/$G$2)*($Q$6+$G$3*$B$9*D23)/D24+6*C23)</f>
        <v>6567.1988059682481</v>
      </c>
      <c r="F140" s="1">
        <f>(($M$135+$M$136+$M$137+$M$138+$M$139+$M$97)+(15/$G$2)*($Q$6+$G$3*$B$9*F23)+6*E23)/E24</f>
        <v>5472.6823144198215</v>
      </c>
      <c r="G140" s="1">
        <f>(($M$135+$M$136+$M$137+$M$138+$M$139+$M$97)+(15/$G$2)*($Q$6+$G$3*$B$9*F23)/F24+6*E23)</f>
        <v>6567.2016301975164</v>
      </c>
      <c r="H140" s="1">
        <f>(($M$135+$M$136+$M$137+$M$138+$M$139+$M$97)+(15/$G$2)*($Q$6+$G$3*$B$9*H23)+6*G23)/G24</f>
        <v>5361.0048009334741</v>
      </c>
      <c r="I140" s="1">
        <f>(($M$135+$M$136+$M$137+$M$138+$M$139+$M$97)+(15/$G$2)*($Q$6+$G$3*$B$9*H23)/H24+6*G23)</f>
        <v>6567.2036475041359</v>
      </c>
      <c r="J140" s="1">
        <f>(($M$135+$M$136+$M$137+$M$138+$M$139+$M$97)+(15/$G$2)*($Q$6+$G$3*$B$9*J23)+6*I23)/I24</f>
        <v>461.59293876825348</v>
      </c>
      <c r="K140" s="1">
        <f>(($M$135+$M$136+$M$137+$M$138+$M$139+$M$97)+(15/$G$2)*($Q$6+$G$3*$B$9*J23)/J24+6*I23)</f>
        <v>576.95334896119277</v>
      </c>
      <c r="L140" s="1">
        <f t="shared" si="8"/>
        <v>461.59293876825348</v>
      </c>
      <c r="M140" s="1">
        <f t="shared" si="10"/>
        <v>461.59293876825348</v>
      </c>
      <c r="N140" s="1" t="str">
        <f t="shared" si="9"/>
        <v>4喷涂增产</v>
      </c>
      <c r="O140" s="1" t="s">
        <v>209</v>
      </c>
      <c r="P140" s="1">
        <f t="shared" si="11"/>
        <v>41375.416294200739</v>
      </c>
      <c r="Q140" s="1" t="s">
        <v>74</v>
      </c>
    </row>
  </sheetData>
  <mergeCells count="12">
    <mergeCell ref="A21:J21"/>
    <mergeCell ref="A27:O27"/>
    <mergeCell ref="A115:J115"/>
    <mergeCell ref="A134:J134"/>
    <mergeCell ref="A22:B22"/>
    <mergeCell ref="C22:D22"/>
    <mergeCell ref="E22:F22"/>
    <mergeCell ref="G22:H22"/>
    <mergeCell ref="I22:J22"/>
    <mergeCell ref="A51:I51"/>
    <mergeCell ref="A54:I54"/>
    <mergeCell ref="A74:I74"/>
  </mergeCells>
  <phoneticPr fontId="1" type="noConversion"/>
  <conditionalFormatting sqref="A52:W162">
    <cfRule type="cellIs" dxfId="9" priority="1" operator="equal">
      <formula>"4喷涂加速"</formula>
    </cfRule>
    <cfRule type="cellIs" dxfId="8" priority="2" operator="equal">
      <formula>"3喷涂加速"</formula>
    </cfRule>
    <cfRule type="cellIs" dxfId="7" priority="3" operator="equal">
      <formula>"2喷涂加速"</formula>
    </cfRule>
    <cfRule type="cellIs" dxfId="6" priority="4" operator="equal">
      <formula>"4喷涂增产"</formula>
    </cfRule>
    <cfRule type="cellIs" dxfId="5" priority="5" operator="equal">
      <formula>"3喷涂增产"</formula>
    </cfRule>
    <cfRule type="cellIs" dxfId="4" priority="6" operator="equal">
      <formula>"2喷涂增产"</formula>
    </cfRule>
    <cfRule type="cellIs" dxfId="3" priority="7" operator="equal">
      <formula>"1喷涂加速"</formula>
    </cfRule>
    <cfRule type="cellIs" dxfId="2" priority="8" operator="equal">
      <formula>"1喷涂增产"</formula>
    </cfRule>
    <cfRule type="cellIs" dxfId="1" priority="9" operator="equal">
      <formula>"不使用增产剂"</formula>
    </cfRule>
  </conditionalFormatting>
  <pageMargins left="0.7" right="0.7" top="0.75" bottom="0.75" header="0.3" footer="0.3"/>
  <ignoredErrors>
    <ignoredError sqref="E55:E56 F55 G56:G58 H55 I56:I58 J55 E5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8AF4-B766-4AF3-903A-17D7BD99B79D}">
  <dimension ref="A1:I74"/>
  <sheetViews>
    <sheetView workbookViewId="0">
      <selection activeCell="E14" sqref="E14"/>
    </sheetView>
  </sheetViews>
  <sheetFormatPr defaultRowHeight="14.25" x14ac:dyDescent="0.2"/>
  <cols>
    <col min="1" max="1" width="14.625" customWidth="1"/>
    <col min="2" max="2" width="15" customWidth="1"/>
    <col min="3" max="3" width="20.5" customWidth="1"/>
    <col min="4" max="4" width="14.375" customWidth="1"/>
    <col min="5" max="5" width="17.125" customWidth="1"/>
    <col min="6" max="6" width="15.25" customWidth="1"/>
    <col min="7" max="7" width="13.625" customWidth="1"/>
    <col min="8" max="8" width="16.125" customWidth="1"/>
  </cols>
  <sheetData>
    <row r="1" spans="1:9" x14ac:dyDescent="0.2">
      <c r="A1" t="s">
        <v>264</v>
      </c>
      <c r="B1" t="s">
        <v>263</v>
      </c>
      <c r="C1" t="s">
        <v>265</v>
      </c>
      <c r="D1" t="s">
        <v>266</v>
      </c>
      <c r="E1" t="s">
        <v>261</v>
      </c>
      <c r="F1" t="s">
        <v>270</v>
      </c>
      <c r="G1" t="s">
        <v>271</v>
      </c>
      <c r="H1" t="s">
        <v>272</v>
      </c>
    </row>
    <row r="2" spans="1:9" x14ac:dyDescent="0.2">
      <c r="A2" t="s">
        <v>267</v>
      </c>
      <c r="B2">
        <f>省矿!M124</f>
        <v>14.969196415542134</v>
      </c>
      <c r="C2">
        <f>B2/12</f>
        <v>1.2474330346285112</v>
      </c>
      <c r="D2">
        <f>(B2+D3)/14</f>
        <v>1.1410122564175722</v>
      </c>
      <c r="E2">
        <f>(B2+E4)/15</f>
        <v>1.0395929663638301</v>
      </c>
      <c r="F2">
        <f>MIN(C2:E2)</f>
        <v>1.0395929663638301</v>
      </c>
      <c r="G2">
        <f>F2</f>
        <v>1.0395929663638301</v>
      </c>
      <c r="H2">
        <f>MIN(G2:G4)</f>
        <v>0.15617451997882942</v>
      </c>
    </row>
    <row r="3" spans="1:9" x14ac:dyDescent="0.2">
      <c r="A3" t="s">
        <v>268</v>
      </c>
      <c r="B3">
        <f>省矿!M125</f>
        <v>27.134329706204689</v>
      </c>
      <c r="C3">
        <f>(B3+C2)/27</f>
        <v>1.051176397808637</v>
      </c>
      <c r="D3">
        <f>B3/27</f>
        <v>1.0049751743038773</v>
      </c>
      <c r="E3">
        <f>(B3+E4)/30</f>
        <v>0.92530092620400028</v>
      </c>
      <c r="F3">
        <f t="shared" ref="F3:F4" si="0">MIN(C3:E3)</f>
        <v>0.92530092620400028</v>
      </c>
      <c r="G3">
        <f>F3/2</f>
        <v>0.46265046310200014</v>
      </c>
      <c r="H3">
        <f>MIN(G3:G4)</f>
        <v>0.15617451997882942</v>
      </c>
    </row>
    <row r="4" spans="1:9" x14ac:dyDescent="0.2">
      <c r="A4" t="s">
        <v>269</v>
      </c>
      <c r="B4">
        <f>省矿!M126</f>
        <v>46.227657913733509</v>
      </c>
      <c r="C4">
        <f>(B4+C2)/67</f>
        <v>0.70858344699047793</v>
      </c>
      <c r="D4">
        <f>(B4+D3)/72</f>
        <v>0.65600879288940817</v>
      </c>
      <c r="E4">
        <f>B4/74</f>
        <v>0.62469807991531767</v>
      </c>
      <c r="F4">
        <f t="shared" si="0"/>
        <v>0.62469807991531767</v>
      </c>
      <c r="G4">
        <f>F4/4</f>
        <v>0.15617451997882942</v>
      </c>
      <c r="H4">
        <f>MIN(G4)</f>
        <v>0.15617451997882942</v>
      </c>
    </row>
    <row r="6" spans="1:9" x14ac:dyDescent="0.2">
      <c r="A6" t="s">
        <v>274</v>
      </c>
      <c r="B6">
        <v>1</v>
      </c>
      <c r="C6">
        <v>2</v>
      </c>
      <c r="D6">
        <v>3</v>
      </c>
      <c r="E6">
        <v>4</v>
      </c>
    </row>
    <row r="7" spans="1:9" x14ac:dyDescent="0.2">
      <c r="A7" s="9" t="s">
        <v>273</v>
      </c>
      <c r="B7">
        <f>H2</f>
        <v>0.15617451997882942</v>
      </c>
      <c r="C7">
        <f>2*H3</f>
        <v>0.31234903995765884</v>
      </c>
      <c r="D7">
        <f>MIN(3*(H3+H4)/2,3*(H2+2*H4)/3)</f>
        <v>0.46852355993648825</v>
      </c>
      <c r="E7">
        <f>4*H4</f>
        <v>0.62469807991531767</v>
      </c>
    </row>
    <row r="8" spans="1:9" x14ac:dyDescent="0.2">
      <c r="A8" t="s">
        <v>275</v>
      </c>
      <c r="B8">
        <v>1</v>
      </c>
      <c r="C8">
        <v>2</v>
      </c>
      <c r="D8">
        <v>3</v>
      </c>
      <c r="E8">
        <v>4</v>
      </c>
      <c r="F8" t="s">
        <v>270</v>
      </c>
      <c r="G8" t="s">
        <v>271</v>
      </c>
      <c r="H8" t="s">
        <v>272</v>
      </c>
      <c r="I8" t="s">
        <v>276</v>
      </c>
    </row>
    <row r="9" spans="1:9" x14ac:dyDescent="0.2">
      <c r="A9" t="s">
        <v>217</v>
      </c>
      <c r="B9">
        <f>($B$2+B7)/13</f>
        <v>1.1634900719631511</v>
      </c>
      <c r="C9">
        <f>($B$2+C7)/14</f>
        <v>1.0915389611071282</v>
      </c>
      <c r="D9">
        <f>($B$2+D7)/14</f>
        <v>1.1026942839627587</v>
      </c>
      <c r="E9">
        <f>($B$2+E7)/15</f>
        <v>1.0395929663638301</v>
      </c>
      <c r="F9">
        <f>MIN(B9:E9)</f>
        <v>1.0395929663638301</v>
      </c>
      <c r="G9">
        <f>F9</f>
        <v>1.0395929663638301</v>
      </c>
      <c r="H9">
        <f>MIN(G9:G11)</f>
        <v>0.15617451997882942</v>
      </c>
      <c r="I9" t="str">
        <f>IF(H2=H9,"否","是")</f>
        <v>否</v>
      </c>
    </row>
    <row r="10" spans="1:9" x14ac:dyDescent="0.2">
      <c r="A10" t="s">
        <v>218</v>
      </c>
      <c r="B10">
        <f>($B$3+B7)/27</f>
        <v>1.0107594157845747</v>
      </c>
      <c r="C10">
        <f>($B$3+C7)/28</f>
        <v>0.9802385266486553</v>
      </c>
      <c r="D10">
        <f>($B$3+D7)/29</f>
        <v>0.95182252641866127</v>
      </c>
      <c r="E10">
        <f>($B$3+E7)/30</f>
        <v>0.92530092620400028</v>
      </c>
      <c r="F10">
        <f>MIN(B10:E10)</f>
        <v>0.92530092620400028</v>
      </c>
      <c r="G10">
        <f>F10/2</f>
        <v>0.46265046310200014</v>
      </c>
      <c r="H10">
        <f>MIN(G10:G11)</f>
        <v>0.15617451997882942</v>
      </c>
      <c r="I10" t="str">
        <f t="shared" ref="I10:I11" si="1">IF(H3=H10,"否","是")</f>
        <v>否</v>
      </c>
    </row>
    <row r="11" spans="1:9" x14ac:dyDescent="0.2">
      <c r="A11" t="s">
        <v>219</v>
      </c>
      <c r="B11">
        <f>($B$4+B7)/67</f>
        <v>0.69229600647331846</v>
      </c>
      <c r="C11">
        <f>($B$4+C7)/72</f>
        <v>0.64638898546793289</v>
      </c>
      <c r="D11">
        <f>($B$4+D7)/73</f>
        <v>0.63967371881739721</v>
      </c>
      <c r="E11">
        <f>($B$4+E7)/75</f>
        <v>0.62469807991531767</v>
      </c>
      <c r="F11">
        <f>MIN(B11:E11)</f>
        <v>0.62469807991531767</v>
      </c>
      <c r="G11">
        <f>F11/4</f>
        <v>0.15617451997882942</v>
      </c>
      <c r="H11">
        <f>MIN(G11)</f>
        <v>0.15617451997882942</v>
      </c>
      <c r="I11" t="str">
        <f t="shared" si="1"/>
        <v>否</v>
      </c>
    </row>
    <row r="13" spans="1:9" x14ac:dyDescent="0.2">
      <c r="A13" t="s">
        <v>274</v>
      </c>
      <c r="B13">
        <v>1</v>
      </c>
      <c r="C13">
        <v>2</v>
      </c>
      <c r="D13">
        <v>3</v>
      </c>
      <c r="E13">
        <v>4</v>
      </c>
    </row>
    <row r="14" spans="1:9" x14ac:dyDescent="0.2">
      <c r="A14" s="9" t="s">
        <v>273</v>
      </c>
      <c r="B14">
        <f>H9</f>
        <v>0.15617451997882942</v>
      </c>
      <c r="C14">
        <f>2*H10</f>
        <v>0.31234903995765884</v>
      </c>
      <c r="D14">
        <f>MIN(3*(H10+H11)/2,3*(H9+2*H11)/3)</f>
        <v>0.46852355993648825</v>
      </c>
      <c r="E14">
        <f>4*H11</f>
        <v>0.62469807991531767</v>
      </c>
    </row>
    <row r="15" spans="1:9" x14ac:dyDescent="0.2">
      <c r="A15" t="s">
        <v>275</v>
      </c>
      <c r="B15">
        <v>1</v>
      </c>
      <c r="C15">
        <v>2</v>
      </c>
      <c r="D15">
        <v>3</v>
      </c>
      <c r="E15">
        <v>4</v>
      </c>
      <c r="F15" t="s">
        <v>270</v>
      </c>
      <c r="G15" t="s">
        <v>271</v>
      </c>
      <c r="H15" t="s">
        <v>272</v>
      </c>
      <c r="I15" t="s">
        <v>276</v>
      </c>
    </row>
    <row r="16" spans="1:9" x14ac:dyDescent="0.2">
      <c r="A16" t="s">
        <v>217</v>
      </c>
      <c r="B16">
        <f>($B$2+B14)/13</f>
        <v>1.1634900719631511</v>
      </c>
      <c r="C16">
        <f>($B$2+C14)/14</f>
        <v>1.0915389611071282</v>
      </c>
      <c r="D16">
        <f>($B$2+D14)/14</f>
        <v>1.1026942839627587</v>
      </c>
      <c r="E16">
        <f>($B$2+E14)/15</f>
        <v>1.0395929663638301</v>
      </c>
      <c r="F16">
        <f>MIN(B16:E16)</f>
        <v>1.0395929663638301</v>
      </c>
      <c r="G16">
        <f>F16</f>
        <v>1.0395929663638301</v>
      </c>
      <c r="H16">
        <f>MIN(G16:G18)</f>
        <v>0.15617451997882942</v>
      </c>
      <c r="I16" t="str">
        <f>IF(H9=H16,"否","是")</f>
        <v>否</v>
      </c>
    </row>
    <row r="17" spans="1:9" x14ac:dyDescent="0.2">
      <c r="A17" t="s">
        <v>218</v>
      </c>
      <c r="B17">
        <f>($B$3+B14)/27</f>
        <v>1.0107594157845747</v>
      </c>
      <c r="C17">
        <f>($B$3+C14)/28</f>
        <v>0.9802385266486553</v>
      </c>
      <c r="D17">
        <f>($B$3+D14)/29</f>
        <v>0.95182252641866127</v>
      </c>
      <c r="E17">
        <f>($B$3+E14)/30</f>
        <v>0.92530092620400028</v>
      </c>
      <c r="F17">
        <f>MIN(B17:E17)</f>
        <v>0.92530092620400028</v>
      </c>
      <c r="G17">
        <f>F17/2</f>
        <v>0.46265046310200014</v>
      </c>
      <c r="H17">
        <f>MIN(G17:G18)</f>
        <v>0.15617451997882942</v>
      </c>
      <c r="I17" t="str">
        <f t="shared" ref="I17:I18" si="2">IF(H10=H17,"否","是")</f>
        <v>否</v>
      </c>
    </row>
    <row r="18" spans="1:9" x14ac:dyDescent="0.2">
      <c r="A18" t="s">
        <v>219</v>
      </c>
      <c r="B18">
        <f>($B$4+B14)/67</f>
        <v>0.69229600647331846</v>
      </c>
      <c r="C18">
        <f>($B$4+C14)/72</f>
        <v>0.64638898546793289</v>
      </c>
      <c r="D18">
        <f>($B$4+D14)/73</f>
        <v>0.63967371881739721</v>
      </c>
      <c r="E18">
        <f>($B$4+E14)/75</f>
        <v>0.62469807991531767</v>
      </c>
      <c r="F18">
        <f>MIN(B18:E18)</f>
        <v>0.62469807991531767</v>
      </c>
      <c r="G18">
        <f>F18/4</f>
        <v>0.15617451997882942</v>
      </c>
      <c r="H18">
        <f>MIN(G18)</f>
        <v>0.15617451997882942</v>
      </c>
      <c r="I18" t="str">
        <f t="shared" si="2"/>
        <v>否</v>
      </c>
    </row>
    <row r="20" spans="1:9" x14ac:dyDescent="0.2">
      <c r="A20" t="s">
        <v>274</v>
      </c>
      <c r="B20">
        <v>1</v>
      </c>
      <c r="C20">
        <v>2</v>
      </c>
      <c r="D20">
        <v>3</v>
      </c>
      <c r="E20">
        <v>4</v>
      </c>
    </row>
    <row r="21" spans="1:9" x14ac:dyDescent="0.2">
      <c r="A21" s="9" t="s">
        <v>273</v>
      </c>
      <c r="B21">
        <f>H16</f>
        <v>0.15617451997882942</v>
      </c>
      <c r="C21">
        <f>2*H17</f>
        <v>0.31234903995765884</v>
      </c>
      <c r="D21">
        <f>MIN(3*(H17+H18)/2,3*(H16+2*H18)/3)</f>
        <v>0.46852355993648825</v>
      </c>
      <c r="E21">
        <f>4*H18</f>
        <v>0.62469807991531767</v>
      </c>
    </row>
    <row r="22" spans="1:9" x14ac:dyDescent="0.2">
      <c r="A22" t="s">
        <v>275</v>
      </c>
      <c r="B22">
        <v>1</v>
      </c>
      <c r="C22">
        <v>2</v>
      </c>
      <c r="D22">
        <v>3</v>
      </c>
      <c r="E22">
        <v>4</v>
      </c>
      <c r="F22" t="s">
        <v>270</v>
      </c>
      <c r="G22" t="s">
        <v>271</v>
      </c>
      <c r="H22" t="s">
        <v>272</v>
      </c>
      <c r="I22" t="s">
        <v>276</v>
      </c>
    </row>
    <row r="23" spans="1:9" x14ac:dyDescent="0.2">
      <c r="A23" t="s">
        <v>217</v>
      </c>
      <c r="B23">
        <f>($B$2+B21)/13</f>
        <v>1.1634900719631511</v>
      </c>
      <c r="C23">
        <f>($B$2+C21)/14</f>
        <v>1.0915389611071282</v>
      </c>
      <c r="D23">
        <f>($B$2+D21)/14</f>
        <v>1.1026942839627587</v>
      </c>
      <c r="E23">
        <f>($B$2+E21)/15</f>
        <v>1.0395929663638301</v>
      </c>
      <c r="F23">
        <f>MIN(B23:E23)</f>
        <v>1.0395929663638301</v>
      </c>
      <c r="G23">
        <f>F23</f>
        <v>1.0395929663638301</v>
      </c>
      <c r="H23">
        <f>MIN(G23:G25)</f>
        <v>0.15617451997882942</v>
      </c>
      <c r="I23" t="str">
        <f>IF(H16=H23,"否","是")</f>
        <v>否</v>
      </c>
    </row>
    <row r="24" spans="1:9" x14ac:dyDescent="0.2">
      <c r="A24" t="s">
        <v>218</v>
      </c>
      <c r="B24">
        <f>($B$3+B21)/27</f>
        <v>1.0107594157845747</v>
      </c>
      <c r="C24">
        <f>($B$3+C21)/28</f>
        <v>0.9802385266486553</v>
      </c>
      <c r="D24">
        <f>($B$3+D21)/29</f>
        <v>0.95182252641866127</v>
      </c>
      <c r="E24">
        <f>($B$3+E21)/30</f>
        <v>0.92530092620400028</v>
      </c>
      <c r="F24">
        <f>MIN(B24:E24)</f>
        <v>0.92530092620400028</v>
      </c>
      <c r="G24">
        <f>F24/2</f>
        <v>0.46265046310200014</v>
      </c>
      <c r="H24">
        <f>MIN(G24:G25)</f>
        <v>0.15617451997882942</v>
      </c>
      <c r="I24" t="str">
        <f t="shared" ref="I24:I25" si="3">IF(H17=H24,"否","是")</f>
        <v>否</v>
      </c>
    </row>
    <row r="25" spans="1:9" x14ac:dyDescent="0.2">
      <c r="A25" t="s">
        <v>219</v>
      </c>
      <c r="B25">
        <f>($B$4+B21)/67</f>
        <v>0.69229600647331846</v>
      </c>
      <c r="C25">
        <f>($B$4+C21)/72</f>
        <v>0.64638898546793289</v>
      </c>
      <c r="D25">
        <f>($B$4+D21)/73</f>
        <v>0.63967371881739721</v>
      </c>
      <c r="E25">
        <f>($B$4+E21)/75</f>
        <v>0.62469807991531767</v>
      </c>
      <c r="F25">
        <f>MIN(B25:E25)</f>
        <v>0.62469807991531767</v>
      </c>
      <c r="G25">
        <f>F25/4</f>
        <v>0.15617451997882942</v>
      </c>
      <c r="H25">
        <f>MIN(G25)</f>
        <v>0.15617451997882942</v>
      </c>
      <c r="I25" t="str">
        <f t="shared" si="3"/>
        <v>否</v>
      </c>
    </row>
    <row r="27" spans="1:9" x14ac:dyDescent="0.2">
      <c r="A27" t="s">
        <v>274</v>
      </c>
      <c r="B27">
        <v>1</v>
      </c>
      <c r="C27">
        <v>2</v>
      </c>
      <c r="D27">
        <v>3</v>
      </c>
      <c r="E27">
        <v>4</v>
      </c>
    </row>
    <row r="28" spans="1:9" x14ac:dyDescent="0.2">
      <c r="A28" s="9" t="s">
        <v>273</v>
      </c>
      <c r="B28">
        <f>H23</f>
        <v>0.15617451997882942</v>
      </c>
      <c r="C28">
        <f>2*H24</f>
        <v>0.31234903995765884</v>
      </c>
      <c r="D28">
        <f>MIN(3*(H24+H25)/2,3*(H23+2*H25)/3)</f>
        <v>0.46852355993648825</v>
      </c>
      <c r="E28">
        <f>4*H25</f>
        <v>0.62469807991531767</v>
      </c>
    </row>
    <row r="29" spans="1:9" x14ac:dyDescent="0.2">
      <c r="A29" t="s">
        <v>275</v>
      </c>
      <c r="B29">
        <v>1</v>
      </c>
      <c r="C29">
        <v>2</v>
      </c>
      <c r="D29">
        <v>3</v>
      </c>
      <c r="E29">
        <v>4</v>
      </c>
      <c r="F29" t="s">
        <v>270</v>
      </c>
      <c r="G29" t="s">
        <v>271</v>
      </c>
      <c r="H29" t="s">
        <v>272</v>
      </c>
      <c r="I29" t="s">
        <v>276</v>
      </c>
    </row>
    <row r="30" spans="1:9" x14ac:dyDescent="0.2">
      <c r="A30" t="s">
        <v>217</v>
      </c>
      <c r="B30">
        <f>($B$2+B28)/13</f>
        <v>1.1634900719631511</v>
      </c>
      <c r="C30">
        <f>($B$2+C28)/14</f>
        <v>1.0915389611071282</v>
      </c>
      <c r="D30">
        <f>($B$2+D28)/14</f>
        <v>1.1026942839627587</v>
      </c>
      <c r="E30">
        <f>($B$2+E28)/15</f>
        <v>1.0395929663638301</v>
      </c>
      <c r="F30">
        <f>MIN(B30:E30)</f>
        <v>1.0395929663638301</v>
      </c>
      <c r="G30">
        <f>F30</f>
        <v>1.0395929663638301</v>
      </c>
      <c r="H30">
        <f>MIN(G30:G32)</f>
        <v>0.15617451997882942</v>
      </c>
      <c r="I30" t="str">
        <f>IF(H23=H30,"否","是")</f>
        <v>否</v>
      </c>
    </row>
    <row r="31" spans="1:9" x14ac:dyDescent="0.2">
      <c r="A31" t="s">
        <v>218</v>
      </c>
      <c r="B31">
        <f>($B$3+B28)/27</f>
        <v>1.0107594157845747</v>
      </c>
      <c r="C31">
        <f>($B$3+C28)/28</f>
        <v>0.9802385266486553</v>
      </c>
      <c r="D31">
        <f>($B$3+D28)/29</f>
        <v>0.95182252641866127</v>
      </c>
      <c r="E31">
        <f>($B$3+E28)/30</f>
        <v>0.92530092620400028</v>
      </c>
      <c r="F31">
        <f>MIN(B31:E31)</f>
        <v>0.92530092620400028</v>
      </c>
      <c r="G31">
        <f>F31/2</f>
        <v>0.46265046310200014</v>
      </c>
      <c r="H31">
        <f>MIN(G31:G32)</f>
        <v>0.15617451997882942</v>
      </c>
      <c r="I31" t="str">
        <f t="shared" ref="I31:I32" si="4">IF(H24=H31,"否","是")</f>
        <v>否</v>
      </c>
    </row>
    <row r="32" spans="1:9" x14ac:dyDescent="0.2">
      <c r="A32" t="s">
        <v>219</v>
      </c>
      <c r="B32">
        <f>($B$4+B28)/67</f>
        <v>0.69229600647331846</v>
      </c>
      <c r="C32">
        <f>($B$4+C28)/72</f>
        <v>0.64638898546793289</v>
      </c>
      <c r="D32">
        <f>($B$4+D28)/73</f>
        <v>0.63967371881739721</v>
      </c>
      <c r="E32">
        <f>($B$4+E28)/75</f>
        <v>0.62469807991531767</v>
      </c>
      <c r="F32">
        <f>MIN(B32:E32)</f>
        <v>0.62469807991531767</v>
      </c>
      <c r="G32">
        <f>F32/4</f>
        <v>0.15617451997882942</v>
      </c>
      <c r="H32">
        <f>MIN(G32)</f>
        <v>0.15617451997882942</v>
      </c>
      <c r="I32" t="str">
        <f t="shared" si="4"/>
        <v>否</v>
      </c>
    </row>
    <row r="34" spans="1:9" x14ac:dyDescent="0.2">
      <c r="A34" t="s">
        <v>274</v>
      </c>
      <c r="B34">
        <v>1</v>
      </c>
      <c r="C34">
        <v>2</v>
      </c>
      <c r="D34">
        <v>3</v>
      </c>
      <c r="E34">
        <v>4</v>
      </c>
    </row>
    <row r="35" spans="1:9" x14ac:dyDescent="0.2">
      <c r="A35" s="9" t="s">
        <v>273</v>
      </c>
      <c r="B35">
        <f>H30</f>
        <v>0.15617451997882942</v>
      </c>
      <c r="C35">
        <f>2*H31</f>
        <v>0.31234903995765884</v>
      </c>
      <c r="D35">
        <f>MIN(3*(H31+H32)/2,3*(H30+2*H32)/3)</f>
        <v>0.46852355993648825</v>
      </c>
      <c r="E35">
        <f>4*H32</f>
        <v>0.62469807991531767</v>
      </c>
    </row>
    <row r="36" spans="1:9" x14ac:dyDescent="0.2">
      <c r="A36" t="s">
        <v>275</v>
      </c>
      <c r="B36">
        <v>1</v>
      </c>
      <c r="C36">
        <v>2</v>
      </c>
      <c r="D36">
        <v>3</v>
      </c>
      <c r="E36">
        <v>4</v>
      </c>
      <c r="F36" t="s">
        <v>270</v>
      </c>
      <c r="G36" t="s">
        <v>271</v>
      </c>
      <c r="H36" t="s">
        <v>272</v>
      </c>
      <c r="I36" t="s">
        <v>276</v>
      </c>
    </row>
    <row r="37" spans="1:9" x14ac:dyDescent="0.2">
      <c r="A37" t="s">
        <v>217</v>
      </c>
      <c r="B37">
        <f>($B$2+B35)/13</f>
        <v>1.1634900719631511</v>
      </c>
      <c r="C37">
        <f>($B$2+C35)/14</f>
        <v>1.0915389611071282</v>
      </c>
      <c r="D37">
        <f>($B$2+D35)/14</f>
        <v>1.1026942839627587</v>
      </c>
      <c r="E37">
        <f>($B$2+E35)/15</f>
        <v>1.0395929663638301</v>
      </c>
      <c r="F37">
        <f>MIN(B37:E37)</f>
        <v>1.0395929663638301</v>
      </c>
      <c r="G37">
        <f>F37</f>
        <v>1.0395929663638301</v>
      </c>
      <c r="H37">
        <f>MIN(G37:G39)</f>
        <v>0.15617451997882942</v>
      </c>
      <c r="I37" t="str">
        <f>IF(H30=H37,"否","是")</f>
        <v>否</v>
      </c>
    </row>
    <row r="38" spans="1:9" x14ac:dyDescent="0.2">
      <c r="A38" t="s">
        <v>218</v>
      </c>
      <c r="B38">
        <f>($B$3+B35)/27</f>
        <v>1.0107594157845747</v>
      </c>
      <c r="C38">
        <f>($B$3+C35)/28</f>
        <v>0.9802385266486553</v>
      </c>
      <c r="D38">
        <f>($B$3+D35)/29</f>
        <v>0.95182252641866127</v>
      </c>
      <c r="E38">
        <f>($B$3+E35)/30</f>
        <v>0.92530092620400028</v>
      </c>
      <c r="F38">
        <f>MIN(B38:E38)</f>
        <v>0.92530092620400028</v>
      </c>
      <c r="G38">
        <f>F38/2</f>
        <v>0.46265046310200014</v>
      </c>
      <c r="H38">
        <f>MIN(G38:G39)</f>
        <v>0.15617451997882942</v>
      </c>
      <c r="I38" t="str">
        <f t="shared" ref="I38:I39" si="5">IF(H31=H38,"否","是")</f>
        <v>否</v>
      </c>
    </row>
    <row r="39" spans="1:9" x14ac:dyDescent="0.2">
      <c r="A39" t="s">
        <v>219</v>
      </c>
      <c r="B39">
        <f>($B$4+B35)/67</f>
        <v>0.69229600647331846</v>
      </c>
      <c r="C39">
        <f>($B$4+C35)/72</f>
        <v>0.64638898546793289</v>
      </c>
      <c r="D39">
        <f>($B$4+D35)/73</f>
        <v>0.63967371881739721</v>
      </c>
      <c r="E39">
        <f>($B$4+E35)/75</f>
        <v>0.62469807991531767</v>
      </c>
      <c r="F39">
        <f>MIN(B39:E39)</f>
        <v>0.62469807991531767</v>
      </c>
      <c r="G39">
        <f>F39/4</f>
        <v>0.15617451997882942</v>
      </c>
      <c r="H39">
        <f>MIN(G39)</f>
        <v>0.15617451997882942</v>
      </c>
      <c r="I39" t="str">
        <f t="shared" si="5"/>
        <v>否</v>
      </c>
    </row>
    <row r="41" spans="1:9" x14ac:dyDescent="0.2">
      <c r="A41" t="s">
        <v>274</v>
      </c>
      <c r="B41">
        <v>1</v>
      </c>
      <c r="C41">
        <v>2</v>
      </c>
      <c r="D41">
        <v>3</v>
      </c>
      <c r="E41">
        <v>4</v>
      </c>
    </row>
    <row r="42" spans="1:9" x14ac:dyDescent="0.2">
      <c r="A42" s="9" t="s">
        <v>273</v>
      </c>
      <c r="B42">
        <f>H37</f>
        <v>0.15617451997882942</v>
      </c>
      <c r="C42">
        <f>2*H38</f>
        <v>0.31234903995765884</v>
      </c>
      <c r="D42">
        <f>MIN(3*(H38+H39)/2,3*(H37+2*H39)/3)</f>
        <v>0.46852355993648825</v>
      </c>
      <c r="E42">
        <f>4*H39</f>
        <v>0.62469807991531767</v>
      </c>
    </row>
    <row r="43" spans="1:9" x14ac:dyDescent="0.2">
      <c r="A43" t="s">
        <v>275</v>
      </c>
      <c r="B43">
        <v>1</v>
      </c>
      <c r="C43">
        <v>2</v>
      </c>
      <c r="D43">
        <v>3</v>
      </c>
      <c r="E43">
        <v>4</v>
      </c>
      <c r="F43" t="s">
        <v>270</v>
      </c>
      <c r="G43" t="s">
        <v>271</v>
      </c>
      <c r="H43" t="s">
        <v>272</v>
      </c>
      <c r="I43" t="s">
        <v>276</v>
      </c>
    </row>
    <row r="44" spans="1:9" x14ac:dyDescent="0.2">
      <c r="A44" t="s">
        <v>217</v>
      </c>
      <c r="B44">
        <f>($B$2+B42)/13</f>
        <v>1.1634900719631511</v>
      </c>
      <c r="C44">
        <f>($B$2+C42)/14</f>
        <v>1.0915389611071282</v>
      </c>
      <c r="D44">
        <f>($B$2+D42)/14</f>
        <v>1.1026942839627587</v>
      </c>
      <c r="E44">
        <f>($B$2+E42)/15</f>
        <v>1.0395929663638301</v>
      </c>
      <c r="F44">
        <f>MIN(B44:E44)</f>
        <v>1.0395929663638301</v>
      </c>
      <c r="G44">
        <f>F44</f>
        <v>1.0395929663638301</v>
      </c>
      <c r="H44">
        <f>MIN(G44:G46)</f>
        <v>0.15617451997882942</v>
      </c>
      <c r="I44" t="str">
        <f>IF(H37=H44,"否","是")</f>
        <v>否</v>
      </c>
    </row>
    <row r="45" spans="1:9" x14ac:dyDescent="0.2">
      <c r="A45" t="s">
        <v>218</v>
      </c>
      <c r="B45">
        <f>($B$3+B42)/27</f>
        <v>1.0107594157845747</v>
      </c>
      <c r="C45">
        <f>($B$3+C42)/28</f>
        <v>0.9802385266486553</v>
      </c>
      <c r="D45">
        <f>($B$3+D42)/29</f>
        <v>0.95182252641866127</v>
      </c>
      <c r="E45">
        <f>($B$3+E42)/30</f>
        <v>0.92530092620400028</v>
      </c>
      <c r="F45">
        <f>MIN(B45:E45)</f>
        <v>0.92530092620400028</v>
      </c>
      <c r="G45">
        <f>F45/2</f>
        <v>0.46265046310200014</v>
      </c>
      <c r="H45">
        <f>MIN(G45:G46)</f>
        <v>0.15617451997882942</v>
      </c>
      <c r="I45" t="str">
        <f t="shared" ref="I45:I46" si="6">IF(H38=H45,"否","是")</f>
        <v>否</v>
      </c>
    </row>
    <row r="46" spans="1:9" x14ac:dyDescent="0.2">
      <c r="A46" t="s">
        <v>219</v>
      </c>
      <c r="B46">
        <f>($B$4+B42)/67</f>
        <v>0.69229600647331846</v>
      </c>
      <c r="C46">
        <f>($B$4+C42)/72</f>
        <v>0.64638898546793289</v>
      </c>
      <c r="D46">
        <f>($B$4+D42)/73</f>
        <v>0.63967371881739721</v>
      </c>
      <c r="E46">
        <f>($B$4+E42)/75</f>
        <v>0.62469807991531767</v>
      </c>
      <c r="F46">
        <f>MIN(B46:E46)</f>
        <v>0.62469807991531767</v>
      </c>
      <c r="G46">
        <f>F46/4</f>
        <v>0.15617451997882942</v>
      </c>
      <c r="H46">
        <f>MIN(G46)</f>
        <v>0.15617451997882942</v>
      </c>
      <c r="I46" t="str">
        <f t="shared" si="6"/>
        <v>否</v>
      </c>
    </row>
    <row r="48" spans="1:9" x14ac:dyDescent="0.2">
      <c r="A48" t="s">
        <v>274</v>
      </c>
      <c r="B48">
        <v>1</v>
      </c>
      <c r="C48">
        <v>2</v>
      </c>
      <c r="D48">
        <v>3</v>
      </c>
      <c r="E48">
        <v>4</v>
      </c>
    </row>
    <row r="49" spans="1:9" x14ac:dyDescent="0.2">
      <c r="A49" s="9" t="s">
        <v>273</v>
      </c>
      <c r="B49">
        <f>H44</f>
        <v>0.15617451997882942</v>
      </c>
      <c r="C49">
        <f>2*H45</f>
        <v>0.31234903995765884</v>
      </c>
      <c r="D49">
        <f>MIN(3*(H45+H46)/2,3*(H44+2*H46)/3)</f>
        <v>0.46852355993648825</v>
      </c>
      <c r="E49">
        <f>4*H46</f>
        <v>0.62469807991531767</v>
      </c>
    </row>
    <row r="50" spans="1:9" x14ac:dyDescent="0.2">
      <c r="A50" t="s">
        <v>275</v>
      </c>
      <c r="B50">
        <v>1</v>
      </c>
      <c r="C50">
        <v>2</v>
      </c>
      <c r="D50">
        <v>3</v>
      </c>
      <c r="E50">
        <v>4</v>
      </c>
      <c r="F50" t="s">
        <v>270</v>
      </c>
      <c r="G50" t="s">
        <v>271</v>
      </c>
      <c r="H50" t="s">
        <v>272</v>
      </c>
      <c r="I50" t="s">
        <v>276</v>
      </c>
    </row>
    <row r="51" spans="1:9" x14ac:dyDescent="0.2">
      <c r="A51" t="s">
        <v>217</v>
      </c>
      <c r="B51">
        <f>($B$2+B49)/13</f>
        <v>1.1634900719631511</v>
      </c>
      <c r="C51">
        <f>($B$2+C49)/14</f>
        <v>1.0915389611071282</v>
      </c>
      <c r="D51">
        <f>($B$2+D49)/14</f>
        <v>1.1026942839627587</v>
      </c>
      <c r="E51">
        <f>($B$2+E49)/15</f>
        <v>1.0395929663638301</v>
      </c>
      <c r="F51">
        <f>MIN(B51:E51)</f>
        <v>1.0395929663638301</v>
      </c>
      <c r="G51">
        <f>F51</f>
        <v>1.0395929663638301</v>
      </c>
      <c r="H51">
        <f>MIN(G51:G53)</f>
        <v>0.15617451997882942</v>
      </c>
      <c r="I51" t="str">
        <f>IF(H44=H51,"否","是")</f>
        <v>否</v>
      </c>
    </row>
    <row r="52" spans="1:9" x14ac:dyDescent="0.2">
      <c r="A52" t="s">
        <v>218</v>
      </c>
      <c r="B52">
        <f>($B$3+B49)/27</f>
        <v>1.0107594157845747</v>
      </c>
      <c r="C52">
        <f>($B$3+C49)/28</f>
        <v>0.9802385266486553</v>
      </c>
      <c r="D52">
        <f>($B$3+D49)/29</f>
        <v>0.95182252641866127</v>
      </c>
      <c r="E52">
        <f>($B$3+E49)/30</f>
        <v>0.92530092620400028</v>
      </c>
      <c r="F52">
        <f>MIN(B52:E52)</f>
        <v>0.92530092620400028</v>
      </c>
      <c r="G52">
        <f>F52/2</f>
        <v>0.46265046310200014</v>
      </c>
      <c r="H52">
        <f>MIN(G52:G53)</f>
        <v>0.15617451997882942</v>
      </c>
      <c r="I52" t="str">
        <f t="shared" ref="I52:I53" si="7">IF(H45=H52,"否","是")</f>
        <v>否</v>
      </c>
    </row>
    <row r="53" spans="1:9" x14ac:dyDescent="0.2">
      <c r="A53" t="s">
        <v>219</v>
      </c>
      <c r="B53">
        <f>($B$4+B49)/67</f>
        <v>0.69229600647331846</v>
      </c>
      <c r="C53">
        <f>($B$4+C49)/72</f>
        <v>0.64638898546793289</v>
      </c>
      <c r="D53">
        <f>($B$4+D49)/73</f>
        <v>0.63967371881739721</v>
      </c>
      <c r="E53">
        <f>($B$4+E49)/75</f>
        <v>0.62469807991531767</v>
      </c>
      <c r="F53">
        <f>MIN(B53:E53)</f>
        <v>0.62469807991531767</v>
      </c>
      <c r="G53">
        <f>F53/4</f>
        <v>0.15617451997882942</v>
      </c>
      <c r="H53">
        <f>MIN(G53)</f>
        <v>0.15617451997882942</v>
      </c>
      <c r="I53" t="str">
        <f t="shared" si="7"/>
        <v>否</v>
      </c>
    </row>
    <row r="55" spans="1:9" x14ac:dyDescent="0.2">
      <c r="A55" t="s">
        <v>274</v>
      </c>
      <c r="B55">
        <v>1</v>
      </c>
      <c r="C55">
        <v>2</v>
      </c>
      <c r="D55">
        <v>3</v>
      </c>
      <c r="E55">
        <v>4</v>
      </c>
    </row>
    <row r="56" spans="1:9" x14ac:dyDescent="0.2">
      <c r="A56" s="9" t="s">
        <v>273</v>
      </c>
      <c r="B56">
        <f>H51</f>
        <v>0.15617451997882942</v>
      </c>
      <c r="C56">
        <f>2*H52</f>
        <v>0.31234903995765884</v>
      </c>
      <c r="D56">
        <f>MIN(3*(H52+H53)/2,3*(H51+2*H53)/3)</f>
        <v>0.46852355993648825</v>
      </c>
      <c r="E56">
        <f>4*H53</f>
        <v>0.62469807991531767</v>
      </c>
    </row>
    <row r="57" spans="1:9" x14ac:dyDescent="0.2">
      <c r="A57" t="s">
        <v>275</v>
      </c>
      <c r="B57">
        <v>1</v>
      </c>
      <c r="C57">
        <v>2</v>
      </c>
      <c r="D57">
        <v>3</v>
      </c>
      <c r="E57">
        <v>4</v>
      </c>
      <c r="F57" t="s">
        <v>270</v>
      </c>
      <c r="G57" t="s">
        <v>271</v>
      </c>
      <c r="H57" t="s">
        <v>272</v>
      </c>
      <c r="I57" t="s">
        <v>276</v>
      </c>
    </row>
    <row r="58" spans="1:9" x14ac:dyDescent="0.2">
      <c r="A58" t="s">
        <v>217</v>
      </c>
      <c r="B58">
        <f>($B$2+B56)/13</f>
        <v>1.1634900719631511</v>
      </c>
      <c r="C58">
        <f>($B$2+C56)/14</f>
        <v>1.0915389611071282</v>
      </c>
      <c r="D58">
        <f>($B$2+D56)/14</f>
        <v>1.1026942839627587</v>
      </c>
      <c r="E58">
        <f>($B$2+E56)/15</f>
        <v>1.0395929663638301</v>
      </c>
      <c r="F58">
        <f>MIN(B58:E58)</f>
        <v>1.0395929663638301</v>
      </c>
      <c r="G58">
        <f>F58</f>
        <v>1.0395929663638301</v>
      </c>
      <c r="H58">
        <f>MIN(G58:G60)</f>
        <v>0.15617451997882942</v>
      </c>
      <c r="I58" t="str">
        <f>IF(H51=H58,"否","是")</f>
        <v>否</v>
      </c>
    </row>
    <row r="59" spans="1:9" x14ac:dyDescent="0.2">
      <c r="A59" t="s">
        <v>218</v>
      </c>
      <c r="B59">
        <f>($B$3+B56)/27</f>
        <v>1.0107594157845747</v>
      </c>
      <c r="C59">
        <f>($B$3+C56)/28</f>
        <v>0.9802385266486553</v>
      </c>
      <c r="D59">
        <f>($B$3+D56)/29</f>
        <v>0.95182252641866127</v>
      </c>
      <c r="E59">
        <f>($B$3+E56)/30</f>
        <v>0.92530092620400028</v>
      </c>
      <c r="F59">
        <f>MIN(B59:E59)</f>
        <v>0.92530092620400028</v>
      </c>
      <c r="G59">
        <f>F59/2</f>
        <v>0.46265046310200014</v>
      </c>
      <c r="H59">
        <f>MIN(G59:G60)</f>
        <v>0.15617451997882942</v>
      </c>
      <c r="I59" t="str">
        <f t="shared" ref="I59:I60" si="8">IF(H52=H59,"否","是")</f>
        <v>否</v>
      </c>
    </row>
    <row r="60" spans="1:9" x14ac:dyDescent="0.2">
      <c r="A60" t="s">
        <v>219</v>
      </c>
      <c r="B60">
        <f>($B$4+B56)/67</f>
        <v>0.69229600647331846</v>
      </c>
      <c r="C60">
        <f>($B$4+C56)/72</f>
        <v>0.64638898546793289</v>
      </c>
      <c r="D60">
        <f>($B$4+D56)/73</f>
        <v>0.63967371881739721</v>
      </c>
      <c r="E60">
        <f>($B$4+E56)/75</f>
        <v>0.62469807991531767</v>
      </c>
      <c r="F60">
        <f>MIN(B60:E60)</f>
        <v>0.62469807991531767</v>
      </c>
      <c r="G60">
        <f>F60/4</f>
        <v>0.15617451997882942</v>
      </c>
      <c r="H60">
        <f>MIN(G60)</f>
        <v>0.15617451997882942</v>
      </c>
      <c r="I60" t="str">
        <f t="shared" si="8"/>
        <v>否</v>
      </c>
    </row>
    <row r="62" spans="1:9" x14ac:dyDescent="0.2">
      <c r="A62" t="s">
        <v>274</v>
      </c>
      <c r="B62">
        <v>1</v>
      </c>
      <c r="C62">
        <v>2</v>
      </c>
      <c r="D62">
        <v>3</v>
      </c>
      <c r="E62">
        <v>4</v>
      </c>
    </row>
    <row r="63" spans="1:9" x14ac:dyDescent="0.2">
      <c r="A63" s="9" t="s">
        <v>273</v>
      </c>
      <c r="B63">
        <f>H58</f>
        <v>0.15617451997882942</v>
      </c>
      <c r="C63">
        <f>2*H59</f>
        <v>0.31234903995765884</v>
      </c>
      <c r="D63">
        <f>MIN(3*(H59+H60)/2,3*(H58+2*H60)/3)</f>
        <v>0.46852355993648825</v>
      </c>
      <c r="E63">
        <f>4*H60</f>
        <v>0.62469807991531767</v>
      </c>
    </row>
    <row r="64" spans="1:9" x14ac:dyDescent="0.2">
      <c r="A64" t="s">
        <v>275</v>
      </c>
      <c r="B64">
        <v>1</v>
      </c>
      <c r="C64">
        <v>2</v>
      </c>
      <c r="D64">
        <v>3</v>
      </c>
      <c r="E64">
        <v>4</v>
      </c>
      <c r="F64" t="s">
        <v>270</v>
      </c>
      <c r="G64" t="s">
        <v>271</v>
      </c>
      <c r="H64" t="s">
        <v>272</v>
      </c>
      <c r="I64" t="s">
        <v>276</v>
      </c>
    </row>
    <row r="65" spans="1:9" x14ac:dyDescent="0.2">
      <c r="A65" t="s">
        <v>217</v>
      </c>
      <c r="B65">
        <f>($B$2+B63)/13</f>
        <v>1.1634900719631511</v>
      </c>
      <c r="C65">
        <f>($B$2+C63)/14</f>
        <v>1.0915389611071282</v>
      </c>
      <c r="D65">
        <f>($B$2+D63)/14</f>
        <v>1.1026942839627587</v>
      </c>
      <c r="E65">
        <f>($B$2+E63)/15</f>
        <v>1.0395929663638301</v>
      </c>
      <c r="F65">
        <f>MIN(B65:E65)</f>
        <v>1.0395929663638301</v>
      </c>
      <c r="G65">
        <f>F65</f>
        <v>1.0395929663638301</v>
      </c>
      <c r="H65">
        <f>MIN(G65:G67)</f>
        <v>0.15617451997882942</v>
      </c>
      <c r="I65" t="str">
        <f>IF(H58=H65,"否","是")</f>
        <v>否</v>
      </c>
    </row>
    <row r="66" spans="1:9" x14ac:dyDescent="0.2">
      <c r="A66" t="s">
        <v>218</v>
      </c>
      <c r="B66">
        <f>($B$3+B63)/27</f>
        <v>1.0107594157845747</v>
      </c>
      <c r="C66">
        <f>($B$3+C63)/28</f>
        <v>0.9802385266486553</v>
      </c>
      <c r="D66">
        <f>($B$3+D63)/29</f>
        <v>0.95182252641866127</v>
      </c>
      <c r="E66">
        <f>($B$3+E63)/30</f>
        <v>0.92530092620400028</v>
      </c>
      <c r="F66">
        <f>MIN(B66:E66)</f>
        <v>0.92530092620400028</v>
      </c>
      <c r="G66">
        <f>F66/2</f>
        <v>0.46265046310200014</v>
      </c>
      <c r="H66">
        <f>MIN(G66:G67)</f>
        <v>0.15617451997882942</v>
      </c>
      <c r="I66" t="str">
        <f t="shared" ref="I66:I67" si="9">IF(H59=H66,"否","是")</f>
        <v>否</v>
      </c>
    </row>
    <row r="67" spans="1:9" x14ac:dyDescent="0.2">
      <c r="A67" t="s">
        <v>219</v>
      </c>
      <c r="B67">
        <f>($B$4+B63)/67</f>
        <v>0.69229600647331846</v>
      </c>
      <c r="C67">
        <f>($B$4+C63)/72</f>
        <v>0.64638898546793289</v>
      </c>
      <c r="D67">
        <f>($B$4+D63)/73</f>
        <v>0.63967371881739721</v>
      </c>
      <c r="E67">
        <f>($B$4+E63)/75</f>
        <v>0.62469807991531767</v>
      </c>
      <c r="F67">
        <f>MIN(B67:E67)</f>
        <v>0.62469807991531767</v>
      </c>
      <c r="G67">
        <f>F67/4</f>
        <v>0.15617451997882942</v>
      </c>
      <c r="H67">
        <f>MIN(G67)</f>
        <v>0.15617451997882942</v>
      </c>
      <c r="I67" t="str">
        <f t="shared" si="9"/>
        <v>否</v>
      </c>
    </row>
    <row r="69" spans="1:9" x14ac:dyDescent="0.2">
      <c r="A69" t="s">
        <v>274</v>
      </c>
      <c r="B69">
        <v>1</v>
      </c>
      <c r="C69">
        <v>2</v>
      </c>
      <c r="D69">
        <v>3</v>
      </c>
      <c r="E69">
        <v>4</v>
      </c>
    </row>
    <row r="70" spans="1:9" x14ac:dyDescent="0.2">
      <c r="A70" s="9" t="s">
        <v>273</v>
      </c>
      <c r="B70">
        <f>H65</f>
        <v>0.15617451997882942</v>
      </c>
      <c r="C70">
        <f>2*H66</f>
        <v>0.31234903995765884</v>
      </c>
      <c r="D70">
        <f>MIN(3*(H66+H67)/2,3*(H65+2*H67)/3)</f>
        <v>0.46852355993648825</v>
      </c>
      <c r="E70">
        <f>4*H67</f>
        <v>0.62469807991531767</v>
      </c>
    </row>
    <row r="71" spans="1:9" x14ac:dyDescent="0.2">
      <c r="A71" t="s">
        <v>275</v>
      </c>
      <c r="B71">
        <v>1</v>
      </c>
      <c r="C71">
        <v>2</v>
      </c>
      <c r="D71">
        <v>3</v>
      </c>
      <c r="E71">
        <v>4</v>
      </c>
      <c r="F71" t="s">
        <v>270</v>
      </c>
      <c r="G71" t="s">
        <v>271</v>
      </c>
      <c r="H71" t="s">
        <v>272</v>
      </c>
      <c r="I71" t="s">
        <v>276</v>
      </c>
    </row>
    <row r="72" spans="1:9" x14ac:dyDescent="0.2">
      <c r="A72" t="s">
        <v>217</v>
      </c>
      <c r="B72">
        <f>($B$2+B70)/13</f>
        <v>1.1634900719631511</v>
      </c>
      <c r="C72">
        <f>($B$2+C70)/14</f>
        <v>1.0915389611071282</v>
      </c>
      <c r="D72">
        <f>($B$2+D70)/14</f>
        <v>1.1026942839627587</v>
      </c>
      <c r="E72">
        <f>($B$2+E70)/15</f>
        <v>1.0395929663638301</v>
      </c>
      <c r="F72">
        <f>MIN(B72:E72)</f>
        <v>1.0395929663638301</v>
      </c>
      <c r="G72">
        <f>F72</f>
        <v>1.0395929663638301</v>
      </c>
      <c r="H72">
        <f>MIN(G72:G74)</f>
        <v>0.15617451997882942</v>
      </c>
      <c r="I72" t="str">
        <f>IF(H65=H72,"否","是")</f>
        <v>否</v>
      </c>
    </row>
    <row r="73" spans="1:9" x14ac:dyDescent="0.2">
      <c r="A73" t="s">
        <v>218</v>
      </c>
      <c r="B73">
        <f>($B$3+B70)/27</f>
        <v>1.0107594157845747</v>
      </c>
      <c r="C73">
        <f>($B$3+C70)/28</f>
        <v>0.9802385266486553</v>
      </c>
      <c r="D73">
        <f>($B$3+D70)/29</f>
        <v>0.95182252641866127</v>
      </c>
      <c r="E73">
        <f>($B$3+E70)/30</f>
        <v>0.92530092620400028</v>
      </c>
      <c r="F73">
        <f>MIN(B73:E73)</f>
        <v>0.92530092620400028</v>
      </c>
      <c r="G73">
        <f>F73/2</f>
        <v>0.46265046310200014</v>
      </c>
      <c r="H73">
        <f>MIN(G73:G74)</f>
        <v>0.15617451997882942</v>
      </c>
      <c r="I73" t="str">
        <f t="shared" ref="I73:I74" si="10">IF(H66=H73,"否","是")</f>
        <v>否</v>
      </c>
    </row>
    <row r="74" spans="1:9" x14ac:dyDescent="0.2">
      <c r="A74" t="s">
        <v>219</v>
      </c>
      <c r="B74">
        <f>($B$4+B70)/67</f>
        <v>0.69229600647331846</v>
      </c>
      <c r="C74">
        <f>($B$4+C70)/72</f>
        <v>0.64638898546793289</v>
      </c>
      <c r="D74">
        <f>($B$4+D70)/73</f>
        <v>0.63967371881739721</v>
      </c>
      <c r="E74">
        <f>($B$4+E70)/75</f>
        <v>0.62469807991531767</v>
      </c>
      <c r="F74">
        <f>MIN(B74:E74)</f>
        <v>0.62469807991531767</v>
      </c>
      <c r="G74">
        <f>F74/4</f>
        <v>0.15617451997882942</v>
      </c>
      <c r="H74">
        <f>MIN(G74)</f>
        <v>0.15617451997882942</v>
      </c>
      <c r="I74" t="str">
        <f t="shared" si="10"/>
        <v>否</v>
      </c>
    </row>
  </sheetData>
  <phoneticPr fontId="1" type="noConversion"/>
  <conditionalFormatting sqref="A1:XFD1048576">
    <cfRule type="cellIs" dxfId="0" priority="1" operator="equal">
      <formula>"是"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D1C4-02FB-42BC-890C-85A89EDB5251}">
  <dimension ref="A1:U23"/>
  <sheetViews>
    <sheetView workbookViewId="0">
      <selection activeCell="I29" sqref="I29"/>
    </sheetView>
  </sheetViews>
  <sheetFormatPr defaultRowHeight="14.25" x14ac:dyDescent="0.2"/>
  <cols>
    <col min="1" max="1" width="34.125" customWidth="1"/>
  </cols>
  <sheetData>
    <row r="1" spans="1:21" s="1" customFormat="1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</row>
    <row r="2" spans="1:21" s="1" customFormat="1" x14ac:dyDescent="0.2">
      <c r="A2" s="1" t="s">
        <v>246</v>
      </c>
      <c r="B2" s="1">
        <v>6.96</v>
      </c>
      <c r="C2" s="1">
        <v>8.16</v>
      </c>
      <c r="D2" s="1">
        <v>11.52</v>
      </c>
      <c r="E2" s="1">
        <v>11.52</v>
      </c>
      <c r="F2" s="1">
        <v>12.8</v>
      </c>
      <c r="G2" s="1">
        <v>12.8</v>
      </c>
      <c r="H2" s="1">
        <v>26.4</v>
      </c>
      <c r="I2" s="1">
        <v>26.4</v>
      </c>
      <c r="J2" s="1">
        <v>47.5</v>
      </c>
      <c r="K2" s="1">
        <v>47.5</v>
      </c>
      <c r="L2" s="1">
        <v>52.25</v>
      </c>
      <c r="M2" s="1">
        <v>19.5</v>
      </c>
      <c r="N2" s="1">
        <v>19.5</v>
      </c>
      <c r="O2" s="1">
        <v>22.5</v>
      </c>
      <c r="P2" s="1">
        <v>22.5</v>
      </c>
      <c r="Q2" s="1">
        <v>25.961500000000001</v>
      </c>
      <c r="R2" s="1">
        <v>48.96</v>
      </c>
      <c r="S2" s="1">
        <v>54.824300000000001</v>
      </c>
      <c r="T2" s="1">
        <v>16.670000000000002</v>
      </c>
      <c r="U2" s="1">
        <v>10.5</v>
      </c>
    </row>
    <row r="3" spans="1:21" s="1" customFormat="1" x14ac:dyDescent="0.2">
      <c r="A3" s="1" t="s">
        <v>279</v>
      </c>
      <c r="B3" s="1">
        <v>10.5</v>
      </c>
      <c r="C3" s="1">
        <v>12</v>
      </c>
      <c r="D3" s="1">
        <v>16</v>
      </c>
      <c r="E3" s="1">
        <v>16</v>
      </c>
      <c r="F3" s="1">
        <v>16</v>
      </c>
      <c r="G3" s="1">
        <v>16</v>
      </c>
      <c r="H3" s="1">
        <v>35</v>
      </c>
      <c r="I3" s="1">
        <v>35</v>
      </c>
      <c r="J3" s="1">
        <v>55</v>
      </c>
      <c r="K3" s="1">
        <v>55</v>
      </c>
      <c r="L3" s="1">
        <v>55</v>
      </c>
      <c r="M3" s="1">
        <v>21</v>
      </c>
      <c r="N3" s="1">
        <v>21</v>
      </c>
      <c r="O3" s="1">
        <v>30</v>
      </c>
      <c r="P3" s="1">
        <v>30</v>
      </c>
      <c r="Q3" s="1">
        <v>38.5</v>
      </c>
      <c r="R3" s="1">
        <v>60</v>
      </c>
      <c r="S3" s="1">
        <v>63.92</v>
      </c>
      <c r="T3" s="1">
        <v>24</v>
      </c>
      <c r="U3" s="1">
        <v>12</v>
      </c>
    </row>
    <row r="4" spans="1:21" s="1" customFormat="1" x14ac:dyDescent="0.2">
      <c r="A4" s="1" t="s">
        <v>247</v>
      </c>
      <c r="B4" s="1">
        <v>12</v>
      </c>
      <c r="C4" s="1">
        <v>15</v>
      </c>
      <c r="D4" s="1">
        <v>20</v>
      </c>
      <c r="E4" s="1">
        <v>22</v>
      </c>
      <c r="F4" s="1">
        <v>24</v>
      </c>
      <c r="G4" s="1">
        <v>26</v>
      </c>
      <c r="H4" s="1">
        <v>42</v>
      </c>
      <c r="I4" s="1">
        <v>45.5</v>
      </c>
      <c r="J4" s="1">
        <v>55</v>
      </c>
      <c r="K4" s="1">
        <v>57.5</v>
      </c>
      <c r="L4" s="1">
        <v>60</v>
      </c>
      <c r="M4" s="1">
        <v>22.5</v>
      </c>
      <c r="N4" s="1">
        <v>24</v>
      </c>
      <c r="O4" s="1">
        <v>30</v>
      </c>
      <c r="P4" s="1">
        <v>40</v>
      </c>
      <c r="Q4" s="1">
        <v>60.5</v>
      </c>
      <c r="R4" s="1">
        <v>60</v>
      </c>
      <c r="S4" s="1">
        <v>63.92</v>
      </c>
      <c r="T4" s="1">
        <v>24</v>
      </c>
      <c r="U4" s="1">
        <v>12</v>
      </c>
    </row>
    <row r="5" spans="1:21" s="1" customFormat="1" x14ac:dyDescent="0.2">
      <c r="A5" s="1" t="s">
        <v>248</v>
      </c>
      <c r="B5" s="1">
        <v>7.68</v>
      </c>
      <c r="C5" s="1">
        <v>9.6</v>
      </c>
      <c r="D5" s="1">
        <v>12.8</v>
      </c>
      <c r="E5" s="1">
        <v>12.8</v>
      </c>
      <c r="F5" s="1">
        <v>12.8</v>
      </c>
      <c r="G5" s="1">
        <v>14.4</v>
      </c>
      <c r="H5" s="1">
        <v>30.6</v>
      </c>
      <c r="I5" s="1">
        <v>30.6</v>
      </c>
      <c r="J5" s="1">
        <v>47.5</v>
      </c>
      <c r="K5" s="1">
        <v>47.5</v>
      </c>
      <c r="L5" s="1">
        <v>52.25</v>
      </c>
      <c r="M5" s="1">
        <v>21</v>
      </c>
      <c r="N5" s="1">
        <v>21</v>
      </c>
      <c r="O5" s="1">
        <v>24.75</v>
      </c>
      <c r="P5" s="1">
        <v>24.75</v>
      </c>
      <c r="Q5" s="1">
        <v>27.5</v>
      </c>
      <c r="R5" s="1">
        <v>48.96</v>
      </c>
      <c r="S5" s="1">
        <v>54.824300000000001</v>
      </c>
      <c r="T5" s="1">
        <v>16.670000000000002</v>
      </c>
      <c r="U5" s="1">
        <v>10.5</v>
      </c>
    </row>
    <row r="6" spans="1:21" s="1" customFormat="1" x14ac:dyDescent="0.2">
      <c r="A6" s="1" t="s">
        <v>249</v>
      </c>
      <c r="B6" s="1">
        <f>J30+2*J28</f>
        <v>0</v>
      </c>
      <c r="C6" s="1">
        <f>J30+4*J28</f>
        <v>0</v>
      </c>
      <c r="D6" s="1">
        <f>J30+2*J28</f>
        <v>0</v>
      </c>
      <c r="E6" s="1">
        <f>J30+3*J28</f>
        <v>0</v>
      </c>
      <c r="F6" s="1">
        <f>J30+4*J28</f>
        <v>0</v>
      </c>
      <c r="G6" s="1">
        <f>J30+5*J28</f>
        <v>0</v>
      </c>
      <c r="H6" s="1">
        <f>J30+2*J28</f>
        <v>0</v>
      </c>
      <c r="I6" s="1">
        <f>J30+3*J28</f>
        <v>0</v>
      </c>
      <c r="J6" s="1">
        <f>J30+2*J28</f>
        <v>0</v>
      </c>
      <c r="K6" s="1">
        <f>J30+3*J28</f>
        <v>0</v>
      </c>
      <c r="L6" s="1">
        <f>J30+4*J28</f>
        <v>0</v>
      </c>
      <c r="M6" s="1">
        <f>J30+2*J28</f>
        <v>0</v>
      </c>
      <c r="N6" s="1">
        <f>J30+3*J28</f>
        <v>0</v>
      </c>
      <c r="O6" s="1">
        <f>J30+J28</f>
        <v>0</v>
      </c>
      <c r="P6" s="1">
        <f>J30+3*J28</f>
        <v>0</v>
      </c>
      <c r="Q6" s="1">
        <f>J30+7*J28</f>
        <v>0</v>
      </c>
      <c r="R6" s="1">
        <f>J30+J28</f>
        <v>0</v>
      </c>
      <c r="S6" s="1">
        <f>J30+J28</f>
        <v>0</v>
      </c>
      <c r="T6" s="1">
        <f>J30+J28/3</f>
        <v>0</v>
      </c>
      <c r="U6" s="1">
        <f>J30</f>
        <v>0</v>
      </c>
    </row>
    <row r="7" spans="1:21" s="1" customFormat="1" x14ac:dyDescent="0.2">
      <c r="A7" s="1" t="s">
        <v>250</v>
      </c>
      <c r="B7" s="1">
        <v>68</v>
      </c>
      <c r="C7" s="1">
        <v>116</v>
      </c>
      <c r="D7" s="1">
        <v>76</v>
      </c>
      <c r="E7" s="1">
        <v>104</v>
      </c>
      <c r="F7" s="1">
        <v>132</v>
      </c>
      <c r="G7" s="1">
        <v>160</v>
      </c>
      <c r="H7" s="1">
        <v>100</v>
      </c>
      <c r="I7" s="1">
        <v>140</v>
      </c>
      <c r="J7" s="1">
        <v>84</v>
      </c>
      <c r="K7" s="1">
        <v>116</v>
      </c>
      <c r="L7" s="1">
        <v>128</v>
      </c>
      <c r="M7" s="1">
        <v>68</v>
      </c>
      <c r="N7" s="1">
        <v>92</v>
      </c>
      <c r="O7" s="1">
        <v>332</v>
      </c>
      <c r="P7" s="1">
        <v>396</v>
      </c>
      <c r="Q7" s="1">
        <v>524</v>
      </c>
      <c r="R7" s="1">
        <v>60</v>
      </c>
      <c r="S7" s="1">
        <v>88</v>
      </c>
      <c r="T7" s="1">
        <v>128</v>
      </c>
      <c r="U7" s="1">
        <v>44</v>
      </c>
    </row>
    <row r="8" spans="1:21" s="1" customFormat="1" x14ac:dyDescent="0.2">
      <c r="A8" s="1" t="s">
        <v>251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2">
      <c r="A9" t="s">
        <v>252</v>
      </c>
      <c r="B9">
        <v>0.54805434782608697</v>
      </c>
      <c r="C9">
        <v>0.95348913043478267</v>
      </c>
      <c r="D9">
        <v>0.57183212560386476</v>
      </c>
      <c r="E9">
        <v>0.77454951690821261</v>
      </c>
      <c r="F9">
        <v>0.97726690821256046</v>
      </c>
      <c r="G9">
        <v>1.1799842995169081</v>
      </c>
      <c r="H9">
        <v>0.67288768115942021</v>
      </c>
      <c r="I9">
        <v>0.87560507246376806</v>
      </c>
      <c r="J9">
        <v>0.62533212560386475</v>
      </c>
      <c r="K9">
        <v>0.8280495169082126</v>
      </c>
      <c r="L9">
        <v>1.0307669082125603</v>
      </c>
      <c r="M9">
        <v>0.53616545893719803</v>
      </c>
      <c r="N9">
        <v>0.73888285024154587</v>
      </c>
      <c r="O9">
        <v>1.4057608695652175</v>
      </c>
      <c r="P9">
        <v>1.8111956521739132</v>
      </c>
      <c r="Q9">
        <v>2.6220652173913042</v>
      </c>
      <c r="R9">
        <v>0.27400362318840576</v>
      </c>
      <c r="S9">
        <v>0.27400362318840576</v>
      </c>
      <c r="T9">
        <v>0.1388586956521739</v>
      </c>
      <c r="U9">
        <v>44</v>
      </c>
    </row>
    <row r="10" spans="1:21" s="1" customFormat="1" x14ac:dyDescent="0.2">
      <c r="A10" s="1" t="s">
        <v>31</v>
      </c>
      <c r="B10" s="1">
        <v>6.96</v>
      </c>
      <c r="C10" s="1">
        <v>8.16</v>
      </c>
      <c r="D10" s="1">
        <v>10.88</v>
      </c>
      <c r="E10" s="1">
        <v>10.88</v>
      </c>
      <c r="F10" s="1">
        <v>11.52</v>
      </c>
      <c r="G10" s="1">
        <v>11.52</v>
      </c>
      <c r="H10" s="1">
        <v>26.4</v>
      </c>
      <c r="I10" s="1">
        <v>26.4</v>
      </c>
      <c r="J10" s="1">
        <v>47.5</v>
      </c>
      <c r="K10" s="1">
        <v>47.5</v>
      </c>
      <c r="L10" s="1">
        <v>52.25</v>
      </c>
      <c r="M10" s="1">
        <v>19.5</v>
      </c>
      <c r="N10" s="1">
        <v>19.5</v>
      </c>
      <c r="O10" s="1">
        <v>22.5</v>
      </c>
      <c r="P10" s="1">
        <v>22.5</v>
      </c>
      <c r="Q10" s="1">
        <v>22.5</v>
      </c>
      <c r="R10" s="1">
        <v>48.96</v>
      </c>
      <c r="S10" s="1">
        <v>54.824300000000001</v>
      </c>
      <c r="T10" s="1">
        <v>16.670000000000002</v>
      </c>
      <c r="U10" s="1">
        <v>10.5</v>
      </c>
    </row>
    <row r="11" spans="1:21" x14ac:dyDescent="0.2">
      <c r="A11" s="1" t="s">
        <v>253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</row>
    <row r="19" spans="1:21" x14ac:dyDescent="0.2">
      <c r="A19" s="1" t="s">
        <v>286</v>
      </c>
      <c r="B19" s="1" t="s">
        <v>287</v>
      </c>
      <c r="C19" s="1" t="s">
        <v>288</v>
      </c>
      <c r="D19" s="1" t="s">
        <v>289</v>
      </c>
      <c r="E19" s="1" t="s">
        <v>290</v>
      </c>
      <c r="F19" s="1" t="s">
        <v>291</v>
      </c>
      <c r="G19" s="1" t="s">
        <v>292</v>
      </c>
      <c r="H19" s="1" t="s">
        <v>293</v>
      </c>
      <c r="I19" s="1" t="s">
        <v>294</v>
      </c>
      <c r="J19" s="1" t="s">
        <v>295</v>
      </c>
      <c r="K19" s="1" t="s">
        <v>296</v>
      </c>
      <c r="L19" s="1" t="s">
        <v>297</v>
      </c>
      <c r="M19" s="1" t="s">
        <v>298</v>
      </c>
      <c r="N19" s="1" t="s">
        <v>299</v>
      </c>
      <c r="O19" s="1" t="s">
        <v>300</v>
      </c>
      <c r="P19" s="1" t="s">
        <v>301</v>
      </c>
      <c r="Q19" s="1" t="s">
        <v>302</v>
      </c>
      <c r="R19" s="1" t="s">
        <v>303</v>
      </c>
      <c r="S19" s="1" t="s">
        <v>304</v>
      </c>
      <c r="T19" s="1" t="s">
        <v>305</v>
      </c>
      <c r="U19" s="1" t="s">
        <v>306</v>
      </c>
    </row>
    <row r="20" spans="1:21" x14ac:dyDescent="0.2">
      <c r="A20" s="1" t="s">
        <v>307</v>
      </c>
      <c r="B20" s="1">
        <v>1</v>
      </c>
      <c r="C20" s="1">
        <v>0.5</v>
      </c>
      <c r="D20" s="1">
        <v>1</v>
      </c>
      <c r="E20" s="1">
        <v>1</v>
      </c>
      <c r="F20" s="1">
        <v>1</v>
      </c>
      <c r="G20" s="1">
        <v>8</v>
      </c>
      <c r="H20" s="1">
        <v>1</v>
      </c>
      <c r="I20" s="1">
        <v>1</v>
      </c>
      <c r="J20" s="1">
        <v>2</v>
      </c>
      <c r="K20" s="1">
        <v>0.75</v>
      </c>
      <c r="L20" s="1">
        <v>1</v>
      </c>
      <c r="M20" s="1">
        <v>1.5</v>
      </c>
      <c r="N20" s="1">
        <v>1</v>
      </c>
      <c r="O20" s="1">
        <v>1</v>
      </c>
      <c r="P20" s="1">
        <v>2</v>
      </c>
      <c r="Q20" s="1">
        <v>1</v>
      </c>
      <c r="R20" s="1">
        <v>1</v>
      </c>
      <c r="S20" s="1">
        <v>1</v>
      </c>
      <c r="T20" s="1">
        <v>50</v>
      </c>
      <c r="U20" s="1">
        <v>1</v>
      </c>
    </row>
    <row r="21" spans="1:21" x14ac:dyDescent="0.2">
      <c r="A21" s="1" t="s">
        <v>308</v>
      </c>
      <c r="B21" s="1">
        <v>0.08</v>
      </c>
      <c r="C21" s="1">
        <v>0.42</v>
      </c>
      <c r="D21" s="1">
        <v>2.94</v>
      </c>
      <c r="E21" s="1">
        <v>0.3</v>
      </c>
      <c r="F21" s="1">
        <v>0.3</v>
      </c>
      <c r="G21" s="1">
        <v>30</v>
      </c>
      <c r="H21" s="1">
        <v>0</v>
      </c>
      <c r="I21" s="1">
        <v>0.36</v>
      </c>
      <c r="J21" s="1">
        <v>1.44</v>
      </c>
      <c r="K21" s="1">
        <v>0.27</v>
      </c>
      <c r="L21" s="1">
        <v>0.54</v>
      </c>
      <c r="M21" s="1">
        <v>1.08</v>
      </c>
      <c r="N21" s="1">
        <v>0.96</v>
      </c>
      <c r="O21" s="1">
        <v>0.72</v>
      </c>
      <c r="P21" s="1">
        <v>2.16</v>
      </c>
      <c r="Q21" s="1">
        <v>0.72</v>
      </c>
      <c r="R21" s="1">
        <v>12</v>
      </c>
      <c r="S21" s="1">
        <v>0.48</v>
      </c>
      <c r="T21" s="1">
        <v>45</v>
      </c>
      <c r="U21" s="1">
        <v>0.9</v>
      </c>
    </row>
    <row r="23" spans="1:21" x14ac:dyDescent="0.2">
      <c r="A23" s="1" t="s">
        <v>309</v>
      </c>
      <c r="B23" s="1">
        <v>0</v>
      </c>
      <c r="C23" s="1">
        <v>15</v>
      </c>
      <c r="D23" s="1">
        <v>25</v>
      </c>
      <c r="E23" s="1">
        <v>12</v>
      </c>
      <c r="F23" s="1">
        <v>50</v>
      </c>
      <c r="G23" s="1">
        <v>0</v>
      </c>
      <c r="H23" s="1">
        <v>54.82</v>
      </c>
      <c r="I23" s="1">
        <v>5.76</v>
      </c>
      <c r="J23" s="1">
        <v>5.76</v>
      </c>
      <c r="K23" s="1">
        <v>10.24</v>
      </c>
      <c r="L23" s="1">
        <v>10.24</v>
      </c>
      <c r="M23" s="1">
        <v>10.24</v>
      </c>
      <c r="N23" s="1">
        <v>18</v>
      </c>
      <c r="O23" s="1">
        <v>23.76</v>
      </c>
      <c r="P23" s="1">
        <v>23.76</v>
      </c>
      <c r="Q23" s="1">
        <v>12.96</v>
      </c>
      <c r="R23" s="1">
        <v>45.12</v>
      </c>
      <c r="S23" s="1">
        <v>20.25</v>
      </c>
      <c r="T23" s="1">
        <v>64</v>
      </c>
      <c r="U23" s="1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省矿</vt:lpstr>
      <vt:lpstr>喷涂成本</vt:lpstr>
      <vt:lpstr>产线成本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65352</dc:creator>
  <cp:lastModifiedBy>653524123@qq.com</cp:lastModifiedBy>
  <dcterms:created xsi:type="dcterms:W3CDTF">2015-06-05T18:17:20Z</dcterms:created>
  <dcterms:modified xsi:type="dcterms:W3CDTF">2024-01-08T08:06:07Z</dcterms:modified>
</cp:coreProperties>
</file>