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新文件\桌面\自创攻略\戴森球计划\戴森球计划数值计算统计\"/>
    </mc:Choice>
  </mc:AlternateContent>
  <xr:revisionPtr revIDLastSave="0" documentId="13_ncr:1_{10F2FA51-1606-46B0-B32F-094E3981AD81}" xr6:coauthVersionLast="47" xr6:coauthVersionMax="47" xr10:uidLastSave="{00000000-0000-0000-0000-000000000000}"/>
  <bookViews>
    <workbookView xWindow="4605" yWindow="1935" windowWidth="22155" windowHeight="13500" xr2:uid="{00000000-000D-0000-FFFF-FFFF00000000}"/>
  </bookViews>
  <sheets>
    <sheet name="全低效省电省建筑数" sheetId="1" r:id="rId1"/>
    <sheet name="喷涂成本" sheetId="3" r:id="rId2"/>
    <sheet name="产线成本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M71" i="1"/>
  <c r="M72" i="1"/>
  <c r="M73" i="1"/>
  <c r="M74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32" i="1"/>
  <c r="M133" i="1"/>
  <c r="M134" i="1"/>
  <c r="C104" i="1"/>
  <c r="C57" i="1"/>
  <c r="E33" i="2"/>
  <c r="G29" i="2"/>
  <c r="R6" i="1"/>
  <c r="Q6" i="1"/>
  <c r="O6" i="1"/>
  <c r="P6" i="1"/>
  <c r="N6" i="1"/>
  <c r="M6" i="1"/>
  <c r="L6" i="1"/>
  <c r="J6" i="1"/>
  <c r="K6" i="1"/>
  <c r="I6" i="1"/>
  <c r="H6" i="1"/>
  <c r="L104" i="1"/>
  <c r="N104" i="1" l="1"/>
  <c r="L48" i="1"/>
  <c r="P104" i="1"/>
  <c r="K49" i="1" l="1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F49" i="1" l="1"/>
  <c r="F47" i="1"/>
  <c r="D10" i="1"/>
  <c r="I9" i="1"/>
  <c r="D9" i="1"/>
  <c r="G3" i="1"/>
  <c r="H2" i="1"/>
  <c r="C59" i="1"/>
  <c r="C63" i="1"/>
  <c r="C62" i="1"/>
  <c r="C136" i="1"/>
  <c r="C60" i="1"/>
  <c r="C101" i="1"/>
  <c r="C65" i="1"/>
  <c r="C56" i="1"/>
  <c r="C64" i="1"/>
  <c r="C69" i="1"/>
  <c r="C61" i="1"/>
  <c r="C55" i="1"/>
  <c r="C66" i="1"/>
  <c r="C58" i="1"/>
  <c r="C67" i="1"/>
  <c r="D101" i="1"/>
  <c r="E58" i="1"/>
  <c r="D124" i="1"/>
  <c r="D136" i="1"/>
  <c r="D66" i="1"/>
  <c r="D59" i="1"/>
  <c r="D58" i="1"/>
  <c r="E55" i="1"/>
  <c r="E57" i="1"/>
  <c r="D63" i="1"/>
  <c r="E61" i="1"/>
  <c r="E56" i="1"/>
  <c r="E59" i="1"/>
  <c r="E65" i="1"/>
  <c r="E101" i="1"/>
  <c r="E64" i="1"/>
  <c r="E66" i="1"/>
  <c r="E69" i="1"/>
  <c r="D62" i="1"/>
  <c r="D61" i="1"/>
  <c r="D65" i="1"/>
  <c r="E60" i="1"/>
  <c r="E136" i="1"/>
  <c r="D56" i="1"/>
  <c r="D55" i="1"/>
  <c r="D60" i="1"/>
  <c r="E63" i="1"/>
  <c r="D57" i="1"/>
  <c r="E62" i="1"/>
  <c r="E124" i="1"/>
  <c r="D67" i="1"/>
  <c r="E67" i="1"/>
  <c r="D64" i="1"/>
  <c r="C97" i="1"/>
  <c r="C124" i="1"/>
  <c r="I23" i="1" l="1"/>
  <c r="K68" i="1"/>
  <c r="L68" i="1" s="1"/>
  <c r="M68" i="1" s="1"/>
  <c r="C47" i="1" s="1"/>
  <c r="C49" i="1" s="1"/>
  <c r="E23" i="1"/>
  <c r="G23" i="1"/>
  <c r="H67" i="1" s="1"/>
  <c r="K62" i="1"/>
  <c r="F56" i="1"/>
  <c r="G56" i="1"/>
  <c r="J136" i="1"/>
  <c r="K136" i="1"/>
  <c r="J63" i="1"/>
  <c r="G59" i="1"/>
  <c r="J66" i="1"/>
  <c r="K66" i="1"/>
  <c r="K57" i="1"/>
  <c r="G64" i="1"/>
  <c r="I64" i="1"/>
  <c r="J64" i="1"/>
  <c r="J60" i="1"/>
  <c r="K60" i="1"/>
  <c r="J58" i="1"/>
  <c r="K58" i="1"/>
  <c r="F65" i="1"/>
  <c r="G65" i="1"/>
  <c r="J65" i="1"/>
  <c r="K65" i="1"/>
  <c r="J55" i="1"/>
  <c r="K55" i="1"/>
  <c r="N68" i="1"/>
  <c r="P68" i="1" l="1"/>
  <c r="H64" i="1"/>
  <c r="F101" i="1"/>
  <c r="G101" i="1"/>
  <c r="G124" i="1"/>
  <c r="F62" i="1"/>
  <c r="F57" i="1"/>
  <c r="G62" i="1"/>
  <c r="F66" i="1"/>
  <c r="G57" i="1"/>
  <c r="F60" i="1"/>
  <c r="F136" i="1"/>
  <c r="G66" i="1"/>
  <c r="G60" i="1"/>
  <c r="G136" i="1"/>
  <c r="F63" i="1"/>
  <c r="F64" i="1"/>
  <c r="I63" i="1"/>
  <c r="H56" i="1"/>
  <c r="I59" i="1"/>
  <c r="I69" i="1"/>
  <c r="I56" i="1"/>
  <c r="H55" i="1"/>
  <c r="H101" i="1"/>
  <c r="H124" i="1"/>
  <c r="I101" i="1"/>
  <c r="I124" i="1"/>
  <c r="H97" i="1"/>
  <c r="H62" i="1"/>
  <c r="H57" i="1"/>
  <c r="H65" i="1"/>
  <c r="I62" i="1"/>
  <c r="H136" i="1"/>
  <c r="I66" i="1"/>
  <c r="I60" i="1"/>
  <c r="I67" i="1"/>
  <c r="H61" i="1"/>
  <c r="G55" i="1"/>
  <c r="G63" i="1"/>
  <c r="F67" i="1"/>
  <c r="I65" i="1"/>
  <c r="L65" i="1" s="1"/>
  <c r="M65" i="1" s="1"/>
  <c r="F59" i="1"/>
  <c r="I58" i="1"/>
  <c r="G67" i="1"/>
  <c r="G58" i="1"/>
  <c r="H59" i="1"/>
  <c r="H63" i="1"/>
  <c r="F55" i="1"/>
  <c r="F58" i="1"/>
  <c r="G69" i="1"/>
  <c r="J67" i="1"/>
  <c r="K63" i="1"/>
  <c r="K64" i="1"/>
  <c r="K67" i="1"/>
  <c r="J59" i="1"/>
  <c r="K69" i="1"/>
  <c r="J61" i="1"/>
  <c r="J56" i="1"/>
  <c r="K59" i="1"/>
  <c r="K61" i="1"/>
  <c r="K56" i="1"/>
  <c r="J101" i="1"/>
  <c r="J124" i="1"/>
  <c r="K101" i="1"/>
  <c r="K124" i="1"/>
  <c r="J97" i="1"/>
  <c r="K97" i="1"/>
  <c r="J62" i="1"/>
  <c r="J57" i="1"/>
  <c r="I55" i="1"/>
  <c r="G61" i="1"/>
  <c r="F61" i="1"/>
  <c r="H66" i="1"/>
  <c r="H60" i="1"/>
  <c r="I61" i="1"/>
  <c r="H58" i="1"/>
  <c r="I57" i="1"/>
  <c r="F124" i="1"/>
  <c r="I136" i="1"/>
  <c r="L56" i="1" l="1"/>
  <c r="M56" i="1" s="1"/>
  <c r="L61" i="1"/>
  <c r="M61" i="1" s="1"/>
  <c r="L55" i="1"/>
  <c r="M55" i="1" s="1"/>
  <c r="L136" i="1"/>
  <c r="M136" i="1" s="1"/>
  <c r="C91" i="1"/>
  <c r="D91" i="1"/>
  <c r="E91" i="1"/>
  <c r="P56" i="1"/>
  <c r="K91" i="1"/>
  <c r="N56" i="1"/>
  <c r="F91" i="1"/>
  <c r="I91" i="1"/>
  <c r="G91" i="1"/>
  <c r="H91" i="1"/>
  <c r="J91" i="1"/>
  <c r="P61" i="1"/>
  <c r="C79" i="1"/>
  <c r="D79" i="1"/>
  <c r="E79" i="1"/>
  <c r="K79" i="1"/>
  <c r="N61" i="1"/>
  <c r="F79" i="1"/>
  <c r="G79" i="1"/>
  <c r="H79" i="1"/>
  <c r="I79" i="1"/>
  <c r="J79" i="1"/>
  <c r="L66" i="1"/>
  <c r="M66" i="1" s="1"/>
  <c r="P136" i="1"/>
  <c r="N136" i="1"/>
  <c r="L124" i="1"/>
  <c r="M124" i="1" s="1"/>
  <c r="L59" i="1"/>
  <c r="M59" i="1" s="1"/>
  <c r="L57" i="1"/>
  <c r="M57" i="1" s="1"/>
  <c r="F98" i="1"/>
  <c r="G98" i="1"/>
  <c r="H98" i="1"/>
  <c r="P65" i="1"/>
  <c r="I98" i="1"/>
  <c r="J98" i="1"/>
  <c r="K98" i="1"/>
  <c r="E98" i="1"/>
  <c r="N65" i="1"/>
  <c r="D98" i="1"/>
  <c r="C98" i="1"/>
  <c r="L62" i="1"/>
  <c r="M62" i="1" s="1"/>
  <c r="L67" i="1"/>
  <c r="M67" i="1" s="1"/>
  <c r="L64" i="1"/>
  <c r="M64" i="1" s="1"/>
  <c r="L69" i="1"/>
  <c r="M69" i="1" s="1"/>
  <c r="L101" i="1"/>
  <c r="M101" i="1" s="1"/>
  <c r="F82" i="1"/>
  <c r="F81" i="1"/>
  <c r="F76" i="1"/>
  <c r="G82" i="1"/>
  <c r="G81" i="1"/>
  <c r="G76" i="1"/>
  <c r="C82" i="1"/>
  <c r="H82" i="1"/>
  <c r="H81" i="1"/>
  <c r="H76" i="1"/>
  <c r="C76" i="1"/>
  <c r="I82" i="1"/>
  <c r="I81" i="1"/>
  <c r="I76" i="1"/>
  <c r="J82" i="1"/>
  <c r="J81" i="1"/>
  <c r="J76" i="1"/>
  <c r="K82" i="1"/>
  <c r="K81" i="1"/>
  <c r="K76" i="1"/>
  <c r="E81" i="1"/>
  <c r="P55" i="1"/>
  <c r="D76" i="1"/>
  <c r="C81" i="1"/>
  <c r="D82" i="1"/>
  <c r="N55" i="1"/>
  <c r="D81" i="1"/>
  <c r="E76" i="1"/>
  <c r="E82" i="1"/>
  <c r="L60" i="1"/>
  <c r="M60" i="1" s="1"/>
  <c r="L63" i="1"/>
  <c r="M63" i="1" s="1"/>
  <c r="L58" i="1"/>
  <c r="M58" i="1" s="1"/>
  <c r="C78" i="1" s="1"/>
  <c r="I78" i="1" l="1"/>
  <c r="H78" i="1"/>
  <c r="E78" i="1"/>
  <c r="J78" i="1"/>
  <c r="G48" i="1"/>
  <c r="P66" i="1"/>
  <c r="N66" i="1"/>
  <c r="F78" i="1"/>
  <c r="L81" i="1"/>
  <c r="M81" i="1" s="1"/>
  <c r="N81" i="1" s="1"/>
  <c r="G78" i="1"/>
  <c r="I48" i="1"/>
  <c r="P62" i="1"/>
  <c r="N62" i="1"/>
  <c r="B2" i="3"/>
  <c r="N124" i="1"/>
  <c r="K125" i="1"/>
  <c r="P124" i="1"/>
  <c r="L47" i="1"/>
  <c r="L49" i="1" s="1"/>
  <c r="I97" i="1" s="1"/>
  <c r="P60" i="1"/>
  <c r="N60" i="1"/>
  <c r="D78" i="1"/>
  <c r="L82" i="1"/>
  <c r="M82" i="1" s="1"/>
  <c r="N82" i="1"/>
  <c r="P59" i="1"/>
  <c r="N59" i="1"/>
  <c r="P101" i="1"/>
  <c r="H47" i="1"/>
  <c r="H49" i="1" s="1"/>
  <c r="C125" i="1" s="1"/>
  <c r="N101" i="1"/>
  <c r="L91" i="1"/>
  <c r="M91" i="1" s="1"/>
  <c r="N91" i="1" s="1"/>
  <c r="L98" i="1"/>
  <c r="M98" i="1" s="1"/>
  <c r="C127" i="1"/>
  <c r="D127" i="1"/>
  <c r="E127" i="1"/>
  <c r="P58" i="1"/>
  <c r="N58" i="1"/>
  <c r="F127" i="1"/>
  <c r="G127" i="1"/>
  <c r="H127" i="1"/>
  <c r="H77" i="1"/>
  <c r="I127" i="1"/>
  <c r="C77" i="1"/>
  <c r="I77" i="1"/>
  <c r="K127" i="1"/>
  <c r="J127" i="1"/>
  <c r="P63" i="1"/>
  <c r="H48" i="1"/>
  <c r="N63" i="1"/>
  <c r="L76" i="1"/>
  <c r="M76" i="1" s="1"/>
  <c r="G77" i="1" s="1"/>
  <c r="N76" i="1"/>
  <c r="C48" i="1"/>
  <c r="P69" i="1"/>
  <c r="N69" i="1"/>
  <c r="E83" i="1"/>
  <c r="D102" i="1"/>
  <c r="P57" i="1"/>
  <c r="E102" i="1"/>
  <c r="C83" i="1"/>
  <c r="D83" i="1"/>
  <c r="C102" i="1"/>
  <c r="K83" i="1"/>
  <c r="F102" i="1"/>
  <c r="G102" i="1"/>
  <c r="H102" i="1"/>
  <c r="I102" i="1"/>
  <c r="J102" i="1"/>
  <c r="F83" i="1"/>
  <c r="K102" i="1"/>
  <c r="N57" i="1"/>
  <c r="J83" i="1"/>
  <c r="H83" i="1"/>
  <c r="G83" i="1"/>
  <c r="I83" i="1"/>
  <c r="C88" i="1"/>
  <c r="P64" i="1"/>
  <c r="C100" i="1"/>
  <c r="D88" i="1"/>
  <c r="E88" i="1"/>
  <c r="D100" i="1"/>
  <c r="E100" i="1"/>
  <c r="I88" i="1"/>
  <c r="J88" i="1"/>
  <c r="N64" i="1"/>
  <c r="K88" i="1"/>
  <c r="F100" i="1"/>
  <c r="G100" i="1"/>
  <c r="H100" i="1"/>
  <c r="I100" i="1"/>
  <c r="J100" i="1"/>
  <c r="K100" i="1"/>
  <c r="G88" i="1"/>
  <c r="H88" i="1"/>
  <c r="F88" i="1"/>
  <c r="K78" i="1"/>
  <c r="D75" i="1"/>
  <c r="C75" i="1"/>
  <c r="P67" i="1"/>
  <c r="E75" i="1"/>
  <c r="F75" i="1"/>
  <c r="N67" i="1"/>
  <c r="G75" i="1"/>
  <c r="H75" i="1"/>
  <c r="I75" i="1"/>
  <c r="J75" i="1"/>
  <c r="K75" i="1"/>
  <c r="L79" i="1"/>
  <c r="M79" i="1" s="1"/>
  <c r="N79" i="1" s="1"/>
  <c r="G125" i="1" l="1"/>
  <c r="I125" i="1"/>
  <c r="H125" i="1"/>
  <c r="F125" i="1"/>
  <c r="E125" i="1"/>
  <c r="D125" i="1"/>
  <c r="L78" i="1"/>
  <c r="M78" i="1" s="1"/>
  <c r="P78" i="1" s="1"/>
  <c r="C2" i="3"/>
  <c r="L88" i="1"/>
  <c r="M88" i="1" s="1"/>
  <c r="N88" i="1"/>
  <c r="E103" i="1"/>
  <c r="C103" i="1"/>
  <c r="F103" i="1"/>
  <c r="G103" i="1"/>
  <c r="H103" i="1"/>
  <c r="I103" i="1"/>
  <c r="J103" i="1"/>
  <c r="K103" i="1"/>
  <c r="P98" i="1"/>
  <c r="D103" i="1"/>
  <c r="L102" i="1"/>
  <c r="M102" i="1" s="1"/>
  <c r="N102" i="1"/>
  <c r="N98" i="1"/>
  <c r="K95" i="1"/>
  <c r="D95" i="1"/>
  <c r="E95" i="1"/>
  <c r="F95" i="1"/>
  <c r="H95" i="1"/>
  <c r="C95" i="1"/>
  <c r="D84" i="1"/>
  <c r="P82" i="1"/>
  <c r="G95" i="1"/>
  <c r="J95" i="1"/>
  <c r="I95" i="1"/>
  <c r="C130" i="1"/>
  <c r="D130" i="1"/>
  <c r="E130" i="1"/>
  <c r="F130" i="1"/>
  <c r="G130" i="1"/>
  <c r="P76" i="1"/>
  <c r="K130" i="1"/>
  <c r="I130" i="1"/>
  <c r="H130" i="1"/>
  <c r="J130" i="1"/>
  <c r="L100" i="1"/>
  <c r="M100" i="1" s="1"/>
  <c r="N100" i="1" s="1"/>
  <c r="L127" i="1"/>
  <c r="M127" i="1" s="1"/>
  <c r="P127" i="1" s="1"/>
  <c r="N127" i="1"/>
  <c r="L83" i="1"/>
  <c r="M83" i="1" s="1"/>
  <c r="P83" i="1" s="1"/>
  <c r="F77" i="1"/>
  <c r="P91" i="1"/>
  <c r="B48" i="1"/>
  <c r="L75" i="1"/>
  <c r="M75" i="1" s="1"/>
  <c r="N75" i="1" s="1"/>
  <c r="K77" i="1"/>
  <c r="E77" i="1"/>
  <c r="E97" i="1"/>
  <c r="J125" i="1"/>
  <c r="P79" i="1"/>
  <c r="D94" i="1"/>
  <c r="E94" i="1"/>
  <c r="C94" i="1"/>
  <c r="F94" i="1"/>
  <c r="G94" i="1"/>
  <c r="H94" i="1"/>
  <c r="I94" i="1"/>
  <c r="J94" i="1"/>
  <c r="K94" i="1"/>
  <c r="J77" i="1"/>
  <c r="D77" i="1"/>
  <c r="P81" i="1"/>
  <c r="K85" i="1"/>
  <c r="D85" i="1" l="1"/>
  <c r="J85" i="1"/>
  <c r="G85" i="1"/>
  <c r="N78" i="1"/>
  <c r="C85" i="1"/>
  <c r="L85" i="1" s="1"/>
  <c r="M85" i="1" s="1"/>
  <c r="N85" i="1" s="1"/>
  <c r="N83" i="1"/>
  <c r="K84" i="1"/>
  <c r="E85" i="1"/>
  <c r="J84" i="1"/>
  <c r="L125" i="1"/>
  <c r="M125" i="1" s="1"/>
  <c r="P125" i="1" s="1"/>
  <c r="I84" i="1"/>
  <c r="H85" i="1"/>
  <c r="L77" i="1"/>
  <c r="M77" i="1" s="1"/>
  <c r="J119" i="1" s="1"/>
  <c r="H84" i="1"/>
  <c r="I85" i="1"/>
  <c r="F85" i="1"/>
  <c r="P77" i="1"/>
  <c r="H119" i="1"/>
  <c r="I119" i="1"/>
  <c r="D119" i="1"/>
  <c r="F119" i="1"/>
  <c r="C119" i="1"/>
  <c r="K119" i="1"/>
  <c r="G119" i="1"/>
  <c r="E119" i="1"/>
  <c r="N77" i="1"/>
  <c r="L130" i="1"/>
  <c r="M130" i="1" s="1"/>
  <c r="P130" i="1" s="1"/>
  <c r="L94" i="1"/>
  <c r="M94" i="1" s="1"/>
  <c r="N94" i="1"/>
  <c r="G84" i="1"/>
  <c r="C80" i="1"/>
  <c r="P75" i="1"/>
  <c r="E80" i="1"/>
  <c r="D80" i="1"/>
  <c r="H135" i="1"/>
  <c r="I135" i="1"/>
  <c r="J135" i="1"/>
  <c r="K135" i="1"/>
  <c r="C135" i="1"/>
  <c r="F80" i="1"/>
  <c r="G80" i="1"/>
  <c r="D135" i="1"/>
  <c r="E135" i="1"/>
  <c r="F135" i="1"/>
  <c r="I80" i="1"/>
  <c r="G135" i="1"/>
  <c r="H80" i="1"/>
  <c r="J80" i="1"/>
  <c r="K80" i="1"/>
  <c r="E84" i="1"/>
  <c r="F84" i="1"/>
  <c r="P102" i="1"/>
  <c r="I47" i="1"/>
  <c r="I49" i="1" s="1"/>
  <c r="G47" i="1"/>
  <c r="G49" i="1" s="1"/>
  <c r="D97" i="1" s="1"/>
  <c r="P100" i="1"/>
  <c r="L95" i="1"/>
  <c r="M95" i="1" s="1"/>
  <c r="C84" i="1"/>
  <c r="P88" i="1"/>
  <c r="D48" i="1"/>
  <c r="L103" i="1"/>
  <c r="M103" i="1" s="1"/>
  <c r="N103" i="1" s="1"/>
  <c r="N125" i="1" l="1"/>
  <c r="B3" i="3"/>
  <c r="D3" i="3" s="1"/>
  <c r="D2" i="3" s="1"/>
  <c r="L80" i="1"/>
  <c r="M80" i="1" s="1"/>
  <c r="P80" i="1" s="1"/>
  <c r="N80" i="1"/>
  <c r="F97" i="1"/>
  <c r="F99" i="1"/>
  <c r="G99" i="1"/>
  <c r="I99" i="1"/>
  <c r="E99" i="1"/>
  <c r="C99" i="1"/>
  <c r="J99" i="1"/>
  <c r="H99" i="1"/>
  <c r="D99" i="1"/>
  <c r="K99" i="1"/>
  <c r="L135" i="1"/>
  <c r="M135" i="1" s="1"/>
  <c r="P94" i="1"/>
  <c r="E47" i="1"/>
  <c r="E49" i="1" s="1"/>
  <c r="C3" i="3"/>
  <c r="K126" i="1"/>
  <c r="N130" i="1"/>
  <c r="I126" i="1"/>
  <c r="L119" i="1"/>
  <c r="M119" i="1" s="1"/>
  <c r="N119" i="1"/>
  <c r="D126" i="1"/>
  <c r="J126" i="1"/>
  <c r="H126" i="1"/>
  <c r="J47" i="1"/>
  <c r="J49" i="1" s="1"/>
  <c r="P103" i="1"/>
  <c r="C86" i="1"/>
  <c r="D86" i="1"/>
  <c r="P85" i="1"/>
  <c r="E86" i="1"/>
  <c r="F86" i="1"/>
  <c r="G86" i="1"/>
  <c r="K86" i="1"/>
  <c r="J86" i="1"/>
  <c r="I86" i="1"/>
  <c r="H86" i="1"/>
  <c r="G126" i="1"/>
  <c r="L84" i="1"/>
  <c r="M84" i="1" s="1"/>
  <c r="N84" i="1"/>
  <c r="F126" i="1"/>
  <c r="P95" i="1"/>
  <c r="E48" i="1"/>
  <c r="C126" i="1"/>
  <c r="N95" i="1"/>
  <c r="E126" i="1"/>
  <c r="H138" i="1" l="1"/>
  <c r="P84" i="1"/>
  <c r="J87" i="1"/>
  <c r="K87" i="1"/>
  <c r="G97" i="1"/>
  <c r="L97" i="1" s="1"/>
  <c r="M97" i="1" s="1"/>
  <c r="C87" i="1"/>
  <c r="D87" i="1"/>
  <c r="E87" i="1"/>
  <c r="G87" i="1"/>
  <c r="F87" i="1"/>
  <c r="I87" i="1"/>
  <c r="H87" i="1"/>
  <c r="P135" i="1"/>
  <c r="N135" i="1"/>
  <c r="L86" i="1"/>
  <c r="M86" i="1" s="1"/>
  <c r="N86" i="1" s="1"/>
  <c r="L99" i="1"/>
  <c r="M99" i="1" s="1"/>
  <c r="P99" i="1" s="1"/>
  <c r="P119" i="1"/>
  <c r="D96" i="1"/>
  <c r="I96" i="1"/>
  <c r="J96" i="1"/>
  <c r="E96" i="1"/>
  <c r="H96" i="1"/>
  <c r="K96" i="1"/>
  <c r="F96" i="1"/>
  <c r="G96" i="1"/>
  <c r="C96" i="1"/>
  <c r="L126" i="1"/>
  <c r="M126" i="1" s="1"/>
  <c r="N126" i="1" s="1"/>
  <c r="P97" i="1" l="1"/>
  <c r="N97" i="1"/>
  <c r="N99" i="1"/>
  <c r="G138" i="1"/>
  <c r="K138" i="1"/>
  <c r="B4" i="3"/>
  <c r="P126" i="1"/>
  <c r="G92" i="1"/>
  <c r="H92" i="1"/>
  <c r="D116" i="1"/>
  <c r="I92" i="1"/>
  <c r="C116" i="1"/>
  <c r="E116" i="1"/>
  <c r="J92" i="1"/>
  <c r="P86" i="1"/>
  <c r="F116" i="1"/>
  <c r="K92" i="1"/>
  <c r="C92" i="1"/>
  <c r="G116" i="1"/>
  <c r="H116" i="1"/>
  <c r="I116" i="1"/>
  <c r="J116" i="1"/>
  <c r="K116" i="1"/>
  <c r="E92" i="1"/>
  <c r="D92" i="1"/>
  <c r="F92" i="1"/>
  <c r="J131" i="1"/>
  <c r="D131" i="1"/>
  <c r="K131" i="1"/>
  <c r="E131" i="1"/>
  <c r="C131" i="1"/>
  <c r="F131" i="1"/>
  <c r="I131" i="1"/>
  <c r="H131" i="1"/>
  <c r="G131" i="1"/>
  <c r="F138" i="1"/>
  <c r="L96" i="1"/>
  <c r="M96" i="1" s="1"/>
  <c r="N96" i="1" s="1"/>
  <c r="E138" i="1"/>
  <c r="L87" i="1"/>
  <c r="M87" i="1" s="1"/>
  <c r="J138" i="1"/>
  <c r="I138" i="1"/>
  <c r="D138" i="1"/>
  <c r="C138" i="1"/>
  <c r="D89" i="1" l="1"/>
  <c r="E89" i="1"/>
  <c r="F89" i="1"/>
  <c r="G89" i="1"/>
  <c r="H89" i="1"/>
  <c r="I89" i="1"/>
  <c r="P87" i="1"/>
  <c r="J89" i="1"/>
  <c r="K89" i="1"/>
  <c r="C89" i="1"/>
  <c r="J137" i="1"/>
  <c r="K137" i="1"/>
  <c r="D137" i="1"/>
  <c r="I137" i="1"/>
  <c r="E137" i="1"/>
  <c r="G137" i="1"/>
  <c r="C137" i="1"/>
  <c r="F137" i="1"/>
  <c r="H137" i="1"/>
  <c r="L131" i="1"/>
  <c r="M131" i="1" s="1"/>
  <c r="P131" i="1" s="1"/>
  <c r="L92" i="1"/>
  <c r="M92" i="1" s="1"/>
  <c r="P96" i="1"/>
  <c r="D120" i="1"/>
  <c r="C120" i="1"/>
  <c r="K120" i="1"/>
  <c r="E120" i="1"/>
  <c r="F120" i="1"/>
  <c r="J120" i="1"/>
  <c r="H120" i="1"/>
  <c r="G120" i="1"/>
  <c r="I120" i="1"/>
  <c r="D4" i="3"/>
  <c r="E4" i="3"/>
  <c r="C4" i="3"/>
  <c r="F4" i="3" s="1"/>
  <c r="G4" i="3" s="1"/>
  <c r="H4" i="3" s="1"/>
  <c r="N87" i="1"/>
  <c r="L116" i="1"/>
  <c r="M116" i="1" s="1"/>
  <c r="N116" i="1" s="1"/>
  <c r="L138" i="1"/>
  <c r="M138" i="1" s="1"/>
  <c r="P138" i="1" s="1"/>
  <c r="N138" i="1"/>
  <c r="N131" i="1" l="1"/>
  <c r="P92" i="1"/>
  <c r="B47" i="1"/>
  <c r="B49" i="1" s="1"/>
  <c r="N92" i="1"/>
  <c r="L137" i="1"/>
  <c r="M137" i="1" s="1"/>
  <c r="N137" i="1" s="1"/>
  <c r="E7" i="3"/>
  <c r="P116" i="1"/>
  <c r="K128" i="1"/>
  <c r="H128" i="1"/>
  <c r="G128" i="1"/>
  <c r="I128" i="1"/>
  <c r="J128" i="1"/>
  <c r="C128" i="1"/>
  <c r="D128" i="1"/>
  <c r="E128" i="1"/>
  <c r="F128" i="1"/>
  <c r="L120" i="1"/>
  <c r="M120" i="1" s="1"/>
  <c r="N120" i="1" s="1"/>
  <c r="L89" i="1"/>
  <c r="M89" i="1" s="1"/>
  <c r="E2" i="3"/>
  <c r="F2" i="3" s="1"/>
  <c r="G2" i="3" s="1"/>
  <c r="E3" i="3"/>
  <c r="F3" i="3" s="1"/>
  <c r="G3" i="3" s="1"/>
  <c r="H3" i="3" s="1"/>
  <c r="D47" i="1" l="1"/>
  <c r="D49" i="1" s="1"/>
  <c r="P89" i="1"/>
  <c r="N89" i="1"/>
  <c r="E9" i="3"/>
  <c r="E10" i="3"/>
  <c r="E11" i="3"/>
  <c r="H2" i="3"/>
  <c r="P120" i="1"/>
  <c r="P137" i="1"/>
  <c r="C7" i="3"/>
  <c r="L128" i="1"/>
  <c r="M128" i="1" s="1"/>
  <c r="P128" i="1" s="1"/>
  <c r="C121" i="1"/>
  <c r="E121" i="1"/>
  <c r="K93" i="1"/>
  <c r="F121" i="1"/>
  <c r="G121" i="1"/>
  <c r="H121" i="1"/>
  <c r="C93" i="1"/>
  <c r="I121" i="1"/>
  <c r="J121" i="1"/>
  <c r="D93" i="1"/>
  <c r="K121" i="1"/>
  <c r="E93" i="1"/>
  <c r="F93" i="1"/>
  <c r="G93" i="1"/>
  <c r="J93" i="1"/>
  <c r="D121" i="1"/>
  <c r="H93" i="1"/>
  <c r="I93" i="1"/>
  <c r="N128" i="1" l="1"/>
  <c r="L121" i="1"/>
  <c r="M121" i="1" s="1"/>
  <c r="C9" i="3"/>
  <c r="C10" i="3"/>
  <c r="C11" i="3"/>
  <c r="B7" i="3"/>
  <c r="L93" i="1"/>
  <c r="M93" i="1" s="1"/>
  <c r="N93" i="1" s="1"/>
  <c r="D7" i="3"/>
  <c r="D90" i="1"/>
  <c r="C90" i="1"/>
  <c r="E90" i="1"/>
  <c r="F90" i="1"/>
  <c r="G90" i="1"/>
  <c r="H90" i="1"/>
  <c r="I90" i="1"/>
  <c r="J90" i="1"/>
  <c r="K90" i="1"/>
  <c r="L90" i="1" l="1"/>
  <c r="M90" i="1" s="1"/>
  <c r="N90" i="1" s="1"/>
  <c r="P121" i="1"/>
  <c r="E129" i="1"/>
  <c r="C129" i="1"/>
  <c r="I129" i="1"/>
  <c r="K129" i="1"/>
  <c r="G129" i="1"/>
  <c r="B9" i="3"/>
  <c r="B10" i="3"/>
  <c r="B11" i="3"/>
  <c r="P93" i="1"/>
  <c r="H117" i="1"/>
  <c r="D117" i="1"/>
  <c r="I117" i="1"/>
  <c r="E117" i="1"/>
  <c r="F117" i="1"/>
  <c r="G117" i="1"/>
  <c r="J117" i="1"/>
  <c r="K117" i="1"/>
  <c r="C117" i="1"/>
  <c r="D9" i="3"/>
  <c r="D10" i="3"/>
  <c r="D11" i="3"/>
  <c r="N121" i="1"/>
  <c r="F9" i="3" l="1"/>
  <c r="G9" i="3" s="1"/>
  <c r="L129" i="1"/>
  <c r="F11" i="3"/>
  <c r="G11" i="3" s="1"/>
  <c r="H11" i="3" s="1"/>
  <c r="F10" i="3"/>
  <c r="G10" i="3" s="1"/>
  <c r="L117" i="1"/>
  <c r="M117" i="1" s="1"/>
  <c r="P90" i="1"/>
  <c r="D118" i="1"/>
  <c r="I118" i="1"/>
  <c r="E118" i="1"/>
  <c r="J118" i="1"/>
  <c r="F118" i="1"/>
  <c r="K118" i="1"/>
  <c r="G118" i="1"/>
  <c r="H118" i="1"/>
  <c r="C118" i="1"/>
  <c r="H10" i="3" l="1"/>
  <c r="I70" i="1"/>
  <c r="K70" i="1"/>
  <c r="P117" i="1"/>
  <c r="C70" i="1"/>
  <c r="G70" i="1"/>
  <c r="E70" i="1"/>
  <c r="N117" i="1"/>
  <c r="D14" i="3"/>
  <c r="C14" i="3"/>
  <c r="I10" i="3"/>
  <c r="E14" i="3"/>
  <c r="I11" i="3"/>
  <c r="C10" i="1"/>
  <c r="C9" i="1"/>
  <c r="M129" i="1"/>
  <c r="L118" i="1"/>
  <c r="M118" i="1" s="1"/>
  <c r="N118" i="1"/>
  <c r="H9" i="3"/>
  <c r="C16" i="3" l="1"/>
  <c r="C17" i="3"/>
  <c r="C18" i="3"/>
  <c r="D16" i="3"/>
  <c r="D17" i="3"/>
  <c r="D18" i="3"/>
  <c r="F139" i="1"/>
  <c r="G139" i="1"/>
  <c r="H139" i="1"/>
  <c r="I139" i="1"/>
  <c r="J139" i="1"/>
  <c r="K139" i="1"/>
  <c r="P118" i="1"/>
  <c r="E139" i="1"/>
  <c r="C139" i="1"/>
  <c r="D139" i="1"/>
  <c r="E123" i="1"/>
  <c r="G123" i="1"/>
  <c r="F123" i="1"/>
  <c r="I123" i="1"/>
  <c r="D123" i="1"/>
  <c r="J123" i="1"/>
  <c r="C123" i="1"/>
  <c r="H123" i="1"/>
  <c r="K123" i="1"/>
  <c r="P129" i="1"/>
  <c r="N129" i="1"/>
  <c r="E16" i="3"/>
  <c r="E17" i="3"/>
  <c r="E18" i="3"/>
  <c r="B14" i="3"/>
  <c r="I9" i="3"/>
  <c r="L70" i="1"/>
  <c r="M70" i="1" s="1"/>
  <c r="F48" i="1" l="1"/>
  <c r="P70" i="1"/>
  <c r="L139" i="1"/>
  <c r="M139" i="1" s="1"/>
  <c r="L123" i="1"/>
  <c r="M123" i="1" s="1"/>
  <c r="P123" i="1" s="1"/>
  <c r="N70" i="1"/>
  <c r="B16" i="3"/>
  <c r="F16" i="3" s="1"/>
  <c r="G16" i="3" s="1"/>
  <c r="B17" i="3"/>
  <c r="F17" i="3" s="1"/>
  <c r="G17" i="3" s="1"/>
  <c r="B18" i="3"/>
  <c r="F18" i="3" s="1"/>
  <c r="G18" i="3" s="1"/>
  <c r="H18" i="3" s="1"/>
  <c r="H17" i="3" l="1"/>
  <c r="E21" i="3"/>
  <c r="I18" i="3"/>
  <c r="N123" i="1"/>
  <c r="H16" i="3"/>
  <c r="H122" i="1"/>
  <c r="I122" i="1"/>
  <c r="J122" i="1"/>
  <c r="K122" i="1"/>
  <c r="C122" i="1"/>
  <c r="P139" i="1"/>
  <c r="E122" i="1"/>
  <c r="D122" i="1"/>
  <c r="F122" i="1"/>
  <c r="G122" i="1"/>
  <c r="H140" i="1"/>
  <c r="C140" i="1"/>
  <c r="I140" i="1"/>
  <c r="J140" i="1"/>
  <c r="G140" i="1"/>
  <c r="K140" i="1"/>
  <c r="E140" i="1"/>
  <c r="D140" i="1"/>
  <c r="F140" i="1"/>
  <c r="N139" i="1"/>
  <c r="L122" i="1" l="1"/>
  <c r="M122" i="1" s="1"/>
  <c r="P122" i="1" s="1"/>
  <c r="B21" i="3"/>
  <c r="I16" i="3"/>
  <c r="D21" i="3"/>
  <c r="C21" i="3"/>
  <c r="I17" i="3"/>
  <c r="L140" i="1"/>
  <c r="M140" i="1" s="1"/>
  <c r="P140" i="1" s="1"/>
  <c r="E23" i="3"/>
  <c r="E24" i="3"/>
  <c r="E25" i="3"/>
  <c r="N122" i="1" l="1"/>
  <c r="N140" i="1"/>
  <c r="D23" i="3"/>
  <c r="D24" i="3"/>
  <c r="D25" i="3"/>
  <c r="B23" i="3"/>
  <c r="B24" i="3"/>
  <c r="B25" i="3"/>
  <c r="C23" i="3"/>
  <c r="C24" i="3"/>
  <c r="C25" i="3"/>
  <c r="F25" i="3" l="1"/>
  <c r="G25" i="3" s="1"/>
  <c r="H25" i="3" s="1"/>
  <c r="F24" i="3"/>
  <c r="G24" i="3" s="1"/>
  <c r="H24" i="3" s="1"/>
  <c r="F23" i="3"/>
  <c r="G23" i="3" s="1"/>
  <c r="H23" i="3" s="1"/>
  <c r="E28" i="3"/>
  <c r="I25" i="3"/>
  <c r="C28" i="3" l="1"/>
  <c r="D28" i="3"/>
  <c r="I24" i="3"/>
  <c r="E30" i="3"/>
  <c r="E31" i="3"/>
  <c r="E32" i="3"/>
  <c r="B28" i="3"/>
  <c r="I23" i="3"/>
  <c r="B30" i="3" l="1"/>
  <c r="B31" i="3"/>
  <c r="B32" i="3"/>
  <c r="D30" i="3"/>
  <c r="D31" i="3"/>
  <c r="D32" i="3"/>
  <c r="C30" i="3"/>
  <c r="C31" i="3"/>
  <c r="C32" i="3"/>
  <c r="F30" i="3" l="1"/>
  <c r="G30" i="3" s="1"/>
  <c r="F32" i="3"/>
  <c r="G32" i="3" s="1"/>
  <c r="H32" i="3" s="1"/>
  <c r="F31" i="3"/>
  <c r="G31" i="3" s="1"/>
  <c r="H31" i="3" s="1"/>
  <c r="C35" i="3" l="1"/>
  <c r="I31" i="3"/>
  <c r="E35" i="3"/>
  <c r="I32" i="3"/>
  <c r="H30" i="3"/>
  <c r="B35" i="3" l="1"/>
  <c r="I30" i="3"/>
  <c r="E37" i="3"/>
  <c r="E38" i="3"/>
  <c r="E39" i="3"/>
  <c r="C37" i="3"/>
  <c r="C38" i="3"/>
  <c r="C39" i="3"/>
  <c r="D35" i="3"/>
  <c r="B37" i="3" l="1"/>
  <c r="B38" i="3"/>
  <c r="B39" i="3"/>
  <c r="D37" i="3"/>
  <c r="D38" i="3"/>
  <c r="D39" i="3"/>
  <c r="F39" i="3" l="1"/>
  <c r="G39" i="3" s="1"/>
  <c r="H39" i="3" s="1"/>
  <c r="E42" i="3" s="1"/>
  <c r="F37" i="3"/>
  <c r="G37" i="3" s="1"/>
  <c r="I39" i="3"/>
  <c r="F38" i="3"/>
  <c r="G38" i="3" s="1"/>
  <c r="H38" i="3" s="1"/>
  <c r="H37" i="3"/>
  <c r="D42" i="3" l="1"/>
  <c r="C42" i="3"/>
  <c r="I38" i="3"/>
  <c r="E44" i="3"/>
  <c r="E45" i="3"/>
  <c r="E46" i="3"/>
  <c r="B42" i="3"/>
  <c r="I37" i="3"/>
  <c r="C44" i="3" l="1"/>
  <c r="C45" i="3"/>
  <c r="C46" i="3"/>
  <c r="B44" i="3"/>
  <c r="B45" i="3"/>
  <c r="B46" i="3"/>
  <c r="D44" i="3"/>
  <c r="D45" i="3"/>
  <c r="D46" i="3"/>
  <c r="F45" i="3" l="1"/>
  <c r="G45" i="3" s="1"/>
  <c r="F44" i="3"/>
  <c r="G44" i="3" s="1"/>
  <c r="F46" i="3"/>
  <c r="G46" i="3" s="1"/>
  <c r="H46" i="3" s="1"/>
  <c r="H45" i="3" l="1"/>
  <c r="C49" i="3" s="1"/>
  <c r="E49" i="3"/>
  <c r="I46" i="3"/>
  <c r="H44" i="3"/>
  <c r="I45" i="3" l="1"/>
  <c r="B49" i="3"/>
  <c r="I44" i="3"/>
  <c r="E51" i="3"/>
  <c r="E52" i="3"/>
  <c r="E53" i="3"/>
  <c r="C51" i="3"/>
  <c r="C52" i="3"/>
  <c r="C53" i="3"/>
  <c r="D49" i="3"/>
  <c r="D51" i="3" l="1"/>
  <c r="D52" i="3"/>
  <c r="D53" i="3"/>
  <c r="B51" i="3"/>
  <c r="B52" i="3"/>
  <c r="F52" i="3" s="1"/>
  <c r="G52" i="3" s="1"/>
  <c r="B53" i="3"/>
  <c r="F53" i="3" s="1"/>
  <c r="G53" i="3" s="1"/>
  <c r="H53" i="3" s="1"/>
  <c r="E56" i="3" l="1"/>
  <c r="I53" i="3"/>
  <c r="H52" i="3"/>
  <c r="F51" i="3"/>
  <c r="G51" i="3" s="1"/>
  <c r="H51" i="3" s="1"/>
  <c r="B56" i="3" l="1"/>
  <c r="I51" i="3"/>
  <c r="D56" i="3"/>
  <c r="C56" i="3"/>
  <c r="I52" i="3"/>
  <c r="E58" i="3"/>
  <c r="E59" i="3"/>
  <c r="E60" i="3"/>
  <c r="C58" i="3" l="1"/>
  <c r="C59" i="3"/>
  <c r="C60" i="3"/>
  <c r="D58" i="3"/>
  <c r="D59" i="3"/>
  <c r="D60" i="3"/>
  <c r="B58" i="3"/>
  <c r="B59" i="3"/>
  <c r="F59" i="3" s="1"/>
  <c r="G59" i="3" s="1"/>
  <c r="B60" i="3"/>
  <c r="F60" i="3" s="1"/>
  <c r="G60" i="3" s="1"/>
  <c r="H60" i="3" s="1"/>
  <c r="H59" i="3" l="1"/>
  <c r="F58" i="3"/>
  <c r="G58" i="3" s="1"/>
  <c r="H58" i="3" s="1"/>
  <c r="D63" i="3" s="1"/>
  <c r="C63" i="3"/>
  <c r="I59" i="3"/>
  <c r="E63" i="3"/>
  <c r="I60" i="3"/>
  <c r="D65" i="3" l="1"/>
  <c r="D66" i="3"/>
  <c r="D67" i="3"/>
  <c r="B63" i="3"/>
  <c r="I58" i="3"/>
  <c r="E65" i="3"/>
  <c r="E66" i="3"/>
  <c r="E67" i="3"/>
  <c r="C65" i="3"/>
  <c r="C66" i="3"/>
  <c r="C67" i="3"/>
  <c r="B65" i="3" l="1"/>
  <c r="F65" i="3" s="1"/>
  <c r="G65" i="3" s="1"/>
  <c r="H65" i="3" s="1"/>
  <c r="B66" i="3"/>
  <c r="F66" i="3" s="1"/>
  <c r="G66" i="3" s="1"/>
  <c r="B67" i="3"/>
  <c r="F67" i="3" s="1"/>
  <c r="G67" i="3" s="1"/>
  <c r="H67" i="3" s="1"/>
  <c r="H66" i="3" l="1"/>
  <c r="B70" i="3"/>
  <c r="I65" i="3"/>
  <c r="C70" i="3"/>
  <c r="D70" i="3"/>
  <c r="I66" i="3"/>
  <c r="E70" i="3"/>
  <c r="I67" i="3"/>
  <c r="C17" i="1" l="1"/>
  <c r="E72" i="3"/>
  <c r="E73" i="3"/>
  <c r="E74" i="3"/>
  <c r="C16" i="1"/>
  <c r="D72" i="3"/>
  <c r="D73" i="3"/>
  <c r="D74" i="3"/>
  <c r="C15" i="1"/>
  <c r="C72" i="3"/>
  <c r="C73" i="3"/>
  <c r="C74" i="3"/>
  <c r="C14" i="1"/>
  <c r="B72" i="3"/>
  <c r="B73" i="3"/>
  <c r="B74" i="3"/>
  <c r="F74" i="3" l="1"/>
  <c r="G74" i="3" s="1"/>
  <c r="H74" i="3" s="1"/>
  <c r="I74" i="3" s="1"/>
  <c r="F72" i="3"/>
  <c r="G72" i="3" s="1"/>
  <c r="F73" i="3"/>
  <c r="G73" i="3" s="1"/>
  <c r="H73" i="3" s="1"/>
  <c r="I73" i="3" s="1"/>
  <c r="H72" i="3" l="1"/>
  <c r="I72" i="3" s="1"/>
</calcChain>
</file>

<file path=xl/sharedStrings.xml><?xml version="1.0" encoding="utf-8"?>
<sst xmlns="http://schemas.openxmlformats.org/spreadsheetml/2006/main" count="618" uniqueCount="318">
  <si>
    <t>预设工厂选取</t>
    <phoneticPr fontId="2" type="noConversion"/>
  </si>
  <si>
    <t>制造台</t>
    <phoneticPr fontId="2" type="noConversion"/>
  </si>
  <si>
    <t>熔炉</t>
    <phoneticPr fontId="2" type="noConversion"/>
  </si>
  <si>
    <t>化工厂</t>
    <phoneticPr fontId="2" type="noConversion"/>
  </si>
  <si>
    <t>精炼厂</t>
    <phoneticPr fontId="2" type="noConversion"/>
  </si>
  <si>
    <t>对撞机</t>
    <phoneticPr fontId="2" type="noConversion"/>
  </si>
  <si>
    <t>研究站（堆叠）</t>
    <phoneticPr fontId="2" type="noConversion"/>
  </si>
  <si>
    <t>分馏塔（每秒转速、此时耗电）</t>
    <phoneticPr fontId="2" type="noConversion"/>
  </si>
  <si>
    <t>设备倍率</t>
    <phoneticPr fontId="2" type="noConversion"/>
  </si>
  <si>
    <t>设备耗能(MW)</t>
    <phoneticPr fontId="2" type="noConversion"/>
  </si>
  <si>
    <t>预设工厂面积</t>
    <phoneticPr fontId="2" type="noConversion"/>
  </si>
  <si>
    <t>熔炉+2带</t>
    <phoneticPr fontId="2" type="noConversion"/>
  </si>
  <si>
    <t>熔炉+4带</t>
    <phoneticPr fontId="2" type="noConversion"/>
  </si>
  <si>
    <t>制造台+2带</t>
    <phoneticPr fontId="2" type="noConversion"/>
  </si>
  <si>
    <t>制造台+3带</t>
    <phoneticPr fontId="2" type="noConversion"/>
  </si>
  <si>
    <t>制造台+4带</t>
    <phoneticPr fontId="2" type="noConversion"/>
  </si>
  <si>
    <t>制造台+5带</t>
    <phoneticPr fontId="2" type="noConversion"/>
  </si>
  <si>
    <t>化工厂+2带</t>
    <phoneticPr fontId="2" type="noConversion"/>
  </si>
  <si>
    <t>化工厂+3带</t>
    <phoneticPr fontId="2" type="noConversion"/>
  </si>
  <si>
    <t>对撞机+2带</t>
    <phoneticPr fontId="2" type="noConversion"/>
  </si>
  <si>
    <t>对撞机+3带</t>
    <phoneticPr fontId="2" type="noConversion"/>
  </si>
  <si>
    <t>对撞机+4带</t>
    <phoneticPr fontId="2" type="noConversion"/>
  </si>
  <si>
    <t>精炼厂+2带</t>
    <phoneticPr fontId="2" type="noConversion"/>
  </si>
  <si>
    <t>精炼厂+3带</t>
    <phoneticPr fontId="2" type="noConversion"/>
  </si>
  <si>
    <t>研究站+1带</t>
    <phoneticPr fontId="2" type="noConversion"/>
  </si>
  <si>
    <t>研究站+3带</t>
    <phoneticPr fontId="2" type="noConversion"/>
  </si>
  <si>
    <t>研究站+7带</t>
    <phoneticPr fontId="2" type="noConversion"/>
  </si>
  <si>
    <t>小太阳</t>
    <phoneticPr fontId="2" type="noConversion"/>
  </si>
  <si>
    <t>射线接收站</t>
    <phoneticPr fontId="2" type="noConversion"/>
  </si>
  <si>
    <t>分馏塔</t>
    <phoneticPr fontId="2" type="noConversion"/>
  </si>
  <si>
    <t>抽水机</t>
    <phoneticPr fontId="2" type="noConversion"/>
  </si>
  <si>
    <t>新极密铺情况下占地面积</t>
    <phoneticPr fontId="2" type="noConversion"/>
  </si>
  <si>
    <t>1MW发电占地</t>
    <phoneticPr fontId="2" type="noConversion"/>
  </si>
  <si>
    <t>你所选择的发电方式</t>
    <phoneticPr fontId="2" type="noConversion"/>
  </si>
  <si>
    <t>此配方下实际值(带产线）</t>
    <phoneticPr fontId="2" type="noConversion"/>
  </si>
  <si>
    <t>仅计算发电厂的大小</t>
    <phoneticPr fontId="2" type="noConversion"/>
  </si>
  <si>
    <t>第一次输入参数</t>
    <phoneticPr fontId="1" type="noConversion"/>
  </si>
  <si>
    <t>第一次实际值</t>
    <phoneticPr fontId="1" type="noConversion"/>
  </si>
  <si>
    <t>第二次输入参数</t>
    <phoneticPr fontId="1" type="noConversion"/>
  </si>
  <si>
    <t>第二次实际值</t>
    <phoneticPr fontId="1" type="noConversion"/>
  </si>
  <si>
    <t>预计真实值</t>
    <phoneticPr fontId="1" type="noConversion"/>
  </si>
  <si>
    <t>反物质燃料棒(喷涂后)</t>
    <phoneticPr fontId="2" type="noConversion"/>
  </si>
  <si>
    <t>反物质燃料棒(未喷涂)</t>
    <phoneticPr fontId="2" type="noConversion"/>
  </si>
  <si>
    <t>1喷涂/s增产剂占地</t>
    <phoneticPr fontId="2" type="noConversion"/>
  </si>
  <si>
    <t>此配方下实际值</t>
    <phoneticPr fontId="2" type="noConversion"/>
  </si>
  <si>
    <t>增产剂MK3</t>
    <phoneticPr fontId="2" type="noConversion"/>
  </si>
  <si>
    <t>配方选择</t>
    <phoneticPr fontId="2" type="noConversion"/>
  </si>
  <si>
    <t>粒子容器</t>
    <phoneticPr fontId="2" type="noConversion"/>
  </si>
  <si>
    <t>重氢</t>
    <phoneticPr fontId="2" type="noConversion"/>
  </si>
  <si>
    <t>卡西米尔晶体</t>
    <phoneticPr fontId="2" type="noConversion"/>
  </si>
  <si>
    <t>光子合并器</t>
    <phoneticPr fontId="2" type="noConversion"/>
  </si>
  <si>
    <t>高能光子</t>
    <phoneticPr fontId="2" type="noConversion"/>
  </si>
  <si>
    <t>碳纳米管</t>
    <phoneticPr fontId="2" type="noConversion"/>
  </si>
  <si>
    <t>金刚石</t>
    <phoneticPr fontId="1" type="noConversion"/>
  </si>
  <si>
    <t>晶格硅</t>
    <phoneticPr fontId="1" type="noConversion"/>
  </si>
  <si>
    <t>有机晶体</t>
    <phoneticPr fontId="1" type="noConversion"/>
  </si>
  <si>
    <t>直接开采</t>
    <phoneticPr fontId="2" type="noConversion"/>
  </si>
  <si>
    <t>无</t>
    <phoneticPr fontId="2" type="noConversion"/>
  </si>
  <si>
    <t>低效(分馏塔、无透镜)</t>
    <phoneticPr fontId="2" type="noConversion"/>
  </si>
  <si>
    <t>高效(对撞机，有透镜)</t>
    <phoneticPr fontId="2" type="noConversion"/>
  </si>
  <si>
    <t>无</t>
    <phoneticPr fontId="1" type="noConversion"/>
  </si>
  <si>
    <t>你的选择</t>
    <phoneticPr fontId="2" type="noConversion"/>
  </si>
  <si>
    <t>产物增产决策占地表</t>
    <phoneticPr fontId="2" type="noConversion"/>
  </si>
  <si>
    <t>1个/s产出时占地</t>
    <phoneticPr fontId="2" type="noConversion"/>
  </si>
  <si>
    <t>物品名</t>
    <phoneticPr fontId="2" type="noConversion"/>
  </si>
  <si>
    <t>公式（原料；时间；产物(忽略副产物氢)）</t>
    <phoneticPr fontId="2" type="noConversion"/>
  </si>
  <si>
    <t>不使用增产剂</t>
    <phoneticPr fontId="2" type="noConversion"/>
  </si>
  <si>
    <t>最少占地</t>
    <phoneticPr fontId="2" type="noConversion"/>
  </si>
  <si>
    <t>你的选择(默认为最少占地)</t>
    <phoneticPr fontId="2" type="noConversion"/>
  </si>
  <si>
    <t>此时方案</t>
    <phoneticPr fontId="2" type="noConversion"/>
  </si>
  <si>
    <t>单球黑盒最高产出</t>
    <phoneticPr fontId="1" type="noConversion"/>
  </si>
  <si>
    <t>一级原料</t>
    <phoneticPr fontId="2" type="noConversion"/>
  </si>
  <si>
    <t>铁块</t>
    <phoneticPr fontId="2" type="noConversion"/>
  </si>
  <si>
    <t>1铁矿；1s；1铁块</t>
    <phoneticPr fontId="2" type="noConversion"/>
  </si>
  <si>
    <t>/min</t>
    <phoneticPr fontId="1" type="noConversion"/>
  </si>
  <si>
    <t>铜块</t>
    <phoneticPr fontId="2" type="noConversion"/>
  </si>
  <si>
    <t>1铜矿；1s；1铜块</t>
    <phoneticPr fontId="2" type="noConversion"/>
  </si>
  <si>
    <t>高纯硅块</t>
    <phoneticPr fontId="2" type="noConversion"/>
  </si>
  <si>
    <t>2硅矿；2s；1高纯硅块</t>
    <phoneticPr fontId="2" type="noConversion"/>
  </si>
  <si>
    <t>钛块</t>
    <phoneticPr fontId="2" type="noConversion"/>
  </si>
  <si>
    <t>2钛矿；2s；1钛块</t>
    <phoneticPr fontId="2" type="noConversion"/>
  </si>
  <si>
    <t>石材</t>
    <phoneticPr fontId="2" type="noConversion"/>
  </si>
  <si>
    <t>1石矿；1s；1石材</t>
    <phoneticPr fontId="2" type="noConversion"/>
  </si>
  <si>
    <t>高能石墨</t>
    <phoneticPr fontId="2" type="noConversion"/>
  </si>
  <si>
    <t>2煤矿；2s；1高能石墨</t>
    <phoneticPr fontId="2" type="noConversion"/>
  </si>
  <si>
    <t>玻璃</t>
    <phoneticPr fontId="2" type="noConversion"/>
  </si>
  <si>
    <t>2石矿；2s；1玻璃</t>
    <phoneticPr fontId="2" type="noConversion"/>
  </si>
  <si>
    <t>晶格硅(高效)</t>
    <phoneticPr fontId="2" type="noConversion"/>
  </si>
  <si>
    <t>1分形硅石；1.5s；2晶格硅（制造台）</t>
    <phoneticPr fontId="2" type="noConversion"/>
  </si>
  <si>
    <t>金刚石(高效)</t>
    <phoneticPr fontId="2" type="noConversion"/>
  </si>
  <si>
    <t>1金伯利；1.5s；2金刚石</t>
    <phoneticPr fontId="2" type="noConversion"/>
  </si>
  <si>
    <t>石墨烯</t>
    <phoneticPr fontId="2" type="noConversion"/>
  </si>
  <si>
    <t>2可燃冰；2s；2石墨烯，1氢</t>
    <phoneticPr fontId="2" type="noConversion"/>
  </si>
  <si>
    <t>精炼油</t>
    <phoneticPr fontId="2" type="noConversion"/>
  </si>
  <si>
    <t>2原油；4s；2精炼油，1氢</t>
    <phoneticPr fontId="2" type="noConversion"/>
  </si>
  <si>
    <t>碳纳米管（高效）</t>
    <phoneticPr fontId="2" type="noConversion"/>
  </si>
  <si>
    <t>6刺笋结晶；4s；2碳纳米管</t>
    <phoneticPr fontId="2" type="noConversion"/>
  </si>
  <si>
    <t>磁铁</t>
    <phoneticPr fontId="2" type="noConversion"/>
  </si>
  <si>
    <t>1铁矿；1.5s；1磁铁</t>
    <phoneticPr fontId="2" type="noConversion"/>
  </si>
  <si>
    <t>重氢(加速分馏塔)</t>
    <phoneticPr fontId="2" type="noConversion"/>
  </si>
  <si>
    <t>1氢；1s；1重氢</t>
    <phoneticPr fontId="2" type="noConversion"/>
  </si>
  <si>
    <t>不可使用</t>
    <phoneticPr fontId="2" type="noConversion"/>
  </si>
  <si>
    <t>重氢(对撞机）</t>
    <phoneticPr fontId="2" type="noConversion"/>
  </si>
  <si>
    <t>10氢；2.5s；5重氢</t>
    <phoneticPr fontId="2" type="noConversion"/>
  </si>
  <si>
    <t>高能光子(默认带透镜)</t>
  </si>
  <si>
    <t>0.1引力透镜；60s；12高能光子</t>
    <phoneticPr fontId="2" type="noConversion"/>
  </si>
  <si>
    <t>高能光子(默认带透镜)</t>
    <phoneticPr fontId="2" type="noConversion"/>
  </si>
  <si>
    <t>常用二、三级原料与绿马达</t>
    <phoneticPr fontId="2" type="noConversion"/>
  </si>
  <si>
    <t>磁线圈</t>
    <phoneticPr fontId="2" type="noConversion"/>
  </si>
  <si>
    <t>2磁铁，1铜块；1s；2磁线圈</t>
    <phoneticPr fontId="2" type="noConversion"/>
  </si>
  <si>
    <t>钢材</t>
    <phoneticPr fontId="2" type="noConversion"/>
  </si>
  <si>
    <t>3铁块；3s；1钢材</t>
    <phoneticPr fontId="2" type="noConversion"/>
  </si>
  <si>
    <t>钛合金</t>
    <phoneticPr fontId="2" type="noConversion"/>
  </si>
  <si>
    <t>8硫酸，4钢材，4钛块；12s；4钛合金</t>
    <phoneticPr fontId="2" type="noConversion"/>
  </si>
  <si>
    <t>钛化玻璃</t>
    <phoneticPr fontId="2" type="noConversion"/>
  </si>
  <si>
    <t>2玻璃，2钛块，2水；5s；2钛化玻璃</t>
    <phoneticPr fontId="2" type="noConversion"/>
  </si>
  <si>
    <t>棱镜</t>
    <phoneticPr fontId="2" type="noConversion"/>
  </si>
  <si>
    <t>3玻璃；2s；2棱镜</t>
    <phoneticPr fontId="2" type="noConversion"/>
  </si>
  <si>
    <t>电浆激发器</t>
    <phoneticPr fontId="2" type="noConversion"/>
  </si>
  <si>
    <t>4磁线圈，2棱镜；2s；1电浆激发器</t>
    <phoneticPr fontId="2" type="noConversion"/>
  </si>
  <si>
    <t>齿轮</t>
    <phoneticPr fontId="2" type="noConversion"/>
  </si>
  <si>
    <t>1铁块；1s；1齿轮</t>
    <phoneticPr fontId="2" type="noConversion"/>
  </si>
  <si>
    <t>电路板</t>
    <phoneticPr fontId="2" type="noConversion"/>
  </si>
  <si>
    <t>2铁块，1铜块；1s；2电路板</t>
    <phoneticPr fontId="2" type="noConversion"/>
  </si>
  <si>
    <t>微晶元件</t>
    <phoneticPr fontId="2" type="noConversion"/>
  </si>
  <si>
    <t>2高纯硅块，1铜块；2s；1微晶元件</t>
    <phoneticPr fontId="2" type="noConversion"/>
  </si>
  <si>
    <t>处理器</t>
    <phoneticPr fontId="2" type="noConversion"/>
  </si>
  <si>
    <t>2电路板；2微晶元件；3s；1处理器</t>
    <phoneticPr fontId="2" type="noConversion"/>
  </si>
  <si>
    <t>电动机</t>
    <phoneticPr fontId="2" type="noConversion"/>
  </si>
  <si>
    <t>2铁块，1齿轮，1磁线圈；2s；1电动机</t>
    <phoneticPr fontId="2" type="noConversion"/>
  </si>
  <si>
    <t>电磁涡轮</t>
    <phoneticPr fontId="2" type="noConversion"/>
  </si>
  <si>
    <t>2电动机，2磁线圈；2s；1电磁涡轮</t>
    <phoneticPr fontId="2" type="noConversion"/>
  </si>
  <si>
    <t>钛晶石</t>
    <phoneticPr fontId="2" type="noConversion"/>
  </si>
  <si>
    <t>1有机晶体，3钛块；4s；1钛晶石</t>
    <phoneticPr fontId="2" type="noConversion"/>
  </si>
  <si>
    <t>卡西米尔晶体（高效）</t>
    <phoneticPr fontId="2" type="noConversion"/>
  </si>
  <si>
    <t>8光栅石，2石墨烯，12氢；4s；1卡西米尔晶体</t>
    <phoneticPr fontId="2" type="noConversion"/>
  </si>
  <si>
    <t>卡西米尔晶体（低效）</t>
    <phoneticPr fontId="2" type="noConversion"/>
  </si>
  <si>
    <t>1钛晶石，2石墨烯，12氢；4s；1卡西米尔晶体</t>
    <phoneticPr fontId="2" type="noConversion"/>
  </si>
  <si>
    <t>位面过滤器</t>
    <phoneticPr fontId="2" type="noConversion"/>
  </si>
  <si>
    <t>1卡西米尔晶体，2钛化玻璃；12s；1位面过滤器</t>
    <phoneticPr fontId="2" type="noConversion"/>
  </si>
  <si>
    <t>粒子容器(高效）</t>
    <phoneticPr fontId="2" type="noConversion"/>
  </si>
  <si>
    <t>10单极磁石、2铜块；4s；1粒子容器</t>
    <phoneticPr fontId="2" type="noConversion"/>
  </si>
  <si>
    <t>粒子容器(低效）</t>
    <phoneticPr fontId="2" type="noConversion"/>
  </si>
  <si>
    <t>2电磁涡轮、2铜块、2石墨烯；4s；1粒子容器</t>
    <phoneticPr fontId="2" type="noConversion"/>
  </si>
  <si>
    <t>奇异物质</t>
    <phoneticPr fontId="2" type="noConversion"/>
  </si>
  <si>
    <t>2粒子容器，2铁块，10重氢；8s；1奇异物质</t>
    <phoneticPr fontId="2" type="noConversion"/>
  </si>
  <si>
    <t>光子合并器(低效)</t>
    <phoneticPr fontId="2" type="noConversion"/>
  </si>
  <si>
    <t>2棱镜，1电路板；3s；1光子合并器</t>
    <phoneticPr fontId="2" type="noConversion"/>
  </si>
  <si>
    <t>光子合并器(高效)</t>
    <phoneticPr fontId="2" type="noConversion"/>
  </si>
  <si>
    <t>1光栅石，1电路板；3s；1光子合并器</t>
    <phoneticPr fontId="2" type="noConversion"/>
  </si>
  <si>
    <t>太阳帆</t>
    <phoneticPr fontId="2" type="noConversion"/>
  </si>
  <si>
    <t>1石墨烯、1光子合并器；4s；2太阳帆</t>
    <phoneticPr fontId="2" type="noConversion"/>
  </si>
  <si>
    <t>反物质</t>
    <phoneticPr fontId="2" type="noConversion"/>
  </si>
  <si>
    <t>2高能光子；2s；2反物质，2氢</t>
    <phoneticPr fontId="2" type="noConversion"/>
  </si>
  <si>
    <t>塑料</t>
    <phoneticPr fontId="2" type="noConversion"/>
  </si>
  <si>
    <t>2精炼油，1高能石墨；3s；1塑料</t>
    <phoneticPr fontId="2" type="noConversion"/>
  </si>
  <si>
    <t>粒子宽带</t>
    <phoneticPr fontId="2" type="noConversion"/>
  </si>
  <si>
    <t>2碳纳米管，2晶格硅，1塑料；8s；1粒子宽带</t>
    <phoneticPr fontId="2" type="noConversion"/>
  </si>
  <si>
    <t>碳纳米管（低效）</t>
    <phoneticPr fontId="2" type="noConversion"/>
  </si>
  <si>
    <t>3石墨烯，1钛块；4s；2碳纳米管</t>
    <phoneticPr fontId="2" type="noConversion"/>
  </si>
  <si>
    <t>金刚石（低效）</t>
    <phoneticPr fontId="1" type="noConversion"/>
  </si>
  <si>
    <t>1高能石墨；2s；1金刚石</t>
    <phoneticPr fontId="1" type="noConversion"/>
  </si>
  <si>
    <t>晶格硅(低效)</t>
    <phoneticPr fontId="2" type="noConversion"/>
  </si>
  <si>
    <t>1高纯硅块；2s；1晶格硅</t>
    <phoneticPr fontId="1" type="noConversion"/>
  </si>
  <si>
    <t>有机晶体（低效）</t>
    <phoneticPr fontId="1" type="noConversion"/>
  </si>
  <si>
    <t>2塑料，1精炼油，1水；6s；1有机晶体</t>
    <phoneticPr fontId="1" type="noConversion"/>
  </si>
  <si>
    <t>高级产物、消耗品与推进器</t>
    <phoneticPr fontId="2" type="noConversion"/>
  </si>
  <si>
    <t>超级磁场环</t>
    <phoneticPr fontId="2" type="noConversion"/>
  </si>
  <si>
    <t>2电磁涡轮，3磁铁，1高能石墨；3s；1超级磁场环</t>
    <phoneticPr fontId="2" type="noConversion"/>
  </si>
  <si>
    <t>引力透镜</t>
    <phoneticPr fontId="2" type="noConversion"/>
  </si>
  <si>
    <t>4金刚石，1奇异物质；6s；1引力透镜</t>
    <phoneticPr fontId="2" type="noConversion"/>
  </si>
  <si>
    <t>量子芯片</t>
    <phoneticPr fontId="2" type="noConversion"/>
  </si>
  <si>
    <t>2处理器，2位面过滤器；6s；1量子芯片</t>
    <phoneticPr fontId="2" type="noConversion"/>
  </si>
  <si>
    <t>框架材料</t>
    <phoneticPr fontId="2" type="noConversion"/>
  </si>
  <si>
    <t>4碳纳米管，1钛合金，1高纯硅块；6s；1框架材料</t>
    <phoneticPr fontId="2" type="noConversion"/>
  </si>
  <si>
    <t>戴森球组件</t>
    <phoneticPr fontId="2" type="noConversion"/>
  </si>
  <si>
    <t>3框架材料，3太阳帆，3处理器；8s；1戴森球组件</t>
    <phoneticPr fontId="2" type="noConversion"/>
  </si>
  <si>
    <t>湮灭约束球</t>
    <phoneticPr fontId="2" type="noConversion"/>
  </si>
  <si>
    <t>1粒子容器，1处理器；20s；1湮灭约束球</t>
    <phoneticPr fontId="2" type="noConversion"/>
  </si>
  <si>
    <t>空间翘曲器（高效）</t>
    <phoneticPr fontId="2" type="noConversion"/>
  </si>
  <si>
    <t>1引力矩阵；10s；8空间翘曲器</t>
    <phoneticPr fontId="2" type="noConversion"/>
  </si>
  <si>
    <t>小型运载火箭</t>
    <phoneticPr fontId="2" type="noConversion"/>
  </si>
  <si>
    <t>2戴森球组件，4氘核燃料棒，2量子芯片；6s；1小型运载火箭</t>
    <phoneticPr fontId="2" type="noConversion"/>
  </si>
  <si>
    <t>增产剂MK1</t>
    <phoneticPr fontId="2" type="noConversion"/>
  </si>
  <si>
    <t>1煤矿；0.5s；1增产剂MK1</t>
    <phoneticPr fontId="2" type="noConversion"/>
  </si>
  <si>
    <t>增产剂MK2</t>
    <phoneticPr fontId="2" type="noConversion"/>
  </si>
  <si>
    <t>2增产剂MK1，1金刚石；1s；1增产剂MK2</t>
    <phoneticPr fontId="2" type="noConversion"/>
  </si>
  <si>
    <t>2增产剂MK2，1碳纳米管；2s；1增产剂MK3</t>
    <phoneticPr fontId="2" type="noConversion"/>
  </si>
  <si>
    <t>液氢燃料棒</t>
    <phoneticPr fontId="2" type="noConversion"/>
  </si>
  <si>
    <t>1钛块，10氢；6s；2液氢燃料棒</t>
    <phoneticPr fontId="2" type="noConversion"/>
  </si>
  <si>
    <t>氘核燃料棒</t>
    <phoneticPr fontId="2" type="noConversion"/>
  </si>
  <si>
    <t>1钛合金，20重氢，1超级磁场环；12s；2氘核燃料棒</t>
    <phoneticPr fontId="2" type="noConversion"/>
  </si>
  <si>
    <t>反物质燃料棒</t>
    <phoneticPr fontId="2" type="noConversion"/>
  </si>
  <si>
    <t>12反物质+氢，1湮灭约束球，1钛合金；24s；2反物质燃料棒</t>
    <phoneticPr fontId="2" type="noConversion"/>
  </si>
  <si>
    <t>推进器</t>
    <phoneticPr fontId="2" type="noConversion"/>
  </si>
  <si>
    <t>2钢材，3铜块；4s；1推进器</t>
    <phoneticPr fontId="2" type="noConversion"/>
  </si>
  <si>
    <t>加力推进器</t>
    <phoneticPr fontId="2" type="noConversion"/>
  </si>
  <si>
    <t>5钛合金，5电磁涡轮；6s；1加力推进器</t>
    <phoneticPr fontId="2" type="noConversion"/>
  </si>
  <si>
    <t>研究站</t>
    <phoneticPr fontId="2" type="noConversion"/>
  </si>
  <si>
    <t>电磁矩阵</t>
    <phoneticPr fontId="2" type="noConversion"/>
  </si>
  <si>
    <t>1磁线圈，1电路板；3s；1电磁矩阵</t>
    <phoneticPr fontId="2" type="noConversion"/>
  </si>
  <si>
    <t>能量矩阵</t>
    <phoneticPr fontId="2" type="noConversion"/>
  </si>
  <si>
    <t>2高能石墨，2氢；6s；1能量矩阵</t>
    <phoneticPr fontId="2" type="noConversion"/>
  </si>
  <si>
    <t>结构矩阵</t>
    <phoneticPr fontId="2" type="noConversion"/>
  </si>
  <si>
    <t>1金刚石，1钛晶石；8s；1结构矩阵</t>
    <phoneticPr fontId="2" type="noConversion"/>
  </si>
  <si>
    <t>信息矩阵</t>
    <phoneticPr fontId="2" type="noConversion"/>
  </si>
  <si>
    <t>2处理器，1粒子宽带；10s；1信息矩阵</t>
    <phoneticPr fontId="2" type="noConversion"/>
  </si>
  <si>
    <t>引力矩阵</t>
    <phoneticPr fontId="2" type="noConversion"/>
  </si>
  <si>
    <t>1量子芯片，1引力透镜；24s；2引力矩阵</t>
    <phoneticPr fontId="2" type="noConversion"/>
  </si>
  <si>
    <t>宇宙矩阵</t>
    <phoneticPr fontId="2" type="noConversion"/>
  </si>
  <si>
    <t>1反物质，1各矩阵；15s；1宇宙矩阵</t>
    <phoneticPr fontId="2" type="noConversion"/>
  </si>
  <si>
    <t>增产剂参数</t>
    <phoneticPr fontId="1" type="noConversion"/>
  </si>
  <si>
    <t>增产剂成本</t>
    <phoneticPr fontId="1" type="noConversion"/>
  </si>
  <si>
    <t>示例</t>
    <phoneticPr fontId="1" type="noConversion"/>
  </si>
  <si>
    <t>增产剂加速效果</t>
    <phoneticPr fontId="1" type="noConversion"/>
  </si>
  <si>
    <t>增产剂增产效果</t>
    <phoneticPr fontId="1" type="noConversion"/>
  </si>
  <si>
    <t>喷涂额外耗电</t>
    <phoneticPr fontId="1" type="noConversion"/>
  </si>
  <si>
    <t>mk1</t>
    <phoneticPr fontId="1" type="noConversion"/>
  </si>
  <si>
    <t>mk2</t>
    <phoneticPr fontId="1" type="noConversion"/>
  </si>
  <si>
    <t>mk3</t>
    <phoneticPr fontId="1" type="noConversion"/>
  </si>
  <si>
    <t>1级喷涂点数</t>
    <phoneticPr fontId="1" type="noConversion"/>
  </si>
  <si>
    <t>2级喷涂点数</t>
    <phoneticPr fontId="1" type="noConversion"/>
  </si>
  <si>
    <t>3级喷涂点数</t>
    <phoneticPr fontId="1" type="noConversion"/>
  </si>
  <si>
    <t>4级喷涂点数</t>
    <phoneticPr fontId="1" type="noConversion"/>
  </si>
  <si>
    <t>矿物成本</t>
    <phoneticPr fontId="1" type="noConversion"/>
  </si>
  <si>
    <t>铁</t>
    <phoneticPr fontId="1" type="noConversion"/>
  </si>
  <si>
    <t>铜</t>
    <phoneticPr fontId="1" type="noConversion"/>
  </si>
  <si>
    <t>煤</t>
    <phoneticPr fontId="1" type="noConversion"/>
  </si>
  <si>
    <t>石</t>
    <phoneticPr fontId="1" type="noConversion"/>
  </si>
  <si>
    <t>硅</t>
    <phoneticPr fontId="1" type="noConversion"/>
  </si>
  <si>
    <t>钛</t>
    <phoneticPr fontId="1" type="noConversion"/>
  </si>
  <si>
    <t>分型硅</t>
    <phoneticPr fontId="1" type="noConversion"/>
  </si>
  <si>
    <t>金伯利</t>
    <phoneticPr fontId="1" type="noConversion"/>
  </si>
  <si>
    <t>可燃冰</t>
    <phoneticPr fontId="1" type="noConversion"/>
  </si>
  <si>
    <t>原油</t>
    <phoneticPr fontId="1" type="noConversion"/>
  </si>
  <si>
    <t>刺笋结晶</t>
    <phoneticPr fontId="1" type="noConversion"/>
  </si>
  <si>
    <t>氢</t>
    <phoneticPr fontId="1" type="noConversion"/>
  </si>
  <si>
    <t>单极磁石</t>
    <phoneticPr fontId="1" type="noConversion"/>
  </si>
  <si>
    <t>1喷涂增产</t>
    <phoneticPr fontId="2" type="noConversion"/>
  </si>
  <si>
    <t>1喷涂加速</t>
    <phoneticPr fontId="2" type="noConversion"/>
  </si>
  <si>
    <t>2喷涂增产</t>
    <phoneticPr fontId="1" type="noConversion"/>
  </si>
  <si>
    <t>2喷涂加速</t>
    <phoneticPr fontId="1" type="noConversion"/>
  </si>
  <si>
    <t>3喷涂增产</t>
    <phoneticPr fontId="1" type="noConversion"/>
  </si>
  <si>
    <t>3喷涂加速</t>
    <phoneticPr fontId="1" type="noConversion"/>
  </si>
  <si>
    <t>4喷涂增产</t>
    <phoneticPr fontId="1" type="noConversion"/>
  </si>
  <si>
    <t>4喷涂加速</t>
    <phoneticPr fontId="1" type="noConversion"/>
  </si>
  <si>
    <t>极密铺情况下占地面积</t>
    <phoneticPr fontId="2" type="noConversion"/>
  </si>
  <si>
    <t>不使用密铺技巧</t>
    <phoneticPr fontId="2" type="noConversion"/>
  </si>
  <si>
    <t>建筑偏移+无虚空带</t>
    <phoneticPr fontId="2" type="noConversion"/>
  </si>
  <si>
    <t>设备性能占用</t>
    <phoneticPr fontId="2" type="noConversion"/>
  </si>
  <si>
    <t>不偏移最优铺法算上带子的占用估算54k处理器</t>
    <phoneticPr fontId="1" type="noConversion"/>
  </si>
  <si>
    <t>全0</t>
    <phoneticPr fontId="2" type="noConversion"/>
  </si>
  <si>
    <t>不偏移最优铺法算上带子的占用估算900k位面混带</t>
    <phoneticPr fontId="1" type="noConversion"/>
  </si>
  <si>
    <t>全1</t>
    <phoneticPr fontId="1" type="noConversion"/>
  </si>
  <si>
    <t>未考虑</t>
    <phoneticPr fontId="2" type="noConversion"/>
  </si>
  <si>
    <t>重氢(4加速分馏塔)</t>
    <phoneticPr fontId="2" type="noConversion"/>
  </si>
  <si>
    <t>硫酸</t>
    <phoneticPr fontId="1" type="noConversion"/>
  </si>
  <si>
    <t>待做</t>
    <phoneticPr fontId="1" type="noConversion"/>
  </si>
  <si>
    <t>水</t>
    <phoneticPr fontId="1" type="noConversion"/>
  </si>
  <si>
    <t>1级喷涂</t>
    <phoneticPr fontId="2" type="noConversion"/>
  </si>
  <si>
    <t>2级喷涂</t>
    <phoneticPr fontId="2" type="noConversion"/>
  </si>
  <si>
    <t>3级喷涂</t>
    <phoneticPr fontId="1" type="noConversion"/>
  </si>
  <si>
    <t>4级喷涂</t>
    <phoneticPr fontId="2" type="noConversion"/>
  </si>
  <si>
    <t>纯净成本</t>
  </si>
  <si>
    <t>增产剂</t>
    <phoneticPr fontId="1" type="noConversion"/>
  </si>
  <si>
    <t>1级喷涂后单位喷涂成本</t>
    <phoneticPr fontId="1" type="noConversion"/>
  </si>
  <si>
    <t>2级喷涂</t>
    <phoneticPr fontId="1" type="noConversion"/>
  </si>
  <si>
    <t>mk1(纯净12次）</t>
    <phoneticPr fontId="1" type="noConversion"/>
  </si>
  <si>
    <t>mk2(纯净24次)</t>
    <phoneticPr fontId="1" type="noConversion"/>
  </si>
  <si>
    <t>mk3(纯净60次)</t>
    <phoneticPr fontId="1" type="noConversion"/>
  </si>
  <si>
    <t>最低</t>
    <phoneticPr fontId="1" type="noConversion"/>
  </si>
  <si>
    <t>单位喷涂点数</t>
    <phoneticPr fontId="1" type="noConversion"/>
  </si>
  <si>
    <t>最小单位喷涂点数</t>
    <phoneticPr fontId="1" type="noConversion"/>
  </si>
  <si>
    <t>成本</t>
    <phoneticPr fontId="1" type="noConversion"/>
  </si>
  <si>
    <t>喷涂等级</t>
    <phoneticPr fontId="1" type="noConversion"/>
  </si>
  <si>
    <t>互喷</t>
    <phoneticPr fontId="1" type="noConversion"/>
  </si>
  <si>
    <t>是否变化</t>
    <phoneticPr fontId="1" type="noConversion"/>
  </si>
  <si>
    <t>光栅石</t>
    <phoneticPr fontId="1" type="noConversion"/>
  </si>
  <si>
    <t>不可使用</t>
    <phoneticPr fontId="1" type="noConversion"/>
  </si>
  <si>
    <t>无偏最密不卡爪碰撞</t>
    <phoneticPr fontId="2" type="noConversion"/>
  </si>
  <si>
    <t>高能石墨</t>
    <phoneticPr fontId="1" type="noConversion"/>
  </si>
  <si>
    <t>无</t>
    <phoneticPr fontId="1" type="noConversion"/>
  </si>
  <si>
    <t>高能石墨（当成1煤算）</t>
    <phoneticPr fontId="1" type="noConversion"/>
  </si>
  <si>
    <t>1煤；4s；1高能石墨</t>
    <phoneticPr fontId="1" type="noConversion"/>
  </si>
  <si>
    <t>不考虑</t>
    <phoneticPr fontId="1" type="noConversion"/>
  </si>
  <si>
    <t>此配方下实际值</t>
  </si>
  <si>
    <t>名称</t>
  </si>
  <si>
    <t>伊卡洛斯</t>
  </si>
  <si>
    <t>采矿机</t>
  </si>
  <si>
    <t>大型采矿机</t>
  </si>
  <si>
    <t>抽水机</t>
  </si>
  <si>
    <t>原油萃取站</t>
  </si>
  <si>
    <t>轨道采集器</t>
  </si>
  <si>
    <t>射线接收站</t>
  </si>
  <si>
    <t>电弧熔炉</t>
  </si>
  <si>
    <t>位面熔炉</t>
  </si>
  <si>
    <t>制造台MK.Ⅰ</t>
  </si>
  <si>
    <t>制造台MK.Ⅱ</t>
  </si>
  <si>
    <t>制造台MK.Ⅲ</t>
  </si>
  <si>
    <t>原油精炼厂</t>
  </si>
  <si>
    <t>化工厂</t>
  </si>
  <si>
    <t>量子化工厂</t>
  </si>
  <si>
    <t>分馏塔</t>
  </si>
  <si>
    <t>微型粒子对撞机</t>
  </si>
  <si>
    <t>研究站</t>
  </si>
  <si>
    <t>能量枢纽</t>
  </si>
  <si>
    <t>蓄电器</t>
  </si>
  <si>
    <t>倍率</t>
  </si>
  <si>
    <t>耗能</t>
  </si>
  <si>
    <t>占地</t>
  </si>
  <si>
    <t>全低效</t>
    <phoneticPr fontId="1" type="noConversion"/>
  </si>
  <si>
    <t>火电</t>
    <phoneticPr fontId="1" type="noConversion"/>
  </si>
  <si>
    <t>火电建筑成本(2.16MW)</t>
    <phoneticPr fontId="1" type="noConversion"/>
  </si>
  <si>
    <t>传送带</t>
    <phoneticPr fontId="1" type="noConversion"/>
  </si>
  <si>
    <t>分拣器</t>
    <phoneticPr fontId="1" type="noConversion"/>
  </si>
  <si>
    <t>建筑</t>
    <phoneticPr fontId="1" type="noConversion"/>
  </si>
  <si>
    <t>总计</t>
    <phoneticPr fontId="1" type="noConversion"/>
  </si>
  <si>
    <t>矿物成本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</si>
</sst>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等线"/>
      <family val="3"/>
      <charset val="134"/>
      <scheme val="minor"/>
    </font>
    <font>
      <sz val="15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6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66FFFF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0066"/>
        </patternFill>
      </fill>
    </dxf>
    <dxf>
      <fill>
        <patternFill>
          <bgColor rgb="FFFFCC66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CC66"/>
      <color rgb="FF66FFFF"/>
      <color rgb="FFFF99FF"/>
      <color rgb="FFFF0066"/>
      <color rgb="FF008000"/>
      <color rgb="FF00FF00"/>
      <color rgb="FF3399FF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="70" zoomScaleNormal="70" workbookViewId="0">
      <selection activeCell="B14" sqref="B14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8.12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0.75</v>
      </c>
      <c r="C2" s="1">
        <v>1</v>
      </c>
      <c r="D2" s="1">
        <v>1</v>
      </c>
      <c r="E2" s="1">
        <v>1</v>
      </c>
      <c r="F2" s="1">
        <v>1</v>
      </c>
      <c r="G2" s="1">
        <v>3</v>
      </c>
      <c r="H2" s="1">
        <f>2.283152383</f>
        <v>2.283152383</v>
      </c>
    </row>
    <row r="3" spans="1:21" x14ac:dyDescent="0.2">
      <c r="A3" s="1" t="s">
        <v>9</v>
      </c>
      <c r="B3" s="1">
        <v>0.27</v>
      </c>
      <c r="C3" s="1">
        <v>0.36</v>
      </c>
      <c r="D3" s="1">
        <v>0.72</v>
      </c>
      <c r="E3" s="1">
        <v>0.96</v>
      </c>
      <c r="F3" s="1">
        <v>12</v>
      </c>
      <c r="G3" s="1">
        <f>0.48*G2</f>
        <v>1.44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251</v>
      </c>
      <c r="B6" s="1">
        <v>5.5</v>
      </c>
      <c r="C6" s="1">
        <v>10</v>
      </c>
      <c r="D6" s="1">
        <v>6</v>
      </c>
      <c r="E6" s="1">
        <v>8.5</v>
      </c>
      <c r="F6" s="1">
        <v>11</v>
      </c>
      <c r="G6" s="1">
        <v>13.5</v>
      </c>
      <c r="H6" s="1">
        <f>7.5+3</f>
        <v>10.5</v>
      </c>
      <c r="I6" s="1">
        <f>7.5/2*3+4</f>
        <v>15.25</v>
      </c>
      <c r="J6" s="1">
        <f>2.5*2+3</f>
        <v>8</v>
      </c>
      <c r="K6" s="1">
        <f>2.5*3+4</f>
        <v>11.5</v>
      </c>
      <c r="L6" s="1">
        <f>2.5*4+4</f>
        <v>14</v>
      </c>
      <c r="M6" s="1">
        <f>3+3</f>
        <v>6</v>
      </c>
      <c r="N6" s="1">
        <f>4.5+4</f>
        <v>8.5</v>
      </c>
      <c r="O6" s="1">
        <f>2.5*2+2</f>
        <v>7</v>
      </c>
      <c r="P6" s="1">
        <f>2.5*3+4</f>
        <v>11.5</v>
      </c>
      <c r="Q6" s="1">
        <f>2.5*7+8</f>
        <v>25.5</v>
      </c>
      <c r="R6" s="1">
        <f>5</f>
        <v>5</v>
      </c>
      <c r="S6" s="1">
        <v>1</v>
      </c>
      <c r="T6" s="1">
        <v>0</v>
      </c>
      <c r="U6" s="1">
        <v>0</v>
      </c>
    </row>
    <row r="8" spans="1:21" x14ac:dyDescent="0.2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1" t="s">
        <v>39</v>
      </c>
      <c r="I8" s="1" t="s">
        <v>40</v>
      </c>
    </row>
    <row r="9" spans="1:21" x14ac:dyDescent="0.2">
      <c r="A9" s="1" t="s">
        <v>41</v>
      </c>
      <c r="B9" s="1">
        <v>9.5000000000000001E-2</v>
      </c>
      <c r="C9" s="1">
        <f>(L129+L126/74+50*R6)/7200</f>
        <v>9.6445817056393851E-2</v>
      </c>
      <c r="D9" s="1">
        <f>50*R6/7200</f>
        <v>3.4722222222222224E-2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42</v>
      </c>
      <c r="B10" s="1">
        <v>4.1161460137072951E-3</v>
      </c>
      <c r="C10" s="1">
        <f>(L129+100*R6)/7200</f>
        <v>0.13101107492993305</v>
      </c>
      <c r="D10" s="1">
        <f>100*R6/7200</f>
        <v>6.9444444444444448E-2</v>
      </c>
    </row>
    <row r="11" spans="1:21" x14ac:dyDescent="0.2">
      <c r="A11" s="1" t="s">
        <v>311</v>
      </c>
      <c r="B11" s="1">
        <v>3</v>
      </c>
    </row>
    <row r="13" spans="1:21" x14ac:dyDescent="0.2">
      <c r="A13" s="1" t="s">
        <v>43</v>
      </c>
      <c r="B13" s="1" t="s">
        <v>285</v>
      </c>
      <c r="C13" s="1" t="s">
        <v>44</v>
      </c>
    </row>
    <row r="14" spans="1:21" x14ac:dyDescent="0.2">
      <c r="A14" s="1" t="s">
        <v>259</v>
      </c>
      <c r="B14" s="1">
        <v>0.26102845890836401</v>
      </c>
      <c r="C14" s="1">
        <f>喷涂成本!B70</f>
        <v>0.26102791054750102</v>
      </c>
    </row>
    <row r="15" spans="1:21" x14ac:dyDescent="0.2">
      <c r="A15" s="1" t="s">
        <v>260</v>
      </c>
      <c r="B15" s="1">
        <v>0.56507218194736286</v>
      </c>
      <c r="C15" s="1">
        <f>喷涂成本!C70</f>
        <v>0.5650716552588867</v>
      </c>
    </row>
    <row r="16" spans="1:21" x14ac:dyDescent="0.2">
      <c r="A16" s="1" t="s">
        <v>261</v>
      </c>
      <c r="B16" s="1">
        <v>0.82610064085572688</v>
      </c>
      <c r="C16" s="1">
        <f>喷涂成本!D70</f>
        <v>0.82609956580638766</v>
      </c>
    </row>
    <row r="17" spans="1:15" ht="15" customHeight="1" x14ac:dyDescent="0.2">
      <c r="A17" s="1" t="s">
        <v>262</v>
      </c>
      <c r="B17" s="1">
        <v>1.1301443638947257</v>
      </c>
      <c r="C17" s="1">
        <f>喷涂成本!E70</f>
        <v>1.1301433105177734</v>
      </c>
    </row>
    <row r="18" spans="1:15" ht="27.75" customHeight="1" x14ac:dyDescent="0.2"/>
    <row r="21" spans="1:15" ht="24" thickBot="1" x14ac:dyDescent="0.25">
      <c r="A21" s="10" t="s">
        <v>211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5" ht="15" thickBot="1" x14ac:dyDescent="0.25">
      <c r="A22" s="13" t="s">
        <v>213</v>
      </c>
      <c r="B22" s="14"/>
      <c r="C22" s="13" t="s">
        <v>220</v>
      </c>
      <c r="D22" s="14"/>
      <c r="E22" s="13" t="s">
        <v>221</v>
      </c>
      <c r="F22" s="14"/>
      <c r="G22" s="13" t="s">
        <v>222</v>
      </c>
      <c r="H22" s="14"/>
      <c r="I22" s="13" t="s">
        <v>223</v>
      </c>
      <c r="J22" s="14"/>
    </row>
    <row r="23" spans="1:15" x14ac:dyDescent="0.2">
      <c r="A23" s="3" t="s">
        <v>212</v>
      </c>
      <c r="B23" s="4" t="s">
        <v>216</v>
      </c>
      <c r="C23" s="1">
        <f>B14</f>
        <v>0.26102845890836401</v>
      </c>
      <c r="D23" s="4">
        <v>1.3</v>
      </c>
      <c r="E23" s="7">
        <f>B15</f>
        <v>0.56507218194736286</v>
      </c>
      <c r="F23" s="4">
        <v>1.7</v>
      </c>
      <c r="G23" s="3">
        <f>B16</f>
        <v>0.82610064085572688</v>
      </c>
      <c r="H23" s="4">
        <v>2.1</v>
      </c>
      <c r="I23" s="1">
        <f>B17</f>
        <v>1.1301443638947257</v>
      </c>
      <c r="J23" s="4">
        <v>2.5</v>
      </c>
    </row>
    <row r="24" spans="1:15" ht="15" thickBot="1" x14ac:dyDescent="0.25">
      <c r="A24" s="5" t="s">
        <v>215</v>
      </c>
      <c r="B24" s="6" t="s">
        <v>214</v>
      </c>
      <c r="C24" s="5">
        <v>1.125</v>
      </c>
      <c r="D24" s="6">
        <v>1.25</v>
      </c>
      <c r="E24" s="8">
        <v>1.2</v>
      </c>
      <c r="F24" s="6">
        <v>1.5</v>
      </c>
      <c r="G24" s="5">
        <v>1.2250000000000001</v>
      </c>
      <c r="H24" s="6">
        <v>1.75</v>
      </c>
      <c r="I24" s="5">
        <v>1.25</v>
      </c>
      <c r="J24" s="6">
        <v>2</v>
      </c>
    </row>
    <row r="27" spans="1:15" ht="20.25" x14ac:dyDescent="0.2">
      <c r="A27" s="11" t="s">
        <v>224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4.25" customHeight="1" x14ac:dyDescent="0.2">
      <c r="A28" s="1" t="s">
        <v>225</v>
      </c>
      <c r="B28" s="1" t="s">
        <v>226</v>
      </c>
      <c r="C28" s="1" t="s">
        <v>229</v>
      </c>
      <c r="D28" s="1" t="s">
        <v>230</v>
      </c>
      <c r="E28" s="1" t="s">
        <v>228</v>
      </c>
      <c r="F28" s="1" t="s">
        <v>227</v>
      </c>
      <c r="G28" s="1" t="s">
        <v>231</v>
      </c>
      <c r="H28" s="1" t="s">
        <v>232</v>
      </c>
      <c r="I28" s="1" t="s">
        <v>233</v>
      </c>
      <c r="J28" s="1" t="s">
        <v>234</v>
      </c>
      <c r="K28" s="1" t="s">
        <v>235</v>
      </c>
      <c r="L28" s="1" t="s">
        <v>236</v>
      </c>
      <c r="M28" s="1" t="s">
        <v>237</v>
      </c>
      <c r="N28" s="1" t="s">
        <v>277</v>
      </c>
      <c r="O28" s="1" t="s">
        <v>258</v>
      </c>
    </row>
    <row r="29" spans="1:1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45" spans="1:12" x14ac:dyDescent="0.2">
      <c r="A45" s="1" t="s">
        <v>46</v>
      </c>
      <c r="B45" s="1" t="s">
        <v>47</v>
      </c>
      <c r="C45" s="1" t="s">
        <v>48</v>
      </c>
      <c r="D45" s="1" t="s">
        <v>49</v>
      </c>
      <c r="E45" s="1" t="s">
        <v>50</v>
      </c>
      <c r="F45" s="1" t="s">
        <v>51</v>
      </c>
      <c r="G45" s="1" t="s">
        <v>52</v>
      </c>
      <c r="H45" s="1" t="s">
        <v>53</v>
      </c>
      <c r="I45" s="1" t="s">
        <v>54</v>
      </c>
      <c r="J45" s="1" t="s">
        <v>55</v>
      </c>
      <c r="K45" s="1" t="s">
        <v>256</v>
      </c>
      <c r="L45" s="1" t="s">
        <v>280</v>
      </c>
    </row>
    <row r="46" spans="1:12" x14ac:dyDescent="0.2">
      <c r="A46" s="1" t="s">
        <v>56</v>
      </c>
      <c r="B46" s="1" t="s">
        <v>57</v>
      </c>
      <c r="C46" s="1">
        <v>0</v>
      </c>
      <c r="D46" s="1" t="s">
        <v>57</v>
      </c>
      <c r="E46" s="1" t="s">
        <v>57</v>
      </c>
      <c r="F46" s="1">
        <v>0</v>
      </c>
      <c r="G46" s="1" t="s">
        <v>57</v>
      </c>
      <c r="H46" s="1" t="s">
        <v>57</v>
      </c>
      <c r="I46" s="1" t="s">
        <v>57</v>
      </c>
      <c r="J46" s="1">
        <v>8.8950169979999991</v>
      </c>
      <c r="K46" s="1">
        <v>0</v>
      </c>
      <c r="L46" s="1" t="s">
        <v>281</v>
      </c>
    </row>
    <row r="47" spans="1:12" x14ac:dyDescent="0.2">
      <c r="A47" s="1" t="s">
        <v>58</v>
      </c>
      <c r="B47" s="1">
        <f>M92</f>
        <v>259.76316629802994</v>
      </c>
      <c r="C47" s="1">
        <f>M68</f>
        <v>0.90000126121442758</v>
      </c>
      <c r="D47" s="1">
        <f>M89</f>
        <v>220.09861983795059</v>
      </c>
      <c r="E47" s="1">
        <f>M94</f>
        <v>65.290850215340058</v>
      </c>
      <c r="F47" s="1">
        <f>10*S6</f>
        <v>10</v>
      </c>
      <c r="G47" s="1">
        <f>M100</f>
        <v>34.865149637526265</v>
      </c>
      <c r="H47" s="1">
        <f>M101</f>
        <v>6.7156443638947252</v>
      </c>
      <c r="I47" s="1">
        <f>M102</f>
        <v>14.561433091684176</v>
      </c>
      <c r="J47" s="1">
        <f>M103</f>
        <v>153.11816545842089</v>
      </c>
      <c r="K47" s="1" t="s">
        <v>257</v>
      </c>
      <c r="L47" s="1">
        <f>M60</f>
        <v>7.8457887277894507</v>
      </c>
    </row>
    <row r="48" spans="1:12" x14ac:dyDescent="0.2">
      <c r="A48" s="1" t="s">
        <v>59</v>
      </c>
      <c r="B48" s="1">
        <f>M91</f>
        <v>43.827918322820075</v>
      </c>
      <c r="C48" s="1">
        <f>M69</f>
        <v>4.3148569178167282</v>
      </c>
      <c r="D48" s="1">
        <f>M88</f>
        <v>69.379027841742541</v>
      </c>
      <c r="E48" s="1">
        <f>M95</f>
        <v>29.744944132314288</v>
      </c>
      <c r="F48" s="1">
        <f>M70</f>
        <v>4.6734476791811224</v>
      </c>
      <c r="G48" s="1">
        <f>M66</f>
        <v>14.061433091684176</v>
      </c>
      <c r="H48" s="1">
        <f>M63</f>
        <v>2.6596346819473626</v>
      </c>
      <c r="I48" s="1">
        <f>M62</f>
        <v>3.5971346819473626</v>
      </c>
      <c r="J48" s="1" t="s">
        <v>60</v>
      </c>
      <c r="K48" s="1" t="s">
        <v>60</v>
      </c>
      <c r="L48" s="1">
        <f>M104</f>
        <v>0</v>
      </c>
    </row>
    <row r="49" spans="1:17" x14ac:dyDescent="0.2">
      <c r="A49" s="1" t="s">
        <v>61</v>
      </c>
      <c r="B49" s="1">
        <f>B47</f>
        <v>259.76316629802994</v>
      </c>
      <c r="C49" s="1">
        <f>C47</f>
        <v>0.90000126121442758</v>
      </c>
      <c r="D49" s="1">
        <f>D47</f>
        <v>220.09861983795059</v>
      </c>
      <c r="E49" s="1">
        <f>E47</f>
        <v>65.290850215340058</v>
      </c>
      <c r="F49" s="1">
        <f>F46</f>
        <v>0</v>
      </c>
      <c r="G49" s="1">
        <f>G47</f>
        <v>34.865149637526265</v>
      </c>
      <c r="H49" s="1">
        <f>H47</f>
        <v>6.7156443638947252</v>
      </c>
      <c r="I49" s="1">
        <f>I47</f>
        <v>14.561433091684176</v>
      </c>
      <c r="J49" s="1">
        <f>J47</f>
        <v>153.11816545842089</v>
      </c>
      <c r="K49" s="1">
        <f>K46</f>
        <v>0</v>
      </c>
      <c r="L49" s="1">
        <f>L47</f>
        <v>7.8457887277894507</v>
      </c>
    </row>
    <row r="51" spans="1:17" ht="25.5" x14ac:dyDescent="0.2">
      <c r="A51" s="15" t="s">
        <v>62</v>
      </c>
      <c r="B51" s="15"/>
      <c r="C51" s="15"/>
      <c r="D51" s="15"/>
      <c r="E51" s="15"/>
      <c r="F51" s="15"/>
      <c r="G51" s="15"/>
      <c r="H51" s="15"/>
      <c r="I51" s="15"/>
    </row>
    <row r="52" spans="1:17" x14ac:dyDescent="0.2">
      <c r="C52" s="2" t="s">
        <v>63</v>
      </c>
      <c r="D52" s="2"/>
      <c r="E52" s="2"/>
      <c r="F52" s="2"/>
      <c r="G52" s="2"/>
    </row>
    <row r="53" spans="1:17" x14ac:dyDescent="0.2">
      <c r="A53" s="1" t="s">
        <v>64</v>
      </c>
      <c r="B53" s="1" t="s">
        <v>65</v>
      </c>
      <c r="C53" s="1" t="s">
        <v>66</v>
      </c>
      <c r="D53" s="1" t="s">
        <v>238</v>
      </c>
      <c r="E53" s="1" t="s">
        <v>239</v>
      </c>
      <c r="F53" s="1" t="s">
        <v>240</v>
      </c>
      <c r="G53" s="1" t="s">
        <v>241</v>
      </c>
      <c r="H53" s="1" t="s">
        <v>242</v>
      </c>
      <c r="I53" s="1" t="s">
        <v>243</v>
      </c>
      <c r="J53" s="1" t="s">
        <v>244</v>
      </c>
      <c r="K53" s="1" t="s">
        <v>245</v>
      </c>
      <c r="L53" s="1" t="s">
        <v>67</v>
      </c>
      <c r="M53" s="1" t="s">
        <v>68</v>
      </c>
      <c r="N53" s="1" t="s">
        <v>69</v>
      </c>
      <c r="P53" s="1" t="s">
        <v>70</v>
      </c>
    </row>
    <row r="54" spans="1:17" ht="19.5" x14ac:dyDescent="0.2">
      <c r="A54" s="12" t="s">
        <v>71</v>
      </c>
      <c r="B54" s="12"/>
      <c r="C54" s="12"/>
      <c r="D54" s="12"/>
      <c r="E54" s="12"/>
      <c r="F54" s="12"/>
      <c r="G54" s="12"/>
      <c r="H54" s="12"/>
      <c r="I54" s="12"/>
    </row>
    <row r="55" spans="1:17" x14ac:dyDescent="0.2">
      <c r="A55" s="1" t="s">
        <v>72</v>
      </c>
      <c r="B55" s="1" t="s">
        <v>73</v>
      </c>
      <c r="C55" s="1">
        <f>$A$29+($B$6+$C$3*$B$9)/$C$2</f>
        <v>5.5342000000000002</v>
      </c>
      <c r="D55" s="1">
        <f>($A$29+($B$6+$C$3*$B$9*D$23)/$C$2+C$23)/C$24</f>
        <v>5.1604341856963236</v>
      </c>
      <c r="E55" s="1">
        <f>($A$29+($B$6+$C$3*$B$9*D$23)/D$24/$C$2+C$23)</f>
        <v>4.6965964589083642</v>
      </c>
      <c r="F55" s="1">
        <f>($A$29+($B$6+$C$3*$B$9*F$23)/$C$2+E$23)/E$24</f>
        <v>5.1026768182894688</v>
      </c>
      <c r="G55" s="1">
        <f>($A$29+($B$6+$C$3*$B$9*F$23)/F$24/$C$2+E$23)</f>
        <v>4.2704988486140296</v>
      </c>
      <c r="H55" s="1">
        <f>($A$29+($B$6+$C$3*$B$9*H$23)/$C$2+G$23)/G$24</f>
        <v>5.2227923598822255</v>
      </c>
      <c r="I55" s="1">
        <f>($A$29+($B$6+$C$3*$B$9*H$23)/H$24/$C$2+G$23)</f>
        <v>4.0099977837128691</v>
      </c>
      <c r="J55" s="1">
        <f>($A$29+($B$6+$C$3*$B$9*J$23)/$C$2+I$23)/I$24</f>
        <v>5.37251549111578</v>
      </c>
      <c r="K55" s="1">
        <f>($A$29+($B$6+$C$3*$B$9*J$23)/J$24/$C$2+I$23)</f>
        <v>3.9228943638947253</v>
      </c>
      <c r="L55" s="1">
        <f>MIN(C55:K55)</f>
        <v>3.9228943638947253</v>
      </c>
      <c r="M55" s="1">
        <f>L55</f>
        <v>3.9228943638947253</v>
      </c>
      <c r="N55" s="1" t="str">
        <f>IF(C55=M55,$C$53,"")&amp;IF(D55=M55,$D$53,"")&amp;IF(E55=M55,$E$53,"")&amp;IF(F55=M55,$F$53,"")&amp;IF(G55=M55,$G$53,"")&amp;IF(H55=M55,$H$53,"")&amp;IF(I55=M55,$I$53,"")&amp;IF(J55=M55,$J$53,"")&amp;IF(K55=M55,$K$53,"")</f>
        <v>4喷涂加速</v>
      </c>
      <c r="O55" s="1" t="s">
        <v>72</v>
      </c>
      <c r="P55" s="1">
        <f t="shared" ref="P55:P70" si="0">60*318310/M55</f>
        <v>4868497.1422576215</v>
      </c>
      <c r="Q55" s="1" t="s">
        <v>74</v>
      </c>
    </row>
    <row r="56" spans="1:17" x14ac:dyDescent="0.2">
      <c r="A56" s="1" t="s">
        <v>75</v>
      </c>
      <c r="B56" s="1" t="s">
        <v>76</v>
      </c>
      <c r="C56" s="1">
        <f>$B$29+($B$6+$C$3*$B$9)/$C$2</f>
        <v>5.5342000000000002</v>
      </c>
      <c r="D56" s="1">
        <f>($B$29+($B$6+$C$3*$B$9*D$23)/$C$2+C$23)/C$24</f>
        <v>5.1604341856963236</v>
      </c>
      <c r="E56" s="1">
        <f>($B$29+($B$6+$C$3*$B$9*D$23)/D$24/$C$2+C$23)</f>
        <v>4.6965964589083642</v>
      </c>
      <c r="F56" s="1">
        <f>($B$29+($B$6+$C$3*$B$9*F$23)/$C$2+E$23)/E$24</f>
        <v>5.1026768182894688</v>
      </c>
      <c r="G56" s="1">
        <f>($B$29+($B$6+$C$3*$B$9*F$23)/F$24/$C$2+E$23)</f>
        <v>4.2704988486140296</v>
      </c>
      <c r="H56" s="1">
        <f>($B$29+($B$6+$C$3*$B$9*H$23)/$C$2+G$23)/G$24</f>
        <v>5.2227923598822255</v>
      </c>
      <c r="I56" s="1">
        <f>($B$29+($B$6+$C$3*$B$9*H$23)/H$24/$C$2+G$23)</f>
        <v>4.0099977837128691</v>
      </c>
      <c r="J56" s="1">
        <f>($B$29+($B$6+$C$3*$B$9*J$23)/$C$2+I$23)/I$24</f>
        <v>5.37251549111578</v>
      </c>
      <c r="K56" s="1">
        <f>($B$29+($B$6+$C$3*$B$9*J$23)/J$24/$C$2+I$23)</f>
        <v>3.9228943638947253</v>
      </c>
      <c r="L56" s="1">
        <f t="shared" ref="L56:L119" si="1">MIN(C56:K56)</f>
        <v>3.9228943638947253</v>
      </c>
      <c r="M56" s="1">
        <f t="shared" ref="M56:M119" si="2">L56</f>
        <v>3.9228943638947253</v>
      </c>
      <c r="N56" s="1" t="str">
        <f>IF(C56=M56,$C$53,"")&amp;IF(D56=M56,$D$53,"")&amp;IF(E56=M56,$E$53,"")&amp;IF(F56=M56,$F$53,"")&amp;IF(G56=M56,$G$53,"")&amp;IF(H56=M56,$H$53,"")&amp;IF(I56=M56,$I$53,"")&amp;IF(J56=M56,$J$53,"")&amp;IF(K56=M56,$K$53,"")</f>
        <v>4喷涂加速</v>
      </c>
      <c r="O56" s="1" t="s">
        <v>75</v>
      </c>
      <c r="P56" s="1">
        <f t="shared" si="0"/>
        <v>4868497.1422576215</v>
      </c>
      <c r="Q56" s="1" t="s">
        <v>74</v>
      </c>
    </row>
    <row r="57" spans="1:17" x14ac:dyDescent="0.2">
      <c r="A57" s="1" t="s">
        <v>77</v>
      </c>
      <c r="B57" s="1" t="s">
        <v>78</v>
      </c>
      <c r="C57" s="1">
        <f>2*$C$29+2*($B$6+$C$3*$B$9)/$C$2</f>
        <v>11.0684</v>
      </c>
      <c r="D57" s="1">
        <f>(2*$C$29+2*($B$6+$C$3*$B$9*D$23)/$C$2+2*C$23)/C$24</f>
        <v>10.320868371392647</v>
      </c>
      <c r="E57" s="1">
        <f>(2*$C$29+2*($B$6+$C$3*$B$9*D$23)/D$24/$C$2+2*C$23)</f>
        <v>9.3931929178167284</v>
      </c>
      <c r="F57" s="1">
        <f>(2*$C$29+2*($B$6+$C$3*$B$9*F$23)/$C$2+2*E$23)/E$24</f>
        <v>10.205353636578938</v>
      </c>
      <c r="G57" s="1">
        <f>(2*$C$29+2*($B$6+$C$3*$B$9*F$23)/F$24/$C$2+2*E$23)</f>
        <v>8.5409976972280592</v>
      </c>
      <c r="H57" s="1">
        <f>(2*$C$29+2*($B$6+$C$3*$B$9*H$23)/$C$2+2*G$23)/G$24</f>
        <v>10.445584719764451</v>
      </c>
      <c r="I57" s="1">
        <f>(2*$C$29+2*($B$6+$C$3*$B$9*H$23)/H$24/$C$2+2*G$23)</f>
        <v>8.0199955674257382</v>
      </c>
      <c r="J57" s="1">
        <f>(2*$C$29+2*($B$6+$C$3*$B$9*J$23)/$C$2+2*I$23)/I$24</f>
        <v>10.74503098223156</v>
      </c>
      <c r="K57" s="1">
        <f>(2*$C$29+2*($B$6+$C$3*$B$9*J$23)/J$24/$C$2+2*I$23)</f>
        <v>7.8457887277894507</v>
      </c>
      <c r="L57" s="1">
        <f t="shared" si="1"/>
        <v>7.8457887277894507</v>
      </c>
      <c r="M57" s="1">
        <f t="shared" si="2"/>
        <v>7.8457887277894507</v>
      </c>
      <c r="N57" s="1" t="str">
        <f t="shared" ref="N57:N119" si="3">IF(C57=M57,$C$53,"")&amp;IF(D57=M57,$D$53,"")&amp;IF(E57=M57,$E$53,"")&amp;IF(F57=M57,$F$53,"")&amp;IF(G57=M57,$G$53,"")&amp;IF(H57=M57,$H$53,"")&amp;IF(I57=M57,$I$53,"")&amp;IF(J57=M57,$J$53,"")&amp;IF(K57=M57,$K$53,"")</f>
        <v>4喷涂加速</v>
      </c>
      <c r="O57" s="1" t="s">
        <v>77</v>
      </c>
      <c r="P57" s="1">
        <f t="shared" si="0"/>
        <v>2434248.5711288108</v>
      </c>
      <c r="Q57" s="1" t="s">
        <v>74</v>
      </c>
    </row>
    <row r="58" spans="1:17" x14ac:dyDescent="0.2">
      <c r="A58" s="1" t="s">
        <v>79</v>
      </c>
      <c r="B58" s="1" t="s">
        <v>80</v>
      </c>
      <c r="C58" s="1">
        <f>2*$D$29+2*($B$6+$C$3*$B$9)/$C$2</f>
        <v>11.0684</v>
      </c>
      <c r="D58" s="1">
        <f>(2*$D$29+2*($B$6+$C$3*$B$9*D$23)/$C$2+2*C$23)/C$24</f>
        <v>10.320868371392647</v>
      </c>
      <c r="E58" s="1">
        <f>(2*$D$29+2*($B$6+$C$3*$B$9*D$23)/D$24/$C$2+2*C$23)</f>
        <v>9.3931929178167284</v>
      </c>
      <c r="F58" s="1">
        <f>(2*$D$29+2*($B$6+$C$3*$B$9*F$23)/$C$2+2*E$23)/E$24</f>
        <v>10.205353636578938</v>
      </c>
      <c r="G58" s="1">
        <f>(2*$D$29+2*($B$6+$C$3*$B$9*F$23)/F$24/$C$2+2*E$23)</f>
        <v>8.5409976972280592</v>
      </c>
      <c r="H58" s="1">
        <f>(2*$D$29+2*($B$6+$C$3*$B$9*H$23)/$C$2+2*G$23)/G$24</f>
        <v>10.445584719764451</v>
      </c>
      <c r="I58" s="1">
        <f>(2*$D$29+2*($B$6+$C$3*$B$9*H$23)/H$24/$C$2+2*G$23)</f>
        <v>8.0199955674257382</v>
      </c>
      <c r="J58" s="1">
        <f>(2*$D$29+2*($B$6+$C$3*$B$9*J$23)/$C$2+2*I$23)/I$24</f>
        <v>10.74503098223156</v>
      </c>
      <c r="K58" s="1">
        <f>(2*$D$29+2*($B$6+$C$3*$B$9*J$23)/J$24/$C$2+2*I$23)</f>
        <v>7.8457887277894507</v>
      </c>
      <c r="L58" s="1">
        <f t="shared" si="1"/>
        <v>7.8457887277894507</v>
      </c>
      <c r="M58" s="1">
        <f t="shared" si="2"/>
        <v>7.8457887277894507</v>
      </c>
      <c r="N58" s="1" t="str">
        <f t="shared" si="3"/>
        <v>4喷涂加速</v>
      </c>
      <c r="O58" s="1" t="s">
        <v>79</v>
      </c>
      <c r="P58" s="1">
        <f t="shared" si="0"/>
        <v>2434248.5711288108</v>
      </c>
      <c r="Q58" s="1" t="s">
        <v>74</v>
      </c>
    </row>
    <row r="59" spans="1:17" x14ac:dyDescent="0.2">
      <c r="A59" s="1" t="s">
        <v>81</v>
      </c>
      <c r="B59" s="1" t="s">
        <v>82</v>
      </c>
      <c r="C59" s="1">
        <f>$E$29+($B$6+$C$3*$B$9)/$C$2</f>
        <v>5.5342000000000002</v>
      </c>
      <c r="D59" s="1">
        <f>($E$29+($B$6+$C$3*$B$9*D$23)/$C$2+C$23)/C$24</f>
        <v>5.1604341856963236</v>
      </c>
      <c r="E59" s="1">
        <f>($E$29+($B$6+$C$3*$B$9*D$23)/D$24/$C$2+C$23)</f>
        <v>4.6965964589083642</v>
      </c>
      <c r="F59" s="1">
        <f>($E$29+($B$6+$C$3*$B$9*F$23)/$C$2+E$23)/E$24</f>
        <v>5.1026768182894688</v>
      </c>
      <c r="G59" s="1">
        <f>($E$29+($B$6+$C$3*$B$9*F$23)/F$24/$C$2+E$23)</f>
        <v>4.2704988486140296</v>
      </c>
      <c r="H59" s="1">
        <f>($E$29+($B$6+$C$3*$B$9*H$23)/$C$2+G$23)/G$24</f>
        <v>5.2227923598822255</v>
      </c>
      <c r="I59" s="1">
        <f>($E$29+($B$6+$C$3*$B$9*H$23)/H$24/$C$2+G$23)</f>
        <v>4.0099977837128691</v>
      </c>
      <c r="J59" s="1">
        <f>($E$29+($B$6+$C$3*$B$9*J$23)/$C$2+I$23)/I$24</f>
        <v>5.37251549111578</v>
      </c>
      <c r="K59" s="1">
        <f>($E$29+($B$6+$C$3*$B$9*J$23)/J$24/$C$2+I$23)</f>
        <v>3.9228943638947253</v>
      </c>
      <c r="L59" s="1">
        <f t="shared" si="1"/>
        <v>3.9228943638947253</v>
      </c>
      <c r="M59" s="1">
        <f t="shared" si="2"/>
        <v>3.9228943638947253</v>
      </c>
      <c r="N59" s="1" t="str">
        <f t="shared" si="3"/>
        <v>4喷涂加速</v>
      </c>
      <c r="O59" s="1" t="s">
        <v>81</v>
      </c>
      <c r="P59" s="1">
        <f t="shared" si="0"/>
        <v>4868497.1422576215</v>
      </c>
      <c r="Q59" s="1" t="s">
        <v>74</v>
      </c>
    </row>
    <row r="60" spans="1:17" x14ac:dyDescent="0.2">
      <c r="A60" s="1" t="s">
        <v>83</v>
      </c>
      <c r="B60" s="1" t="s">
        <v>84</v>
      </c>
      <c r="C60" s="1">
        <f>2*$F$29+2*($B$6+$C$3*$B$9)/$C$2</f>
        <v>11.0684</v>
      </c>
      <c r="D60" s="1">
        <f>(2*$F$29+2*($B$6+$C$3*$B$9*D$23)/$C$2+2*C$23)/C$24</f>
        <v>10.320868371392647</v>
      </c>
      <c r="E60" s="1">
        <f>(2*$F$29+2*($B$6+$C$3*$B$9*D$23)/D$24/$C$2+2*C$23)</f>
        <v>9.3931929178167284</v>
      </c>
      <c r="F60" s="1">
        <f>(2*$F$29+2*($B$6+$C$3*$B$9*F$23)/$C$2+2*E$23)/E$24</f>
        <v>10.205353636578938</v>
      </c>
      <c r="G60" s="1">
        <f>(2*$F$29+2*($B$6+$C$3*$B$9*F$23)/F$24/$C$2+2*E$23)</f>
        <v>8.5409976972280592</v>
      </c>
      <c r="H60" s="1">
        <f>(2*$F$29+2*($B$6+$C$3*$B$9*H$23)/$C$2+2*G$23)/G$24</f>
        <v>10.445584719764451</v>
      </c>
      <c r="I60" s="1">
        <f>(2*$F$29+2*($B$6+$C$3*$B$9*H$23)/H$24/$C$2+2*G$23)</f>
        <v>8.0199955674257382</v>
      </c>
      <c r="J60" s="1">
        <f>(2*$F$29+2*($B$6+$C$3*$B$9*J$23)/$C$2+2*I$23)/I$24</f>
        <v>10.74503098223156</v>
      </c>
      <c r="K60" s="1">
        <f>(2*$F$29+2*($B$6+$C$3*$B$9*J$23)/J$24/$C$2+2*I$23)</f>
        <v>7.8457887277894507</v>
      </c>
      <c r="L60" s="1">
        <f t="shared" si="1"/>
        <v>7.8457887277894507</v>
      </c>
      <c r="M60" s="1">
        <f t="shared" si="2"/>
        <v>7.8457887277894507</v>
      </c>
      <c r="N60" s="1" t="str">
        <f t="shared" si="3"/>
        <v>4喷涂加速</v>
      </c>
      <c r="O60" s="1" t="s">
        <v>83</v>
      </c>
      <c r="P60" s="1">
        <f t="shared" si="0"/>
        <v>2434248.5711288108</v>
      </c>
      <c r="Q60" s="1" t="s">
        <v>74</v>
      </c>
    </row>
    <row r="61" spans="1:17" x14ac:dyDescent="0.2">
      <c r="A61" s="1" t="s">
        <v>85</v>
      </c>
      <c r="B61" s="1" t="s">
        <v>86</v>
      </c>
      <c r="C61" s="1">
        <f>2*$E$29+2*($B$6+$C$3*$B$9)/$C$2</f>
        <v>11.0684</v>
      </c>
      <c r="D61" s="1">
        <f>(2*$E$29+2*($B$6+$C$3*$B$9*D$23)/$C$2+2*C$23)/C$24</f>
        <v>10.320868371392647</v>
      </c>
      <c r="E61" s="1">
        <f>(2*$E$29+2*($B$6+$C$3*$B$9*D$23)/D$24/$C$2+2*C$23)</f>
        <v>9.3931929178167284</v>
      </c>
      <c r="F61" s="1">
        <f>(2*$E$29+2*($B$6+$C$3*$B$9*F$23)/$C$2+2*E$23)/E$24</f>
        <v>10.205353636578938</v>
      </c>
      <c r="G61" s="1">
        <f>(2*$E$29+2*($B$6+$C$3*$B$9*F$23)/F$24/$C$2+2*E$23)</f>
        <v>8.5409976972280592</v>
      </c>
      <c r="H61" s="1">
        <f>(2*$E$29+2*($B$6+$C$3*$B$9*H$23)/$C$2+2*G$23)/G$24</f>
        <v>10.445584719764451</v>
      </c>
      <c r="I61" s="1">
        <f>(2*$E$29+2*($B$6+$C$3*$B$9*H$23)/H$24/$C$2+2*G$23)</f>
        <v>8.0199955674257382</v>
      </c>
      <c r="J61" s="1">
        <f>(2*$E$29+2*($B$6+$C$3*$B$9*J$23)/$C$2+2*I$23)/I$24</f>
        <v>10.74503098223156</v>
      </c>
      <c r="K61" s="1">
        <f>(2*$E$29+2*($B$6+$C$3*$B$9*J$23)/J$24/$C$2+2*I$23)</f>
        <v>7.8457887277894507</v>
      </c>
      <c r="L61" s="1">
        <f t="shared" si="1"/>
        <v>7.8457887277894507</v>
      </c>
      <c r="M61" s="1">
        <f t="shared" si="2"/>
        <v>7.8457887277894507</v>
      </c>
      <c r="N61" s="1" t="str">
        <f t="shared" si="3"/>
        <v>4喷涂加速</v>
      </c>
      <c r="O61" s="1" t="s">
        <v>85</v>
      </c>
      <c r="P61" s="1">
        <f t="shared" si="0"/>
        <v>2434248.5711288108</v>
      </c>
      <c r="Q61" s="1" t="s">
        <v>74</v>
      </c>
    </row>
    <row r="62" spans="1:17" x14ac:dyDescent="0.2">
      <c r="A62" s="1" t="s">
        <v>87</v>
      </c>
      <c r="B62" s="1" t="s">
        <v>88</v>
      </c>
      <c r="C62" s="1">
        <f>($G$29+1.5*($D$6+$B$3*$B$9)/$B$2)/2</f>
        <v>6.0256499999999997</v>
      </c>
      <c r="D62" s="1">
        <f>($G$29+1.5*($D$6+$B$3*$B$9*D$23)/$B$2+C$23)/C$24/2</f>
        <v>5.4789859817370505</v>
      </c>
      <c r="E62" s="1">
        <f>($G$29+1.5*($D$6+$B$3*$B$9*D$23)/D$24/$B$2+C$23)/2</f>
        <v>4.9571902294541816</v>
      </c>
      <c r="F62" s="1">
        <f>($G$29+1.5*($D$6+$B$3*$B$9*F$23)/$B$2+E$23)/E$24/2</f>
        <v>5.2717842424780681</v>
      </c>
      <c r="G62" s="1">
        <f>($G$29+1.5*($D$6+$B$3*$B$9*F$23)/F$24/$B$2+E$23)/2</f>
        <v>4.3116060909736813</v>
      </c>
      <c r="H62" s="1">
        <f>($G$29+1.5*($D$6+$B$3*$B$9*H$23)/$B$2+G$23)/G$24/2</f>
        <v>5.2791145472880503</v>
      </c>
      <c r="I62" s="1">
        <f>($G$29+1.5*($D$6+$B$3*$B$9*H$23)/H$24/$B$2+G$23)/2</f>
        <v>3.8724017489992919</v>
      </c>
      <c r="J62" s="1">
        <f>($G$29+1.5*($D$6+$B$3*$B$9*J$23)/$B$2+I$23)/I$24/2</f>
        <v>5.3033577455578902</v>
      </c>
      <c r="K62" s="1">
        <f>($G$29+1.5*($D$6+$B$3*$B$9*J$23)/J$24/$B$2+I$23)/2</f>
        <v>3.5971346819473626</v>
      </c>
      <c r="L62" s="1">
        <f t="shared" si="1"/>
        <v>3.5971346819473626</v>
      </c>
      <c r="M62" s="1">
        <f t="shared" si="2"/>
        <v>3.5971346819473626</v>
      </c>
      <c r="N62" s="1" t="str">
        <f t="shared" si="3"/>
        <v>4喷涂加速</v>
      </c>
      <c r="O62" s="1" t="s">
        <v>87</v>
      </c>
      <c r="P62" s="1">
        <f t="shared" si="0"/>
        <v>5309392.5272936085</v>
      </c>
      <c r="Q62" s="1" t="s">
        <v>74</v>
      </c>
    </row>
    <row r="63" spans="1:17" x14ac:dyDescent="0.2">
      <c r="A63" s="1" t="s">
        <v>89</v>
      </c>
      <c r="B63" s="1" t="s">
        <v>90</v>
      </c>
      <c r="C63" s="1">
        <f>($H$29+1.5*($B$6+$C$3*$B$9)/$C$2)/2</f>
        <v>4.1506500000000006</v>
      </c>
      <c r="D63" s="1">
        <f>($H$29+1.5*($B$6+$C$3*$B$9*D$23)/$C$2+C$23)/C$24/2</f>
        <v>3.8123193150703836</v>
      </c>
      <c r="E63" s="1">
        <f>($H$29+1.5*($B$6+$C$3*$B$9*D$23)/D$24/$C$2+C$23)/2</f>
        <v>3.4571902294541821</v>
      </c>
      <c r="F63" s="1">
        <f>($H$29+1.5*($B$6+$C$3*$B$9*F$23)/$C$2+E$23)/E$24/2</f>
        <v>3.7092842424780677</v>
      </c>
      <c r="G63" s="1">
        <f>($H$29+1.5*($B$6+$C$3*$B$9*F$23)/F$24/$C$2+E$23)/2</f>
        <v>3.0616060909736809</v>
      </c>
      <c r="H63" s="1">
        <f>($H$29+1.5*($B$6+$C$3*$B$9*H$23)/$C$2+G$23)/G$24/2</f>
        <v>3.7485023023900919</v>
      </c>
      <c r="I63" s="1">
        <f>($H$29+1.5*($B$6+$C$3*$B$9*H$23)/H$24/$C$2+G$23)/2</f>
        <v>2.8009731775707207</v>
      </c>
      <c r="J63" s="1">
        <f>($H$29+1.5*($B$6+$C$3*$B$9*J$23)/$C$2+I$23)/I$24/2</f>
        <v>3.8033577455578902</v>
      </c>
      <c r="K63" s="1">
        <f>($H$29+1.5*($B$6+$C$3*$B$9*J$23)/J$24/$C$2+I$23)/2</f>
        <v>2.6596346819473626</v>
      </c>
      <c r="L63" s="1">
        <f t="shared" si="1"/>
        <v>2.6596346819473626</v>
      </c>
      <c r="M63" s="1">
        <f t="shared" si="2"/>
        <v>2.6596346819473626</v>
      </c>
      <c r="N63" s="1" t="str">
        <f t="shared" si="3"/>
        <v>4喷涂加速</v>
      </c>
      <c r="O63" s="1" t="s">
        <v>89</v>
      </c>
      <c r="P63" s="1">
        <f t="shared" si="0"/>
        <v>7180911.0212144479</v>
      </c>
      <c r="Q63" s="1" t="s">
        <v>74</v>
      </c>
    </row>
    <row r="64" spans="1:17" x14ac:dyDescent="0.2">
      <c r="A64" s="1" t="s">
        <v>91</v>
      </c>
      <c r="B64" s="1" t="s">
        <v>92</v>
      </c>
      <c r="C64" s="1">
        <f>(2*$I$29+2*($I$6+$D$3*$B$9)/$D$2)/2</f>
        <v>15.3184</v>
      </c>
      <c r="D64" s="1">
        <f>(2*$I$29+2*($I$6+$D$3*$B$9*D$23)/$D$2+2*C$23)/C$24/2</f>
        <v>13.86662085236299</v>
      </c>
      <c r="E64" s="1">
        <f>(2*$I$29+2*($I$6+$D$3*$B$9*D$23)/D$24/$D$2+2*C$23)/2</f>
        <v>12.532164458908364</v>
      </c>
      <c r="F64" s="1">
        <f>(2*$I$29+2*($I$6+$D$3*$B$9*F$23)/$D$2+2*E$23)/E$24/2</f>
        <v>13.27612681828947</v>
      </c>
      <c r="G64" s="1">
        <f>(2*$I$29+2*($I$6+$D$3*$B$9*F$23)/F$24/$D$2+2*E$23)/2</f>
        <v>10.809258848614029</v>
      </c>
      <c r="H64" s="1">
        <f>(2*$I$29+2*($I$6+$D$3*$B$9*H$23)/$D$2+2*G$23)/G$24/2</f>
        <v>13.240604604780183</v>
      </c>
      <c r="I64" s="1">
        <f>(2*$I$29+2*($I$6+$D$3*$B$9*H$23)/H$24/$D$2+2*G$23)/2</f>
        <v>9.6224663551414409</v>
      </c>
      <c r="J64" s="1">
        <f>(2*$I$29+2*($I$6+$D$3*$B$9*J$23)/$D$2+2*I$23)/I$24/2</f>
        <v>13.24091549111578</v>
      </c>
      <c r="K64" s="1">
        <f>(2*$I$29+2*($I$6+$D$3*$B$9*J$23)/J$24/$D$2+2*I$23)/2</f>
        <v>8.8406443638947252</v>
      </c>
      <c r="L64" s="1">
        <f t="shared" si="1"/>
        <v>8.8406443638947252</v>
      </c>
      <c r="M64" s="1">
        <f t="shared" si="2"/>
        <v>8.8406443638947252</v>
      </c>
      <c r="N64" s="1" t="str">
        <f t="shared" si="3"/>
        <v>4喷涂加速</v>
      </c>
      <c r="O64" s="1" t="s">
        <v>91</v>
      </c>
      <c r="P64" s="1">
        <f t="shared" si="0"/>
        <v>2160317.6435870286</v>
      </c>
      <c r="Q64" s="1" t="s">
        <v>74</v>
      </c>
    </row>
    <row r="65" spans="1:17" x14ac:dyDescent="0.2">
      <c r="A65" s="1" t="s">
        <v>93</v>
      </c>
      <c r="B65" s="1" t="s">
        <v>94</v>
      </c>
      <c r="C65" s="1">
        <f>(2*$J$29+4*($N$6+$E$3*$B$9)/$E$2)/2</f>
        <v>17.182400000000001</v>
      </c>
      <c r="D65" s="1">
        <f>(2*$J$29+4*($N$6+$E$3*$B$9*D$23)/$E$2+2*C$23)/C$24/2</f>
        <v>15.553909741251879</v>
      </c>
      <c r="E65" s="1">
        <f>(2*$J$29+4*($N$6+$E$3*$B$9*D$23)/D$24/$E$2+2*C$23)/2</f>
        <v>14.050724458908364</v>
      </c>
      <c r="F65" s="1">
        <f>(2*$J$29+4*($N$6+$E$3*$B$9*F$23)/$E$2+2*E$23)/E$24/2</f>
        <v>14.895960151622804</v>
      </c>
      <c r="G65" s="1">
        <f>(2*$J$29+4*($N$6+$E$3*$B$9*F$23)/F$24/$E$2+2*E$23)/2</f>
        <v>12.105125515280696</v>
      </c>
      <c r="H65" s="1">
        <f>(2*$J$29+4*($N$6+$E$3*$B$9*H$23)/$E$2+2*G$23)/G$24/2</f>
        <v>14.864604604780187</v>
      </c>
      <c r="I65" s="1">
        <f>(2*$J$29+4*($N$6+$E$3*$B$9*H$23)/H$24/$E$2+2*G$23)/2</f>
        <v>10.759266355141442</v>
      </c>
      <c r="J65" s="1">
        <f>(2*$J$29+4*($N$6+$E$3*$B$9*J$23)/$E$2+2*I$23)/I$24/2</f>
        <v>14.86891549111578</v>
      </c>
      <c r="K65" s="1">
        <f>(2*$J$29+4*($N$6+$E$3*$B$9*J$23)/J$24/$E$2+2*I$23)/2</f>
        <v>9.8581443638947253</v>
      </c>
      <c r="L65" s="1">
        <f t="shared" si="1"/>
        <v>9.8581443638947253</v>
      </c>
      <c r="M65" s="1">
        <f t="shared" si="2"/>
        <v>9.8581443638947253</v>
      </c>
      <c r="N65" s="1" t="str">
        <f t="shared" si="3"/>
        <v>4喷涂加速</v>
      </c>
      <c r="O65" s="1" t="s">
        <v>93</v>
      </c>
      <c r="P65" s="1">
        <f t="shared" si="0"/>
        <v>1937342.2923231146</v>
      </c>
      <c r="Q65" s="1" t="s">
        <v>74</v>
      </c>
    </row>
    <row r="66" spans="1:17" x14ac:dyDescent="0.2">
      <c r="A66" s="1" t="s">
        <v>95</v>
      </c>
      <c r="B66" s="1" t="s">
        <v>96</v>
      </c>
      <c r="C66" s="1">
        <f>(6*$K$29+4*($H$6+$D$3*$B$9)/$D$2)/2</f>
        <v>21.136800000000001</v>
      </c>
      <c r="D66" s="1">
        <f>(6*$K$29+4*($H$6+$D$3*$B$9*D$23)/$D$2+6*C$23)/C$24/2</f>
        <v>19.520822557088973</v>
      </c>
      <c r="E66" s="1">
        <f>(6*$K$29+4*($H$6+$D$3*$B$9*D$23)/D$24/$D$2+6*C$23)/2</f>
        <v>17.725357376725093</v>
      </c>
      <c r="F66" s="1">
        <f>(6*$K$29+4*($H$6+$D$3*$B$9*F$23)/$D$2+6*E$23)/E$24/2</f>
        <v>19.106480454868407</v>
      </c>
      <c r="G66" s="1">
        <f>(6*$K$29+4*($H$6+$D$3*$B$9*F$23)/F$24/$D$2+6*E$23)/2</f>
        <v>15.850256545842088</v>
      </c>
      <c r="H66" s="1">
        <f>(6*$K$29+4*($H$6+$D$3*$B$9*H$23)/$D$2+6*G$23)/G$24/2</f>
        <v>19.400475038830351</v>
      </c>
      <c r="I66" s="1">
        <f>(6*$K$29+4*($H$6+$D$3*$B$9*H$23)/H$24/$D$2+6*G$23)/2</f>
        <v>14.642461922567179</v>
      </c>
      <c r="J66" s="1">
        <f>(6*$K$29+4*($H$6+$D$3*$B$9*J$23)/$D$2+6*I$23)/I$24/2</f>
        <v>19.785946473347341</v>
      </c>
      <c r="K66" s="1">
        <f>(6*$K$29+4*($H$6+$D$3*$B$9*J$23)/J$24/$D$2+6*I$23)/2</f>
        <v>14.061433091684176</v>
      </c>
      <c r="L66" s="1">
        <f t="shared" si="1"/>
        <v>14.061433091684176</v>
      </c>
      <c r="M66" s="1">
        <f t="shared" si="2"/>
        <v>14.061433091684176</v>
      </c>
      <c r="N66" s="1" t="str">
        <f t="shared" si="3"/>
        <v>4喷涂加速</v>
      </c>
      <c r="O66" s="1" t="s">
        <v>95</v>
      </c>
      <c r="P66" s="1">
        <f t="shared" si="0"/>
        <v>1358225.7139419713</v>
      </c>
      <c r="Q66" s="1" t="s">
        <v>74</v>
      </c>
    </row>
    <row r="67" spans="1:17" x14ac:dyDescent="0.2">
      <c r="A67" s="1" t="s">
        <v>97</v>
      </c>
      <c r="B67" s="1" t="s">
        <v>98</v>
      </c>
      <c r="C67" s="1">
        <f>$A$29+1.5*($B$6+$C$3*$B$9)/$C$2</f>
        <v>8.3013000000000012</v>
      </c>
      <c r="D67" s="1">
        <f>($A$29+1.5*($B$6+$C$3*$B$9*D$23)/$C$2+C$23)/C$24</f>
        <v>7.6246386301407671</v>
      </c>
      <c r="E67" s="1">
        <f>($A$29+1.5*($B$6+$C$3*$B$9*D$23)/D$24/$C$2+C$23)</f>
        <v>6.9143804589083642</v>
      </c>
      <c r="F67" s="1">
        <f>($A$29+1.5*($B$6+$C$3*$B$9*F$23)/$C$2+E$23)/E$24</f>
        <v>7.4185684849561353</v>
      </c>
      <c r="G67" s="1">
        <f>($A$29+1.5*($B$6+$C$3*$B$9*F$23)/F$24/$C$2+E$23)</f>
        <v>6.1232121819473617</v>
      </c>
      <c r="H67" s="1">
        <f>($A$29+1.5*($B$6+$C$3*$B$9*H$23)/$C$2+G$23)/G$24</f>
        <v>7.4970046047801837</v>
      </c>
      <c r="I67" s="1">
        <f>($A$29+1.5*($B$6+$C$3*$B$9*H$23)/H$24/$C$2+G$23)</f>
        <v>5.6019463551414415</v>
      </c>
      <c r="J67" s="1">
        <f>($A$29+1.5*($B$6+$C$3*$B$9*J$23)/$C$2+I$23)/I$24</f>
        <v>7.6067154911157804</v>
      </c>
      <c r="K67" s="1">
        <f>($A$29+1.5*($B$6+$C$3*$B$9*J$23)/J$24/$C$2+I$23)</f>
        <v>5.3192693638947253</v>
      </c>
      <c r="L67" s="1">
        <f t="shared" si="1"/>
        <v>5.3192693638947253</v>
      </c>
      <c r="M67" s="1">
        <f t="shared" si="2"/>
        <v>5.3192693638947253</v>
      </c>
      <c r="N67" s="1" t="str">
        <f t="shared" si="3"/>
        <v>4喷涂加速</v>
      </c>
      <c r="O67" s="1" t="s">
        <v>97</v>
      </c>
      <c r="P67" s="1">
        <f t="shared" si="0"/>
        <v>3590455.510607224</v>
      </c>
      <c r="Q67" s="1" t="s">
        <v>74</v>
      </c>
    </row>
    <row r="68" spans="1:17" x14ac:dyDescent="0.2">
      <c r="A68" s="1" t="s">
        <v>99</v>
      </c>
      <c r="B68" s="1" t="s">
        <v>100</v>
      </c>
      <c r="C68" s="1" t="s">
        <v>254</v>
      </c>
      <c r="D68" s="1" t="s">
        <v>254</v>
      </c>
      <c r="E68" s="1" t="s">
        <v>254</v>
      </c>
      <c r="F68" s="1" t="s">
        <v>254</v>
      </c>
      <c r="G68" s="1" t="s">
        <v>254</v>
      </c>
      <c r="H68" s="1" t="s">
        <v>254</v>
      </c>
      <c r="I68" s="1" t="s">
        <v>254</v>
      </c>
      <c r="J68" s="1" t="s">
        <v>254</v>
      </c>
      <c r="K68" s="1">
        <f>($L$29+$T$6+$B$9*$H$3+$I$23)/$H$2</f>
        <v>0.90000126121442758</v>
      </c>
      <c r="L68" s="1">
        <f>MIN(C68:K68)</f>
        <v>0.90000126121442758</v>
      </c>
      <c r="M68" s="1">
        <f t="shared" si="2"/>
        <v>0.90000126121442758</v>
      </c>
      <c r="N68" s="1" t="str">
        <f t="shared" si="3"/>
        <v>4喷涂加速</v>
      </c>
      <c r="O68" s="1" t="s">
        <v>255</v>
      </c>
      <c r="P68" s="1">
        <f t="shared" si="0"/>
        <v>21220636.929140601</v>
      </c>
      <c r="Q68" s="1" t="s">
        <v>74</v>
      </c>
    </row>
    <row r="69" spans="1:17" x14ac:dyDescent="0.2">
      <c r="A69" s="1" t="s">
        <v>102</v>
      </c>
      <c r="B69" s="1" t="s">
        <v>103</v>
      </c>
      <c r="C69" s="1">
        <f>(10*$L$29+2.5*($J$6+$F$3*$B$9)/$F$2)/5</f>
        <v>4.57</v>
      </c>
      <c r="D69" s="1" t="s">
        <v>101</v>
      </c>
      <c r="E69" s="1">
        <f>(10*$L$29+2.5*($J$6+$F$3*$B$9*D$23)/D$24/$F$2+10*C$23)/5</f>
        <v>4.3148569178167282</v>
      </c>
      <c r="F69" s="1" t="s">
        <v>101</v>
      </c>
      <c r="G69" s="1">
        <f>(10*$L$29+2.5*($J$6+$F$3*$B$9*F$23)/F$24/$F$2+10*E$23)/5</f>
        <v>4.4428110305613924</v>
      </c>
      <c r="H69" s="1" t="s">
        <v>101</v>
      </c>
      <c r="I69" s="1">
        <f>(10*$L$29+2.5*($J$6+$F$3*$B$9*H$23)/H$24/$F$2+10*G$23)/5</f>
        <v>4.6219155674257397</v>
      </c>
      <c r="J69" s="1" t="s">
        <v>101</v>
      </c>
      <c r="K69" s="1">
        <f>(10*$L$29+2.5*($J$6+$F$3*$B$9*J$23)/J$24/$F$2+10*I$23)/5</f>
        <v>4.9727887277894514</v>
      </c>
      <c r="L69" s="1">
        <f t="shared" si="1"/>
        <v>4.3148569178167282</v>
      </c>
      <c r="M69" s="1">
        <f t="shared" si="2"/>
        <v>4.3148569178167282</v>
      </c>
      <c r="N69" s="1" t="str">
        <f t="shared" si="3"/>
        <v>1喷涂加速</v>
      </c>
      <c r="O69" s="1" t="s">
        <v>102</v>
      </c>
      <c r="P69" s="1">
        <f t="shared" si="0"/>
        <v>4426241.7882592706</v>
      </c>
      <c r="Q69" s="1" t="s">
        <v>74</v>
      </c>
    </row>
    <row r="70" spans="1:17" x14ac:dyDescent="0.2">
      <c r="A70" s="1" t="s">
        <v>104</v>
      </c>
      <c r="B70" s="1" t="s">
        <v>105</v>
      </c>
      <c r="C70" s="1">
        <f>((0.1*$M$117)+60*$S$6)/12</f>
        <v>9.3374774886631222</v>
      </c>
      <c r="D70" s="1" t="s">
        <v>101</v>
      </c>
      <c r="E70" s="1">
        <f>(0.1*$M$117+60*$S$6+0.1*C$23)/12/D$24</f>
        <v>7.4717221806565535</v>
      </c>
      <c r="F70" s="1" t="s">
        <v>101</v>
      </c>
      <c r="G70" s="1">
        <f>(0.1*$M$117+60*$S$6+0.1*E$23)/12/F$24</f>
        <v>6.2281242823417893</v>
      </c>
      <c r="H70" s="1" t="s">
        <v>101</v>
      </c>
      <c r="I70" s="1">
        <f>(0.1*$M$117+60*$S$6+0.1*G$23)/12/H$24</f>
        <v>5.3396352346687168</v>
      </c>
      <c r="J70" s="1" t="s">
        <v>101</v>
      </c>
      <c r="K70" s="1">
        <f>(0.1*$M$117+60*$S$6+0.1*I$23)/12/J$24</f>
        <v>4.6734476791811224</v>
      </c>
      <c r="L70" s="1">
        <f t="shared" si="1"/>
        <v>4.6734476791811224</v>
      </c>
      <c r="M70" s="1">
        <f t="shared" si="2"/>
        <v>4.6734476791811224</v>
      </c>
      <c r="N70" s="1" t="str">
        <f t="shared" si="3"/>
        <v>4喷涂加速</v>
      </c>
      <c r="O70" s="1" t="s">
        <v>106</v>
      </c>
      <c r="P70" s="1">
        <f t="shared" si="0"/>
        <v>4086618.9826150876</v>
      </c>
      <c r="Q70" s="1" t="s">
        <v>74</v>
      </c>
    </row>
    <row r="71" spans="1:17" x14ac:dyDescent="0.2">
      <c r="M71" s="1">
        <f t="shared" si="2"/>
        <v>0</v>
      </c>
    </row>
    <row r="72" spans="1:17" x14ac:dyDescent="0.2">
      <c r="M72" s="1">
        <f t="shared" si="2"/>
        <v>0</v>
      </c>
    </row>
    <row r="73" spans="1:17" x14ac:dyDescent="0.2">
      <c r="M73" s="1">
        <f t="shared" si="2"/>
        <v>0</v>
      </c>
    </row>
    <row r="74" spans="1:17" ht="19.5" x14ac:dyDescent="0.2">
      <c r="A74" s="12" t="s">
        <v>107</v>
      </c>
      <c r="B74" s="12"/>
      <c r="C74" s="12"/>
      <c r="D74" s="12"/>
      <c r="E74" s="12"/>
      <c r="F74" s="12"/>
      <c r="G74" s="12"/>
      <c r="H74" s="12"/>
      <c r="I74" s="12"/>
      <c r="M74" s="1">
        <f t="shared" si="2"/>
        <v>0</v>
      </c>
    </row>
    <row r="75" spans="1:17" x14ac:dyDescent="0.2">
      <c r="A75" s="1" t="s">
        <v>108</v>
      </c>
      <c r="B75" s="1" t="s">
        <v>109</v>
      </c>
      <c r="C75" s="1">
        <f>((2*$M$67+$M$56)+($E$6+$B$3*$B$9)/$B$2)/2</f>
        <v>12.964483212508755</v>
      </c>
      <c r="D75" s="1">
        <f>((2*$M$67+$M$56)+($E$6+$B$3*$B$9*D23)/$B$2+3*C23)/2/C24</f>
        <v>11.876583022996712</v>
      </c>
      <c r="E75" s="1">
        <f>((2*$M$67+$M$56)+($E$6+$B$3*$B$9*D23)/$B$2/D24+3*C23)/2</f>
        <v>12.223376567537969</v>
      </c>
      <c r="F75" s="1">
        <f>((2*$M$67+$M$56)+($E$6+$B$3*$B$9*F23)/$B$2+3*E23)/2/E24</f>
        <v>11.520051237858167</v>
      </c>
      <c r="G75" s="1">
        <f>((2*$M$67+$M$56)+($E$6+$B$3*$B$9*F23)/$B$2/F24+3*E23)/2</f>
        <v>11.92548259654091</v>
      </c>
      <c r="H75" s="1">
        <f>((2*$M$67+$M$56)+($E$6+$B$3*$B$9*H23)/$B$2+3*G23)/2/G24</f>
        <v>11.610158509218239</v>
      </c>
      <c r="I75" s="1">
        <f>((2*$M$67+$M$56)+($E$6+$B$3*$B$9*H23)/$B$2/H24+3*G23)/2</f>
        <v>11.778482745220916</v>
      </c>
      <c r="J75" s="1">
        <f>((2*$M$67+$M$56)+($E$6+$B$3*$B$9*J23)/$B$2+3*I23)/2/I24</f>
        <v>11.748279806680674</v>
      </c>
      <c r="K75" s="1">
        <f>((2*$M$67+$M$56)+($E$6+$B$3*$B$9*J23)/$B$2/J24+3*I23)/2</f>
        <v>11.830641425017509</v>
      </c>
      <c r="L75" s="1">
        <f t="shared" si="1"/>
        <v>11.520051237858167</v>
      </c>
      <c r="M75" s="1">
        <f t="shared" si="2"/>
        <v>11.520051237858167</v>
      </c>
      <c r="N75" s="1" t="str">
        <f t="shared" si="3"/>
        <v>2喷涂增产</v>
      </c>
      <c r="O75" s="1" t="s">
        <v>108</v>
      </c>
      <c r="P75" s="1">
        <f t="shared" ref="P75:P104" si="4">60*318310/M75</f>
        <v>1657857.2096308535</v>
      </c>
      <c r="Q75" s="1" t="s">
        <v>74</v>
      </c>
    </row>
    <row r="76" spans="1:17" x14ac:dyDescent="0.2">
      <c r="A76" s="1" t="s">
        <v>110</v>
      </c>
      <c r="B76" s="1" t="s">
        <v>111</v>
      </c>
      <c r="C76" s="1">
        <f>((3*$M$55)+3*($B$6+$C$3*$B$9)/$C$2)</f>
        <v>28.371283091684177</v>
      </c>
      <c r="D76" s="1">
        <f>((3*$M$55)+3*($B$6+$C$3*$B$9*D23)/$C$2+3*C23)/C24</f>
        <v>25.942354194141572</v>
      </c>
      <c r="E76" s="1">
        <f>((3*$M$55)+3*($B$6+$C$3*$B$9*D23)/$C$2/D24+3*C23)</f>
        <v>25.858472468409271</v>
      </c>
      <c r="F76" s="1">
        <f>((3*$M$55)+3*($B$6+$C$3*$B$9*F23)/$C$2+3*E23)/E24</f>
        <v>25.115266364605219</v>
      </c>
      <c r="G76" s="1">
        <f>((3*$M$55)+3*($B$6+$C$3*$B$9*F23)/$C$2/F24+3*E23)</f>
        <v>24.580179637526264</v>
      </c>
      <c r="H76" s="1">
        <f>((3*$M$55)+3*($B$6+$C$3*$B$9*H23)/$C$2+3*G23)/G24</f>
        <v>25.275465317756208</v>
      </c>
      <c r="I76" s="1">
        <f>((3*$M$55)+3*($B$6+$C$3*$B$9*H23)/$C$2/H24+3*G23)</f>
        <v>23.798676442822785</v>
      </c>
      <c r="J76" s="1">
        <f>((3*$M$55)+3*($B$6+$C$3*$B$9*J23)/$C$2+3*I23)/I24</f>
        <v>25.532492946694681</v>
      </c>
      <c r="K76" s="1">
        <f>((3*$M$55)+3*($B$6+$C$3*$B$9*J23)/$C$2/J24+3*I23)</f>
        <v>23.537366183368352</v>
      </c>
      <c r="L76" s="1">
        <f t="shared" si="1"/>
        <v>23.537366183368352</v>
      </c>
      <c r="M76" s="1">
        <f t="shared" si="2"/>
        <v>23.537366183368352</v>
      </c>
      <c r="N76" s="1" t="str">
        <f t="shared" si="3"/>
        <v>4喷涂加速</v>
      </c>
      <c r="O76" s="1" t="s">
        <v>110</v>
      </c>
      <c r="P76" s="1">
        <f t="shared" si="4"/>
        <v>811416.19037627021</v>
      </c>
      <c r="Q76" s="1" t="s">
        <v>74</v>
      </c>
    </row>
    <row r="77" spans="1:17" x14ac:dyDescent="0.2">
      <c r="A77" s="1" t="s">
        <v>112</v>
      </c>
      <c r="B77" s="1" t="s">
        <v>113</v>
      </c>
      <c r="C77" s="1">
        <f>((4*$M$58+4*$M$76+8*K49)+(12/$C$2)*($C$6+$C$3*$B$9))/4</f>
        <v>61.485754911157805</v>
      </c>
      <c r="D77" s="1">
        <f>((4*$M$58+4*$M$76)+(12/$C$2)*($C$6+$C$3*$B$9*D23)+16*C23)/4/C24</f>
        <v>55.609465552703341</v>
      </c>
      <c r="E77" s="1">
        <f>((4*$M$58+4*$M$76)+(12/$C$2)*($C$6+$C$3*$B$9*D23)/D24+16*C23)/4</f>
        <v>56.533972746791257</v>
      </c>
      <c r="F77" s="1">
        <f>((4*$M$58+4*$M$76)+(12/$C$2)*($C$6+$C$3*$B$9*F23)+16*E23)/4/E24</f>
        <v>53.181553032456044</v>
      </c>
      <c r="G77" s="1">
        <f>((4*$M$58+4*$M$76)+(12/$C$2)*($C$6+$C$3*$B$9*F23)/F24+16*E23)/4</f>
        <v>53.759723638947257</v>
      </c>
      <c r="H77" s="1">
        <f>((4*$M$58+4*$M$76)+(12/$C$2)*($C$6+$C$3*$B$9*H23)+16*G23)/4/G24</f>
        <v>52.982055081290369</v>
      </c>
      <c r="I77" s="1">
        <f>((4*$M$58+4*$M$76)+(12/$C$2)*($C$6+$C$3*$B$9*H23)/H24+16*G23)/4</f>
        <v>51.953534617437846</v>
      </c>
      <c r="J77" s="1">
        <f>((4*$M$58+4*$M$76)+(12/$C$2)*($C$6+$C$3*$B$9*J23)+16*I23)/4/I24</f>
        <v>52.928185893389369</v>
      </c>
      <c r="K77" s="1">
        <f>((4*$M$58+4*$M$76)+(12/$C$2)*($C$6+$C$3*$B$9*J23)/J24+16*I23)/4</f>
        <v>51.031982366736706</v>
      </c>
      <c r="L77" s="1">
        <f t="shared" si="1"/>
        <v>51.031982366736706</v>
      </c>
      <c r="M77" s="1">
        <f t="shared" si="2"/>
        <v>51.031982366736706</v>
      </c>
      <c r="N77" s="1" t="str">
        <f t="shared" si="3"/>
        <v>4喷涂加速</v>
      </c>
      <c r="O77" s="1" t="s">
        <v>112</v>
      </c>
      <c r="P77" s="1">
        <f t="shared" si="4"/>
        <v>374247.66027605289</v>
      </c>
      <c r="Q77" s="1" t="s">
        <v>74</v>
      </c>
    </row>
    <row r="78" spans="1:17" x14ac:dyDescent="0.2">
      <c r="A78" s="1" t="s">
        <v>114</v>
      </c>
      <c r="B78" s="1" t="s">
        <v>115</v>
      </c>
      <c r="C78" s="1">
        <f>((2*$M$61+2*$M$58+2*$O$29)+(5/$B$2)*($F$6+$B$3*$B$9))/2</f>
        <v>52.443744122245569</v>
      </c>
      <c r="D78" s="1">
        <f>((2*$M$61+2*$M$58+2*$O$29)+(5/$B$2)*($F$6+$B$3*$B$9*D23)+6*C23)/2/C24</f>
        <v>47.335537332418369</v>
      </c>
      <c r="E78" s="1">
        <f>((2*$M$61+2*$M$58+2*$O$29)+(5/$B$2)*($F$6+$B$3*$B$9*D23)/D24+6*C23)/2</f>
        <v>45.896916165637329</v>
      </c>
      <c r="F78" s="1">
        <f>((2*$M$61+2*$M$58+2*$O$29)+(5/$B$2)*($F$6+$B$3*$B$9*F23)+6*E23)/2/E24</f>
        <v>45.165675556739714</v>
      </c>
      <c r="G78" s="1">
        <f>((2*$M$61+2*$M$58+2*$O$29)+(5/$B$2)*($F$6+$B$3*$B$9*F23)/F24+6*E23)/2</f>
        <v>41.928138445865429</v>
      </c>
      <c r="H78" s="1">
        <f>((2*$M$61+2*$M$58+2*$O$29)+(5/$B$2)*($F$6+$B$3*$B$9*H23)+6*G23)/2/G24</f>
        <v>44.911098812092042</v>
      </c>
      <c r="I78" s="1">
        <f>((2*$M$61+2*$M$58+2*$O$29)+(5/$B$2)*($F$6+$B$3*$B$9*H23)/H24+6*G23)/2</f>
        <v>39.224860330527036</v>
      </c>
      <c r="J78" s="1">
        <f>((2*$M$61+2*$M$58+2*$O$29)+(5/$B$2)*($F$6+$B$3*$B$9*J23)+6*I23)/2/I24</f>
        <v>44.769941771143799</v>
      </c>
      <c r="K78" s="1">
        <f>((2*$M$61+2*$M$58+2*$O$29)+(5/$B$2)*($F$6+$B$3*$B$9*J23)/J24+6*I23)/2</f>
        <v>37.522218880596419</v>
      </c>
      <c r="L78" s="1">
        <f t="shared" si="1"/>
        <v>37.522218880596419</v>
      </c>
      <c r="M78" s="1">
        <f t="shared" si="2"/>
        <v>37.522218880596419</v>
      </c>
      <c r="N78" s="1" t="str">
        <f t="shared" si="3"/>
        <v>4喷涂加速</v>
      </c>
      <c r="O78" s="1" t="s">
        <v>114</v>
      </c>
      <c r="P78" s="1">
        <f t="shared" si="4"/>
        <v>508994.419034113</v>
      </c>
      <c r="Q78" s="1" t="s">
        <v>74</v>
      </c>
    </row>
    <row r="79" spans="1:17" x14ac:dyDescent="0.2">
      <c r="A79" s="1" t="s">
        <v>116</v>
      </c>
      <c r="B79" s="1" t="s">
        <v>117</v>
      </c>
      <c r="C79" s="1">
        <f>((3*$M$61)+(2/$B$2)*($D$6+$B$3*$B$9))/2</f>
        <v>19.802883091684173</v>
      </c>
      <c r="D79" s="1">
        <f>((3*$M$61)+(2/$B$2)*($D$6+$B$3*$B$9*D23)+3*C23)/2/C24</f>
        <v>17.959720693374862</v>
      </c>
      <c r="E79" s="1">
        <f>((3*$M$61)+(2/$B$2)*($D$6+$B$3*$B$9*D23)/D24+3*C23)/2</f>
        <v>18.595793780046719</v>
      </c>
      <c r="F79" s="1">
        <f>((3*$M$61)+(2/$B$2)*($D$6+$B$3*$B$9*F23)+3*E23)/2/E24</f>
        <v>17.228692803837685</v>
      </c>
      <c r="G79" s="1">
        <f>((3*$M$61)+(2/$B$2)*($D$6+$B$3*$B$9*F23)/F24+3*E23)/2</f>
        <v>17.988384697938553</v>
      </c>
      <c r="H79" s="1">
        <f>((3*$M$61)+(2/$B$2)*($D$6+$B$3*$B$9*H23)+3*G23)/2/G24</f>
        <v>17.207880859565524</v>
      </c>
      <c r="I79" s="1">
        <f>((3*$M$61)+(2/$B$2)*($D$6+$B$3*$B$9*H23)/H24+3*G23)/2</f>
        <v>17.620302624396338</v>
      </c>
      <c r="J79" s="1">
        <f>((3*$M$61)+(2/$B$2)*($D$6+$B$3*$B$9*J23)+3*I23)/2/I24</f>
        <v>17.239519710021014</v>
      </c>
      <c r="K79" s="1">
        <f>((3*$M$61)+(2/$B$2)*($D$6+$B$3*$B$9*J23)/J24+3*I23)/2</f>
        <v>17.506649637526266</v>
      </c>
      <c r="L79" s="1">
        <f t="shared" si="1"/>
        <v>17.207880859565524</v>
      </c>
      <c r="M79" s="1">
        <f t="shared" si="2"/>
        <v>17.207880859565524</v>
      </c>
      <c r="N79" s="1" t="str">
        <f t="shared" si="3"/>
        <v>3喷涂增产</v>
      </c>
      <c r="O79" s="1" t="s">
        <v>116</v>
      </c>
      <c r="P79" s="1">
        <f t="shared" si="4"/>
        <v>1109875.1877622085</v>
      </c>
      <c r="Q79" s="1" t="s">
        <v>74</v>
      </c>
    </row>
    <row r="80" spans="1:17" x14ac:dyDescent="0.2">
      <c r="A80" s="1" t="s">
        <v>118</v>
      </c>
      <c r="B80" s="1" t="s">
        <v>119</v>
      </c>
      <c r="C80" s="1">
        <f>((4*$M$75+2*$M$79)+(2/$B$2)*($E$6+$B$3*$B$9))/1</f>
        <v>103.23103333723039</v>
      </c>
      <c r="D80" s="1">
        <f>((4*$M$75+2*$M$79)+(2/$B$2)*($E$6+$B$3*$B$9*D23)+6*C23)/1/C24</f>
        <v>93.171310302827166</v>
      </c>
      <c r="E80" s="1">
        <f>((4*$M$75+2*$M$79)+(2/$B$2)*($E$6+$B$3*$B$9*D23)/D24+6*C23)/1</f>
        <v>100.26660675734723</v>
      </c>
      <c r="F80" s="1">
        <f>((4*$M$75+2*$M$79)+(2/$B$2)*($E$6+$B$3*$B$9*F23)+6*E23)/1/E24</f>
        <v>88.891122024095466</v>
      </c>
      <c r="G80" s="1">
        <f>((4*$M$75+2*$M$79)+(2/$B$2)*($E$6+$B$3*$B$9*F23)/F24+6*E23)/1</f>
        <v>99.075030873358997</v>
      </c>
      <c r="H80" s="1">
        <f>((4*$M$75+2*$M$79)+(2/$B$2)*($E$6+$B$3*$B$9*H23)+6*G23)/1/G24</f>
        <v>88.377858924379382</v>
      </c>
      <c r="I80" s="1">
        <f>((4*$M$75+2*$M$79)+(2/$B$2)*($E$6+$B$3*$B$9*H23)/H24+6*G23)/1</f>
        <v>98.487031468079039</v>
      </c>
      <c r="J80" s="1">
        <f>((4*$M$75+2*$M$79)+(2/$B$2)*($E$6+$B$3*$B$9*J23)+6*I23)/1/I24</f>
        <v>88.091599616478987</v>
      </c>
      <c r="K80" s="1">
        <f>((4*$M$75+2*$M$79)+(2/$B$2)*($E$6+$B$3*$B$9*J23)/J24+6*I23)/1</f>
        <v>98.695666187265417</v>
      </c>
      <c r="L80" s="1">
        <f t="shared" si="1"/>
        <v>88.091599616478987</v>
      </c>
      <c r="M80" s="1">
        <f t="shared" si="2"/>
        <v>88.091599616478987</v>
      </c>
      <c r="N80" s="1" t="str">
        <f t="shared" si="3"/>
        <v>4喷涂增产</v>
      </c>
      <c r="O80" s="1" t="s">
        <v>118</v>
      </c>
      <c r="P80" s="1">
        <f t="shared" si="4"/>
        <v>216803.87327678053</v>
      </c>
      <c r="Q80" s="1" t="s">
        <v>74</v>
      </c>
    </row>
    <row r="81" spans="1:17" x14ac:dyDescent="0.2">
      <c r="A81" s="1" t="s">
        <v>120</v>
      </c>
      <c r="B81" s="1" t="s">
        <v>121</v>
      </c>
      <c r="C81" s="1">
        <f>($M$55+(1/$B$2)*($D$6+$B$3*$B$9))</f>
        <v>11.957094363894724</v>
      </c>
      <c r="D81" s="1">
        <f>($M$55+(1/$B$2)*($D$6+$B$3*$B$9*D23)+C23)/C24</f>
        <v>10.869673620269412</v>
      </c>
      <c r="E81" s="1">
        <f>($M$55+(1/$B$2)*($D$6+$B$3*$B$9*D23)/D24+C23)</f>
        <v>10.619490822803087</v>
      </c>
      <c r="F81" s="1">
        <f>($M$55+(1/$B$2)*($D$6+$B$3*$B$9*F23)+E23)/E24</f>
        <v>10.45508878820174</v>
      </c>
      <c r="G81" s="1">
        <f>($M$55+(1/$B$2)*($D$6+$B$3*$B$9*F23)/F24+E23)</f>
        <v>9.8600598791754219</v>
      </c>
      <c r="H81" s="1">
        <f>($M$55+(1/$B$2)*($D$6+$B$3*$B$9*H23)+G23)/G24</f>
        <v>10.465971432449347</v>
      </c>
      <c r="I81" s="1">
        <f>($M$55+(1/$B$2)*($D$6+$B$3*$B$9*H23)/H24+G23)</f>
        <v>9.3614635761790215</v>
      </c>
      <c r="J81" s="1">
        <f>($M$55+(1/$B$2)*($D$6+$B$3*$B$9*J23)+I23)/I24</f>
        <v>10.51083098223156</v>
      </c>
      <c r="K81" s="1">
        <f>($M$55+(1/$B$2)*($D$6+$B$3*$B$9*J23)/J24+I23)</f>
        <v>9.0957887277894507</v>
      </c>
      <c r="L81" s="1">
        <f t="shared" si="1"/>
        <v>9.0957887277894507</v>
      </c>
      <c r="M81" s="1">
        <f t="shared" si="2"/>
        <v>9.0957887277894507</v>
      </c>
      <c r="N81" s="1" t="str">
        <f t="shared" si="3"/>
        <v>4喷涂加速</v>
      </c>
      <c r="O81" s="1" t="s">
        <v>120</v>
      </c>
      <c r="P81" s="1">
        <f t="shared" si="4"/>
        <v>2099718.9547345093</v>
      </c>
      <c r="Q81" s="1" t="s">
        <v>74</v>
      </c>
    </row>
    <row r="82" spans="1:17" x14ac:dyDescent="0.2">
      <c r="A82" s="1" t="s">
        <v>122</v>
      </c>
      <c r="B82" s="1" t="s">
        <v>123</v>
      </c>
      <c r="C82" s="1">
        <f>((2*$M$55+$M$56)+($E$6+$B$3*$B$9)/$B$2)/2</f>
        <v>11.568108212508754</v>
      </c>
      <c r="D82" s="1">
        <f>((2*$M$55+$M$56)+($E$6+$B$3*$B$9*D23)/$B$2+3*C23)/2/C24</f>
        <v>10.635360800774491</v>
      </c>
      <c r="E82" s="1">
        <f>((2*$M$55+$M$56)+($E$6+$B$3*$B$9*D23)/$B$2/D24+3*C23)/2</f>
        <v>10.827001567537968</v>
      </c>
      <c r="F82" s="1">
        <f>((2*$M$55+$M$56)+($E$6+$B$3*$B$9*F23)/$B$2+3*E23)/2/E24</f>
        <v>10.356405404524834</v>
      </c>
      <c r="G82" s="1">
        <f>((2*$M$55+$M$56)+($E$6+$B$3*$B$9*F23)/$B$2/F24+3*E23)/2</f>
        <v>10.529107596540911</v>
      </c>
      <c r="H82" s="1">
        <f>((2*$M$55+$M$56)+($E$6+$B$3*$B$9*H23)/$B$2+3*G23)/2/G24</f>
        <v>10.470260550034567</v>
      </c>
      <c r="I82" s="1">
        <f>((2*$M$55+$M$56)+($E$6+$B$3*$B$9*H23)/$B$2/H24+3*G23)/2</f>
        <v>10.382107745220916</v>
      </c>
      <c r="J82" s="1">
        <f>((2*$M$55+$M$56)+($E$6+$B$3*$B$9*J23)/$B$2+3*I23)/2/I24</f>
        <v>10.631179806680674</v>
      </c>
      <c r="K82" s="1">
        <f>((2*$M$55+$M$56)+($E$6+$B$3*$B$9*J23)/$B$2/J24+3*I23)/2</f>
        <v>10.43426642501751</v>
      </c>
      <c r="L82" s="1">
        <f t="shared" si="1"/>
        <v>10.356405404524834</v>
      </c>
      <c r="M82" s="1">
        <f t="shared" si="2"/>
        <v>10.356405404524834</v>
      </c>
      <c r="N82" s="1" t="str">
        <f t="shared" si="3"/>
        <v>2喷涂增产</v>
      </c>
      <c r="O82" s="1" t="s">
        <v>122</v>
      </c>
      <c r="P82" s="1">
        <f t="shared" si="4"/>
        <v>1844134.0652477355</v>
      </c>
      <c r="Q82" s="1" t="s">
        <v>74</v>
      </c>
    </row>
    <row r="83" spans="1:17" x14ac:dyDescent="0.2">
      <c r="A83" s="1" t="s">
        <v>124</v>
      </c>
      <c r="B83" s="1" t="s">
        <v>125</v>
      </c>
      <c r="C83" s="1">
        <f>((2*$M$57+$M$56)+2*($E$6+$B$3*$B$9)/$B$2)</f>
        <v>42.349538486140297</v>
      </c>
      <c r="D83" s="1">
        <f>((2*$M$57+$M$56)+2*($E$6+$B$3*$B$9*D23)/$B$2+3*C23)/C24</f>
        <v>38.358350100324785</v>
      </c>
      <c r="E83" s="1">
        <f>((2*$M$57+$M$56)+2*($E$6+$B$3*$B$9*D23)/$B$2/D24+3*C23)</f>
        <v>38.602026529532054</v>
      </c>
      <c r="F83" s="1">
        <f>((2*$M$57+$M$56)+2*($E$6+$B$3*$B$9*F23)/$B$2+3*E23)/E24</f>
        <v>36.743862526651988</v>
      </c>
      <c r="G83" s="1">
        <f>((2*$M$57+$M$56)+2*($E$6+$B$3*$B$9*F23)/$B$2/F24+3*E23)</f>
        <v>36.498319476426822</v>
      </c>
      <c r="H83" s="1">
        <f>((2*$M$57+$M$56)+2*($E$6+$B$3*$B$9*H23)/$B$2+3*G23)/G24</f>
        <v>36.65557584384284</v>
      </c>
      <c r="I83" s="1">
        <f>((2*$M$57+$M$56)+2*($E$6+$B$3*$B$9*H23)/$B$2/H24+3*G23)</f>
        <v>35.127234694421766</v>
      </c>
      <c r="J83" s="1">
        <f>((2*$M$57+$M$56)+2*($E$6+$B$3*$B$9*J23)/$B$2+3*I23)/I24</f>
        <v>36.674057262259581</v>
      </c>
      <c r="K83" s="1">
        <f>((2*$M$57+$M$56)+2*($E$6+$B$3*$B$9*J23)/$B$2/J24+3*I23)</f>
        <v>34.42373824449114</v>
      </c>
      <c r="L83" s="1">
        <f t="shared" si="1"/>
        <v>34.42373824449114</v>
      </c>
      <c r="M83" s="1">
        <f t="shared" si="2"/>
        <v>34.42373824449114</v>
      </c>
      <c r="N83" s="1" t="str">
        <f t="shared" si="3"/>
        <v>4喷涂加速</v>
      </c>
      <c r="O83" s="1" t="s">
        <v>124</v>
      </c>
      <c r="P83" s="1">
        <f t="shared" si="4"/>
        <v>554809.00605140883</v>
      </c>
      <c r="Q83" s="1" t="s">
        <v>74</v>
      </c>
    </row>
    <row r="84" spans="1:17" x14ac:dyDescent="0.2">
      <c r="A84" s="1" t="s">
        <v>126</v>
      </c>
      <c r="B84" s="1" t="s">
        <v>127</v>
      </c>
      <c r="C84" s="1">
        <f>((2*$M$82+2*$M$83)+(3/$B$2)*($E$6+$B$3*$B$9))</f>
        <v>123.66288729803196</v>
      </c>
      <c r="D84" s="1">
        <f>((2*$M$82+2*$M$83)+(3/$B$2)*($E$6+$B$3*$B$9*D23)+4*C23)/C24</f>
        <v>110.87802767436925</v>
      </c>
      <c r="E84" s="1">
        <f>((2*$M$82+2*$M$83)+(3/$B$2)*($E$6+$B$3*$B$9*D23)/D24+4*C23)</f>
        <v>117.91110513366542</v>
      </c>
      <c r="F84" s="1">
        <f>((2*$M$82+2*$M$83)+(3/$B$2)*($E$6+$B$3*$B$9*F23)+4*E23)/E24</f>
        <v>104.99583002151785</v>
      </c>
      <c r="G84" s="1">
        <f>((2*$M$82+2*$M$83)+(3/$B$2)*($E$6+$B$3*$B$9*F23)/F24+4*E23)</f>
        <v>114.60352269248807</v>
      </c>
      <c r="H84" s="1">
        <f>((2*$M$82+2*$M$83)+(3/$B$2)*($E$6+$B$3*$B$9*H23)+4*G23)/G24</f>
        <v>103.73889784608559</v>
      </c>
      <c r="I84" s="1">
        <f>((2*$M$82+2*$M$83)+(3/$B$2)*($E$6+$B$3*$B$9*H23)/H24+4*G23)</f>
        <v>112.41638129002629</v>
      </c>
      <c r="J84" s="1">
        <f>((2*$M$82+2*$M$83)+(3/$B$2)*($E$6+$B$3*$B$9*J23)+4*I23)/I24</f>
        <v>102.6698918028887</v>
      </c>
      <c r="K84" s="1">
        <f>((2*$M$82+2*$M$83)+(3/$B$2)*($E$6+$B$3*$B$9*J23)/J24+4*I23)</f>
        <v>111.20911475361085</v>
      </c>
      <c r="L84" s="1">
        <f t="shared" si="1"/>
        <v>102.6698918028887</v>
      </c>
      <c r="M84" s="1">
        <f t="shared" si="2"/>
        <v>102.6698918028887</v>
      </c>
      <c r="N84" s="1" t="str">
        <f t="shared" si="3"/>
        <v>4喷涂增产</v>
      </c>
      <c r="O84" s="1" t="s">
        <v>126</v>
      </c>
      <c r="P84" s="1">
        <f t="shared" si="4"/>
        <v>186019.48112175419</v>
      </c>
      <c r="Q84" s="1" t="s">
        <v>74</v>
      </c>
    </row>
    <row r="85" spans="1:17" x14ac:dyDescent="0.2">
      <c r="A85" s="1" t="s">
        <v>128</v>
      </c>
      <c r="B85" s="1" t="s">
        <v>129</v>
      </c>
      <c r="C85" s="1">
        <f>((2*$M$55+$M$81+$M$75)+(2/$B$2)*($F$6+$B$3*$B$9))</f>
        <v>57.863362026770403</v>
      </c>
      <c r="D85" s="1">
        <f>((2*$M$55+$M$81+$M$75)+(2/$B$2)*($F$6+$B$3*$B$9*D23)+4*C23)/C24</f>
        <v>52.380440766581209</v>
      </c>
      <c r="E85" s="1">
        <f>((2*$M$55+$M$81+$M$75)+(2/$B$2)*($F$6+$B$3*$B$9*D23)/D24+4*C23)</f>
        <v>53.043545195737195</v>
      </c>
      <c r="F85" s="1">
        <f>((2*$M$55+$M$81+$M$75)+(2/$B$2)*($F$6+$B$3*$B$9*F23)+4*E23)/E24</f>
        <v>50.142942295466547</v>
      </c>
      <c r="G85" s="1">
        <f>((2*$M$55+$M$81+$M$75)+(2/$B$2)*($F$6+$B$3*$B$9*F23)/F24+4*E23)</f>
        <v>50.354992976782079</v>
      </c>
      <c r="H85" s="1">
        <f>((2*$M$55+$M$81+$M$75)+(2/$B$2)*($F$6+$B$3*$B$9*H23)+4*G23)/G24</f>
        <v>49.994289461382287</v>
      </c>
      <c r="I85" s="1">
        <f>((2*$M$55+$M$81+$M$75)+(2/$B$2)*($F$6+$B$3*$B$9*H23)/H24+4*G23)</f>
        <v>48.610016018764732</v>
      </c>
      <c r="J85" s="1">
        <f>((2*$M$55+$M$81+$M$75)+(2/$B$2)*($F$6+$B$3*$B$9*J23)+4*I23)/I24</f>
        <v>49.989231585879445</v>
      </c>
      <c r="K85" s="1">
        <f>((2*$M$55+$M$81+$M$75)+(2/$B$2)*($F$6+$B$3*$B$9*J23)/J24+4*I23)</f>
        <v>47.73437281568264</v>
      </c>
      <c r="L85" s="1">
        <f t="shared" si="1"/>
        <v>47.73437281568264</v>
      </c>
      <c r="M85" s="1">
        <f t="shared" si="2"/>
        <v>47.73437281568264</v>
      </c>
      <c r="N85" s="1" t="str">
        <f t="shared" si="3"/>
        <v>4喷涂加速</v>
      </c>
      <c r="O85" s="1" t="s">
        <v>128</v>
      </c>
      <c r="P85" s="1">
        <f t="shared" si="4"/>
        <v>400101.62223657308</v>
      </c>
      <c r="Q85" s="1" t="s">
        <v>74</v>
      </c>
    </row>
    <row r="86" spans="1:17" x14ac:dyDescent="0.2">
      <c r="A86" s="1" t="s">
        <v>130</v>
      </c>
      <c r="B86" s="1" t="s">
        <v>131</v>
      </c>
      <c r="C86" s="1">
        <f>((2*$M$85+2*$M$75)+(2/$B$2)*($E$6+$B$3*$B$9))</f>
        <v>141.24391477374829</v>
      </c>
      <c r="D86" s="1">
        <f>((2*$M$85+2*$M$75)+(2/$B$2)*($E$6+$B$3*$B$9*D23)+4*C23)/C24</f>
        <v>126.49648765278377</v>
      </c>
      <c r="E86" s="1">
        <f>((2*$M$85+2*$M$75)+(2/$B$2)*($E$6+$B$3*$B$9*D23)/D24+4*C23)</f>
        <v>137.75743127604841</v>
      </c>
      <c r="F86" s="1">
        <f>((2*$M$85+2*$M$75)+(2/$B$2)*($E$6+$B$3*$B$9*F23)+4*E23)/E24</f>
        <v>119.62673625128146</v>
      </c>
      <c r="G86" s="1">
        <f>((2*$M$85+2*$M$75)+(2/$B$2)*($E$6+$B$3*$B$9*F23)/F24+4*E23)</f>
        <v>135.9577679459822</v>
      </c>
      <c r="H86" s="1">
        <f>((2*$M$85+2*$M$75)+(2/$B$2)*($E$6+$B$3*$B$9*H23)+4*G23)/G24</f>
        <v>118.06004680585404</v>
      </c>
      <c r="I86" s="1">
        <f>((2*$M$85+2*$M$75)+(2/$B$2)*($E$6+$B$3*$B$9*H23)/H24+4*G23)</f>
        <v>134.84771162288547</v>
      </c>
      <c r="J86" s="1">
        <f>((2*$M$85+2*$M$75)+(2/$B$2)*($E$6+$B$3*$B$9*J23)+4*I23)/I24</f>
        <v>116.69367378346176</v>
      </c>
      <c r="K86" s="1">
        <f>((2*$M$85+2*$M$75)+(2/$B$2)*($E$6+$B$3*$B$9*J23)/J24+4*I23)</f>
        <v>134.44825889599386</v>
      </c>
      <c r="L86" s="1">
        <f t="shared" si="1"/>
        <v>116.69367378346176</v>
      </c>
      <c r="M86" s="1">
        <f t="shared" si="2"/>
        <v>116.69367378346176</v>
      </c>
      <c r="N86" s="1" t="str">
        <f t="shared" si="3"/>
        <v>4喷涂增产</v>
      </c>
      <c r="O86" s="1" t="s">
        <v>130</v>
      </c>
      <c r="P86" s="1">
        <f t="shared" si="4"/>
        <v>163664.39911249687</v>
      </c>
      <c r="Q86" s="1" t="s">
        <v>74</v>
      </c>
    </row>
    <row r="87" spans="1:17" x14ac:dyDescent="0.2">
      <c r="A87" s="1" t="s">
        <v>132</v>
      </c>
      <c r="B87" s="1" t="s">
        <v>133</v>
      </c>
      <c r="C87" s="1">
        <f>(($J$49+3*$M$58)+(4/$B$2)*($E$6+$B$3*$B$9))</f>
        <v>222.12566497512259</v>
      </c>
      <c r="D87" s="1">
        <f>(($J$49+3*$M$58)+(4/$B$2)*($E$6+$B$3*$B$9*D23)+4*C23)/C24</f>
        <v>198.40961672067203</v>
      </c>
      <c r="E87" s="1">
        <f>(($J$49+3*$M$58)+(4/$B$2)*($E$6+$B$3*$B$9*D23)/D24+4*C23)</f>
        <v>214.10858414408938</v>
      </c>
      <c r="F87" s="1">
        <f>(($J$49+3*$M$58)+(4/$B$2)*($E$6+$B$3*$B$9*F23)+4*E23)/E24</f>
        <v>187.0680947524267</v>
      </c>
      <c r="G87" s="1">
        <f>(($J$49+3*$M$58)+(4/$B$2)*($E$6+$B$3*$B$9*F23)/F24+4*E23)</f>
        <v>209.29308259180092</v>
      </c>
      <c r="H87" s="1">
        <f>(($J$49+3*$M$58)+(4/$B$2)*($E$6+$B$3*$B$9*H23)+4*G23)/G24</f>
        <v>184.14738574575139</v>
      </c>
      <c r="I87" s="1">
        <f>(($J$49+3*$M$58)+(4/$B$2)*($E$6+$B$3*$B$9*H23)/H24+4*G23)</f>
        <v>206.02885610997407</v>
      </c>
      <c r="J87" s="1">
        <f>(($J$49+3*$M$58)+(4/$B$2)*($E$6+$B$3*$B$9*J23)+4*I23)/I24</f>
        <v>181.48115394456119</v>
      </c>
      <c r="K87" s="1">
        <f>(($J$49+3*$M$58)+(4/$B$2)*($E$6+$B$3*$B$9*J23)/J24+4*I23)</f>
        <v>204.01377576403485</v>
      </c>
      <c r="L87" s="1">
        <f t="shared" si="1"/>
        <v>181.48115394456119</v>
      </c>
      <c r="M87" s="1">
        <f t="shared" si="2"/>
        <v>181.48115394456119</v>
      </c>
      <c r="N87" s="1" t="str">
        <f t="shared" si="3"/>
        <v>4喷涂增产</v>
      </c>
      <c r="O87" s="1" t="s">
        <v>132</v>
      </c>
      <c r="P87" s="1">
        <f t="shared" si="4"/>
        <v>105237.37360538404</v>
      </c>
      <c r="Q87" s="1" t="s">
        <v>74</v>
      </c>
    </row>
    <row r="88" spans="1:17" x14ac:dyDescent="0.2">
      <c r="A88" s="1" t="s">
        <v>134</v>
      </c>
      <c r="B88" s="1" t="s">
        <v>135</v>
      </c>
      <c r="C88" s="1">
        <f>((2*$M$64+8*$N$29+12*$L$29)+(4/$B$2)*($F$6+$B$3*$B$9))</f>
        <v>76.484755394456116</v>
      </c>
      <c r="D88" s="1">
        <f>((2*$M$64+8*$N$29+12*$L$29)+(4/$B$2)*($F$6+$B$3*$B$9*D23)+22*C23)/C24</f>
        <v>73.127485769280099</v>
      </c>
      <c r="E88" s="1">
        <f>((2*$M$64+8*$N$29+12*$L$29)+(4/$B$2)*($F$6+$B$3*$B$9*D23)/D24+22*C23)</f>
        <v>70.499520157106787</v>
      </c>
      <c r="F88" s="1">
        <f>((2*$M$64+8*$N$29+12*$L$29)+(4/$B$2)*($F$6+$B$3*$B$9*F23)+22*E23)/E24</f>
        <v>74.176752831081743</v>
      </c>
      <c r="G88" s="1">
        <f>((2*$M$64+8*$N$29+12*$L$29)+(4/$B$2)*($F$6+$B$3*$B$9*F23)/F24+22*E23)</f>
        <v>69.379027841742541</v>
      </c>
      <c r="H88" s="1">
        <f>((2*$M$64+8*$N$29+12*$L$29)+(4/$B$2)*($F$6+$B$3*$B$9*H23)+22*G23)/G24</f>
        <v>77.395468974107828</v>
      </c>
      <c r="I88" s="1">
        <f>((2*$M$64+8*$N$29+12*$L$29)+(4/$B$2)*($F$6+$B$3*$B$9*H23)/H24+22*G23)</f>
        <v>69.543472350424963</v>
      </c>
      <c r="J88" s="1">
        <f>((2*$M$64+8*$N$29+12*$L$29)+(4/$B$2)*($F$6+$B$3*$B$9*J23)+22*I23)/I24</f>
        <v>81.242505120112071</v>
      </c>
      <c r="K88" s="1">
        <f>((2*$M$64+8*$N$29+12*$L$29)+(4/$B$2)*($F$6+$B$3*$B$9*J23)/J24+22*I23)</f>
        <v>72.048798066806754</v>
      </c>
      <c r="L88" s="1">
        <f t="shared" si="1"/>
        <v>69.379027841742541</v>
      </c>
      <c r="M88" s="1">
        <f t="shared" si="2"/>
        <v>69.379027841742541</v>
      </c>
      <c r="N88" s="1" t="str">
        <f t="shared" si="3"/>
        <v>2喷涂加速</v>
      </c>
      <c r="O88" s="1" t="s">
        <v>134</v>
      </c>
      <c r="P88" s="1">
        <f t="shared" si="4"/>
        <v>275279.15270829364</v>
      </c>
      <c r="Q88" s="1" t="s">
        <v>74</v>
      </c>
    </row>
    <row r="89" spans="1:17" x14ac:dyDescent="0.2">
      <c r="A89" s="1" t="s">
        <v>136</v>
      </c>
      <c r="B89" s="1" t="s">
        <v>137</v>
      </c>
      <c r="C89" s="1">
        <f>(($M$87+2*$M$64+12*$L$29)+(4/$B$2)*($F$6+$B$3*$B$9))</f>
        <v>257.96590933901729</v>
      </c>
      <c r="D89" s="1">
        <f>(($M$87+2*$M$64+12*$L$29)+(4/$B$2)*($F$6+$B$3*$B$9*D23)+15*C23)/C24</f>
        <v>232.81988997568246</v>
      </c>
      <c r="E89" s="1">
        <f>(($M$87+2*$M$64+12*$L$29)+(4/$B$2)*($F$6+$B$3*$B$9*D23)/D24+15*C23)</f>
        <v>250.15347488930942</v>
      </c>
      <c r="F89" s="1">
        <f>(($M$87+2*$M$64+12*$L$29)+(4/$B$2)*($F$6+$B$3*$B$9*F23)+15*E23)/E24</f>
        <v>222.11479339018976</v>
      </c>
      <c r="G89" s="1">
        <f>(($M$87+2*$M$64+12*$L$29)+(4/$B$2)*($F$6+$B$3*$B$9*F23)/F24+15*E23)</f>
        <v>246.90467651267218</v>
      </c>
      <c r="H89" s="1">
        <f>(($M$87+2*$M$64+12*$L$29)+(4/$B$2)*($F$6+$B$3*$B$9*H23)+15*G23)/G24</f>
        <v>220.82277465457406</v>
      </c>
      <c r="I89" s="1">
        <f>(($M$87+2*$M$64+12*$L$29)+(4/$B$2)*($F$6+$B$3*$B$9*H23)/H24+15*G23)</f>
        <v>245.24192180899607</v>
      </c>
      <c r="J89" s="1">
        <f>(($M$87+2*$M$64+12*$L$29)+(4/$B$2)*($F$6+$B$3*$B$9*J23)+15*I23)/I24</f>
        <v>220.09861983795059</v>
      </c>
      <c r="K89" s="1">
        <f>(($M$87+2*$M$64+12*$L$29)+(4/$B$2)*($F$6+$B$3*$B$9*J23)/J24+15*I23)</f>
        <v>245.61894146410486</v>
      </c>
      <c r="L89" s="1">
        <f t="shared" si="1"/>
        <v>220.09861983795059</v>
      </c>
      <c r="M89" s="1">
        <f t="shared" si="2"/>
        <v>220.09861983795059</v>
      </c>
      <c r="N89" s="1" t="str">
        <f t="shared" si="3"/>
        <v>4喷涂增产</v>
      </c>
      <c r="O89" s="1" t="s">
        <v>136</v>
      </c>
      <c r="P89" s="1">
        <f t="shared" si="4"/>
        <v>86772.920312092378</v>
      </c>
      <c r="Q89" s="1" t="s">
        <v>74</v>
      </c>
    </row>
    <row r="90" spans="1:17" x14ac:dyDescent="0.2">
      <c r="A90" s="1" t="s">
        <v>138</v>
      </c>
      <c r="B90" s="1" t="s">
        <v>139</v>
      </c>
      <c r="C90" s="1">
        <f>(($D$49+2*$M$78)+(12/$B$2)*($E$6+$B$3*$B$9))</f>
        <v>431.55345759914348</v>
      </c>
      <c r="D90" s="1">
        <f>(($D$49+2*$M$78)+(12/$B$2)*($E$6+$B$3*$B$9*D23)+3*C23)/C24</f>
        <v>384.40858931188313</v>
      </c>
      <c r="E90" s="1">
        <f>(($D$49+2*$M$78)+(12/$B$2)*($E$6+$B$3*$B$9*D23)/D24+3*C23)</f>
        <v>405.15295897586856</v>
      </c>
      <c r="F90" s="1">
        <f>(($D$49+2*$M$78)+(12/$B$2)*($E$6+$B$3*$B$9*F23)+3*E23)/E24</f>
        <v>361.27996178748793</v>
      </c>
      <c r="G90" s="1">
        <f>(($D$49+2*$M$78)+(12/$B$2)*($E$6+$B$3*$B$9*F23)/F24+3*E23)</f>
        <v>387.97006081165216</v>
      </c>
      <c r="H90" s="1">
        <f>(($D$49+2*$M$78)+(12/$B$2)*($E$6+$B$3*$B$9*H23)+3*G23)/G24</f>
        <v>354.6801628748658</v>
      </c>
      <c r="I90" s="1">
        <f>(($D$49+2*$M$78)+(12/$B$2)*($E$6+$B$3*$B$9*H23)/H24+3*G23)</f>
        <v>375.82812523599637</v>
      </c>
      <c r="J90" s="1">
        <f>(($D$49+2*$M$78)+(12/$B$2)*($E$6+$B$3*$B$9*J23)+3*I23)/I24</f>
        <v>348.44759255266212</v>
      </c>
      <c r="K90" s="1">
        <f>(($D$49+2*$M$78)+(12/$B$2)*($E$6+$B$3*$B$9*J23)/J24+3*I23)</f>
        <v>367.04649069082762</v>
      </c>
      <c r="L90" s="1">
        <f t="shared" si="1"/>
        <v>348.44759255266212</v>
      </c>
      <c r="M90" s="1">
        <f t="shared" si="2"/>
        <v>348.44759255266212</v>
      </c>
      <c r="N90" s="1" t="str">
        <f t="shared" si="3"/>
        <v>4喷涂增产</v>
      </c>
      <c r="O90" s="1" t="s">
        <v>138</v>
      </c>
      <c r="P90" s="1">
        <f t="shared" si="4"/>
        <v>54810.537963793111</v>
      </c>
      <c r="Q90" s="1" t="s">
        <v>74</v>
      </c>
    </row>
    <row r="91" spans="1:17" x14ac:dyDescent="0.2">
      <c r="A91" s="1" t="s">
        <v>140</v>
      </c>
      <c r="B91" s="1" t="s">
        <v>141</v>
      </c>
      <c r="C91" s="1">
        <f>((2*$M$56+10*$M$29)+(4/$B$2)*($E$6+$B$3*$B$9))</f>
        <v>53.315922061122791</v>
      </c>
      <c r="D91" s="1">
        <f>((2*$M$56+10*$M$29)+(4/$B$2)*($E$6+$B$3*$B$9*D23)+12*C23)/C24</f>
        <v>50.212714282687244</v>
      </c>
      <c r="E91" s="1">
        <f>((2*$M$56+10*$M$29)+(4/$B$2)*($E$6+$B$3*$B$9*D23)/D24+12*C23)</f>
        <v>47.387068901356479</v>
      </c>
      <c r="F91" s="1">
        <f>((2*$M$56+10*$M$29)+(4/$B$2)*($E$6+$B$3*$B$9*F23)+12*E23)/E24</f>
        <v>50.160456870409277</v>
      </c>
      <c r="G91" s="1">
        <f>((2*$M$56+10*$M$29)+(4/$B$2)*($E$6+$B$3*$B$9*F23)/F24+12*E23)</f>
        <v>45.003917133380021</v>
      </c>
      <c r="H91" s="1">
        <f>((2*$M$56+10*$M$29)+(4/$B$2)*($E$6+$B$3*$B$9*H23)+12*G23)/G24</f>
        <v>51.738456939911423</v>
      </c>
      <c r="I91" s="1">
        <f>((2*$M$56+10*$M$29)+(4/$B$2)*($E$6+$B$3*$B$9*H23)/H24+12*G23)</f>
        <v>43.827918322820075</v>
      </c>
      <c r="J91" s="1">
        <f>((2*$M$56+10*$M$29)+(4/$B$2)*($E$6+$B$3*$B$9*J23)+12*I23)/I24</f>
        <v>53.666283542287587</v>
      </c>
      <c r="K91" s="1">
        <f>((2*$M$56+10*$M$29)+(4/$B$2)*($E$6+$B$3*$B$9*J23)/J24+12*I23)</f>
        <v>44.245187761192824</v>
      </c>
      <c r="L91" s="1">
        <f>MIN(C91:K91)</f>
        <v>43.827918322820075</v>
      </c>
      <c r="M91" s="1">
        <f t="shared" si="2"/>
        <v>43.827918322820075</v>
      </c>
      <c r="N91" s="1" t="str">
        <f t="shared" si="3"/>
        <v>3喷涂加速</v>
      </c>
      <c r="O91" s="1" t="s">
        <v>140</v>
      </c>
      <c r="P91" s="1">
        <f t="shared" si="4"/>
        <v>435763.33832072164</v>
      </c>
      <c r="Q91" s="1" t="s">
        <v>74</v>
      </c>
    </row>
    <row r="92" spans="1:17" x14ac:dyDescent="0.2">
      <c r="A92" s="1" t="s">
        <v>142</v>
      </c>
      <c r="B92" s="1" t="s">
        <v>143</v>
      </c>
      <c r="C92" s="1">
        <f>((2*$M$86+2*$M$56+2*$M$64)+(4/$B$2)*($F$6+$B$3*$B$9))</f>
        <v>317.71789168916911</v>
      </c>
      <c r="D92" s="1">
        <f>((2*$M$86+2*$M$56+2*$M$64)+(4/$B$2)*($F$6+$B$3*$B$9*D23)+C23*6)/C24</f>
        <v>283.84453550455049</v>
      </c>
      <c r="E92" s="1">
        <f>((2*$M$86+2*$M$56+2*$M$64)+(4/$B$2)*($F$6+$B$3*$B$9*D23)/D24+C23*6)</f>
        <v>307.55620110928595</v>
      </c>
      <c r="F92" s="1">
        <f>((2*$M$86+2*$M$56+2*$M$64)+(4/$B$2)*($F$6+$B$3*$B$9*F23)+E23*6)/E24</f>
        <v>267.67007065071107</v>
      </c>
      <c r="G92" s="1">
        <f>((2*$M$86+2*$M$56+2*$M$64)+(4/$B$2)*($F$6+$B$3*$B$9*F23)/F24+E23*6)</f>
        <v>301.57100922529776</v>
      </c>
      <c r="H92" s="1">
        <f>((2*$M$86+2*$M$56+2*$M$64)+(4/$B$2)*($F$6+$B$3*$B$9*H23)+G23*6)/G24</f>
        <v>263.53059227290072</v>
      </c>
      <c r="I92" s="1">
        <f>((2*$M$86+2*$M$56+2*$M$64)+(4/$B$2)*($F$6+$B$3*$B$9*H23)/H24+G23*6)</f>
        <v>297.55899839144627</v>
      </c>
      <c r="J92" s="1">
        <f>((2*$M$86+2*$M$56+2*$M$64)+(4/$B$2)*($F$6+$B$3*$B$9*J23)+I23*6)/I24</f>
        <v>259.76316629802994</v>
      </c>
      <c r="K92" s="1">
        <f>((2*$M$86+2*$M$56+2*$M$64)+(4/$B$2)*($F$6+$B$3*$B$9*J23)/J24+I23*6)</f>
        <v>295.19962453920408</v>
      </c>
      <c r="L92" s="1">
        <f t="shared" si="1"/>
        <v>259.76316629802994</v>
      </c>
      <c r="M92" s="1">
        <f t="shared" si="2"/>
        <v>259.76316629802994</v>
      </c>
      <c r="N92" s="1" t="str">
        <f t="shared" si="3"/>
        <v>4喷涂增产</v>
      </c>
      <c r="O92" s="1" t="s">
        <v>142</v>
      </c>
      <c r="P92" s="1">
        <f t="shared" si="4"/>
        <v>73523.125977329313</v>
      </c>
      <c r="Q92" s="1" t="s">
        <v>74</v>
      </c>
    </row>
    <row r="93" spans="1:17" x14ac:dyDescent="0.2">
      <c r="A93" s="1" t="s">
        <v>144</v>
      </c>
      <c r="B93" s="1" t="s">
        <v>145</v>
      </c>
      <c r="C93" s="1">
        <f>((2*$B$49+2*$M$55+10*$C$49)+(8/$F$2)*($L$6+$F$3*$B$9))</f>
        <v>657.49213393599359</v>
      </c>
      <c r="D93" s="1">
        <f>((2*$B$49+2*$M$55+10*$C$49)+(8/$F$2)*($L$6+$F$3*$B$9*D23)+C23*14)/C24</f>
        <v>590.11780654285394</v>
      </c>
      <c r="E93" s="1">
        <f>((2*$B$49+2*$M$55+10*$C$49)+(8/$F$2)*($L$6+$F$3*$B$9*D23)/D24+C23*14)</f>
        <v>639.11133236071066</v>
      </c>
      <c r="F93" s="1">
        <f>((2*$B$49+2*$M$55+10*$C$49)+(8/$F$2)*($L$6+$F$3*$B$9*F23)+E23*14)/E24</f>
        <v>559.82262040271394</v>
      </c>
      <c r="G93" s="1">
        <f>((2*$B$49+2*$M$55+10*$C$49)+(8/$F$2)*($L$6+$F$3*$B$9*F23)/F24+E23*14)</f>
        <v>629.28581114992335</v>
      </c>
      <c r="H93" s="1">
        <f>((2*$B$49+2*$M$55+10*$C$49)+(8/$F$2)*($L$6+$F$3*$B$9*H23)+G23*14)/G24</f>
        <v>554.35881053712149</v>
      </c>
      <c r="I93" s="1">
        <f>((2*$B$49+2*$M$55+10*$C$49)+(8/$F$2)*($L$6+$F$3*$B$9*H23)/H24+G23*14)</f>
        <v>622.88154290797377</v>
      </c>
      <c r="J93" s="1">
        <f>((2*$B$49+2*$M$55+10*$C$49)+(8/$F$2)*($L$6+$F$3*$B$9*J23)+I23*14)/I24</f>
        <v>549.59532402441573</v>
      </c>
      <c r="K93" s="1">
        <f>((2*$B$49+2*$M$55+10*$C$49)+(8/$F$2)*($L$6+$F$3*$B$9*J23)/J24+I23*14)</f>
        <v>619.59415503051969</v>
      </c>
      <c r="L93" s="1">
        <f t="shared" si="1"/>
        <v>549.59532402441573</v>
      </c>
      <c r="M93" s="1">
        <f t="shared" si="2"/>
        <v>549.59532402441573</v>
      </c>
      <c r="N93" s="1" t="str">
        <f t="shared" si="3"/>
        <v>4喷涂增产</v>
      </c>
      <c r="O93" s="1" t="s">
        <v>144</v>
      </c>
      <c r="P93" s="1">
        <f t="shared" si="4"/>
        <v>34750.295654173991</v>
      </c>
      <c r="Q93" s="1" t="s">
        <v>74</v>
      </c>
    </row>
    <row r="94" spans="1:17" x14ac:dyDescent="0.2">
      <c r="A94" s="1" t="s">
        <v>146</v>
      </c>
      <c r="B94" s="1" t="s">
        <v>147</v>
      </c>
      <c r="C94" s="1">
        <f>((2*$M$79+$M$82)+(3/$B$2)*($E$6+$B$3*$B$9))</f>
        <v>78.874767123655886</v>
      </c>
      <c r="D94" s="1">
        <f>((2*$M$79+$M$82)+(3/$B$2)*($E$6+$B$3*$B$9*D23)+C23*3)/C24</f>
        <v>70.834340000338642</v>
      </c>
      <c r="E94" s="1">
        <f>((2*$M$79+$M$82)+(3/$B$2)*($E$6+$B$3*$B$9*D23)/D24+C23*3)</f>
        <v>72.861956500380984</v>
      </c>
      <c r="F94" s="1">
        <f>((2*$M$79+$M$82)+(3/$B$2)*($E$6+$B$3*$B$9*F23)+E23*3)/E24</f>
        <v>67.201503057914977</v>
      </c>
      <c r="G94" s="1">
        <f>((2*$M$79+$M$82)+(3/$B$2)*($E$6+$B$3*$B$9*F23)/F24+E23*3)</f>
        <v>69.250330336164637</v>
      </c>
      <c r="H94" s="1">
        <f>((2*$M$79+$M$82)+(3/$B$2)*($E$6+$B$3*$B$9*H23)+G23*3)/G24</f>
        <v>66.502799221406576</v>
      </c>
      <c r="I94" s="1">
        <f>((2*$M$79+$M$82)+(3/$B$2)*($E$6+$B$3*$B$9*H23)/H24+G23*3)</f>
        <v>66.802160474794491</v>
      </c>
      <c r="J94" s="1">
        <f>((2*$M$79+$M$82)+(3/$B$2)*($E$6+$B$3*$B$9*J23)+I23*3)/I24</f>
        <v>65.935280172272044</v>
      </c>
      <c r="K94" s="1">
        <f>((2*$M$79+$M$82)+(3/$B$2)*($E$6+$B$3*$B$9*J23)/J24+I23*3)</f>
        <v>65.290850215340058</v>
      </c>
      <c r="L94" s="1">
        <f t="shared" si="1"/>
        <v>65.290850215340058</v>
      </c>
      <c r="M94" s="1">
        <f t="shared" si="2"/>
        <v>65.290850215340058</v>
      </c>
      <c r="N94" s="1" t="str">
        <f t="shared" si="3"/>
        <v>4喷涂加速</v>
      </c>
      <c r="O94" s="1" t="s">
        <v>146</v>
      </c>
      <c r="P94" s="1">
        <f t="shared" si="4"/>
        <v>292515.71907870163</v>
      </c>
      <c r="Q94" s="1" t="s">
        <v>74</v>
      </c>
    </row>
    <row r="95" spans="1:17" x14ac:dyDescent="0.2">
      <c r="A95" s="1" t="s">
        <v>148</v>
      </c>
      <c r="B95" s="1" t="s">
        <v>149</v>
      </c>
      <c r="C95" s="1">
        <f>(($M$82+$N$29)+(3/$B$2)*($E$6+$B$3*$B$9))</f>
        <v>44.459005404524838</v>
      </c>
      <c r="D95" s="1">
        <f>(($M$82+$N$29)+(3/$B$2)*($E$6+$B$3*$B$9*D23)+C23*2)/C24</f>
        <v>40.010526508748057</v>
      </c>
      <c r="E95" s="1">
        <f>(($M$82+$N$29)+(3/$B$2)*($E$6+$B$3*$B$9*D23)/D24+C23*2)</f>
        <v>38.185166322341566</v>
      </c>
      <c r="F95" s="1">
        <f>(($M$82+$N$29)+(3/$B$2)*($E$6+$B$3*$B$9*F23)+E23*2)/E24</f>
        <v>38.050808140349638</v>
      </c>
      <c r="G95" s="1">
        <f>(($M$82+$N$29)+(3/$B$2)*($E$6+$B$3*$B$9*F23)/F24+E23*2)</f>
        <v>34.269496435086225</v>
      </c>
      <c r="H95" s="1">
        <f>(($M$82+$N$29)+(3/$B$2)*($E$6+$B$3*$B$9*H23)+G23*2)/G24</f>
        <v>37.733931988764319</v>
      </c>
      <c r="I95" s="1">
        <f>(($M$82+$N$29)+(3/$B$2)*($E$6+$B$3*$B$9*H23)/H24+G23*2)</f>
        <v>31.560298114807711</v>
      </c>
      <c r="J95" s="1">
        <f>(($M$82+$N$29)+(3/$B$2)*($E$6+$B$3*$B$9*J23)+I23*2)/I24</f>
        <v>37.498555305851433</v>
      </c>
      <c r="K95" s="1">
        <f>(($M$82+$N$29)+(3/$B$2)*($E$6+$B$3*$B$9*J23)/J24+I23*2)</f>
        <v>29.744944132314288</v>
      </c>
      <c r="L95" s="1">
        <f t="shared" si="1"/>
        <v>29.744944132314288</v>
      </c>
      <c r="M95" s="1">
        <f t="shared" si="2"/>
        <v>29.744944132314288</v>
      </c>
      <c r="N95" s="1" t="str">
        <f t="shared" si="3"/>
        <v>4喷涂加速</v>
      </c>
      <c r="O95" s="1" t="s">
        <v>148</v>
      </c>
      <c r="P95" s="1">
        <f t="shared" si="4"/>
        <v>642078.8660769976</v>
      </c>
      <c r="Q95" s="1" t="s">
        <v>74</v>
      </c>
    </row>
    <row r="96" spans="1:17" x14ac:dyDescent="0.2">
      <c r="A96" s="1" t="s">
        <v>150</v>
      </c>
      <c r="B96" s="1" t="s">
        <v>151</v>
      </c>
      <c r="C96" s="1">
        <f>(($M$64+$E$49)+(4/$B$2)*($E$6+$B$3*$B$9))/2</f>
        <v>59.80081395628406</v>
      </c>
      <c r="D96" s="1">
        <f>(($M$64+$E$49)+(4/$B$2)*($E$6+$B$3*$B$9*D23)+C23*2)/2/C24</f>
        <v>53.40654436905993</v>
      </c>
      <c r="E96" s="1">
        <f>(($M$64+$E$49)+(4/$B$2)*($E$6+$B$3*$B$9*D23)/D24+C23*2)/2</f>
        <v>55.53124508185909</v>
      </c>
      <c r="F96" s="1">
        <f>(($M$64+$E$49)+(4/$B$2)*($E$6+$B$3*$B$9*F23)+E23*2)/2/E24</f>
        <v>50.344805115192848</v>
      </c>
      <c r="G96" s="1">
        <f>(($M$64+$E$49)+(4/$B$2)*($E$6+$B$3*$B$9*F23)/F24+E23*2)/2</f>
        <v>52.819450582675863</v>
      </c>
      <c r="H96" s="1">
        <f>(($M$64+$E$49)+(4/$B$2)*($E$6+$B$3*$B$9*H23)+G23*2)/2/G24</f>
        <v>49.552779262971249</v>
      </c>
      <c r="I96" s="1">
        <f>(($M$64+$E$49)+(4/$B$2)*($E$6+$B$3*$B$9*H23)/H24+G23*2)/2</f>
        <v>50.926308882854073</v>
      </c>
      <c r="J96" s="1">
        <f>(($M$64+$E$49)+(4/$B$2)*($E$6+$B$3*$B$9*J23)+I23*2)/2/I24</f>
        <v>48.826846656143026</v>
      </c>
      <c r="K96" s="1">
        <f>(($M$64+$E$49)+(4/$B$2)*($E$6+$B$3*$B$9*J23)/J24+I23*2)/2</f>
        <v>49.614724986845452</v>
      </c>
      <c r="L96" s="1">
        <f t="shared" si="1"/>
        <v>48.826846656143026</v>
      </c>
      <c r="M96" s="1">
        <f t="shared" si="2"/>
        <v>48.826846656143026</v>
      </c>
      <c r="N96" s="1" t="str">
        <f t="shared" si="3"/>
        <v>4喷涂增产</v>
      </c>
      <c r="O96" s="1" t="s">
        <v>150</v>
      </c>
      <c r="P96" s="1">
        <f t="shared" si="4"/>
        <v>391149.56848431163</v>
      </c>
      <c r="Q96" s="1" t="s">
        <v>74</v>
      </c>
    </row>
    <row r="97" spans="1:17" x14ac:dyDescent="0.2">
      <c r="A97" s="1" t="s">
        <v>152</v>
      </c>
      <c r="B97" s="1" t="s">
        <v>153</v>
      </c>
      <c r="C97" s="1">
        <f>((2*F49)+(2/$F$2)*($L$6+$F$3*$B$9))/2</f>
        <v>15.14</v>
      </c>
      <c r="D97" s="1">
        <f>((2*G49)+(2/$F$2)*($L$6+$F$3*$B$9*D23)+C23*2)/2/C24</f>
        <v>44.985047196830777</v>
      </c>
      <c r="E97" s="1">
        <f>((2*H49)+(2/$F$2)*($L$6+$F$3*$B$9*D23)/D24+C23*2)/2</f>
        <v>19.362272822803089</v>
      </c>
      <c r="F97" s="1">
        <f>((2*I49)+(2/$F$2)*($L$6+$F$3*$B$9*F23)+E23*2)/2/E24</f>
        <v>25.887087728026284</v>
      </c>
      <c r="G97" s="1">
        <f>((2*J49)+(2/$F$2)*($L$6+$F$3*$B$9*F23)/F24+E23*2)/2</f>
        <v>164.30857097370159</v>
      </c>
      <c r="H97" s="1">
        <f>((2*K49)+(2/$F$2)*($L$6+$F$3*$B$9*H23)+G23*2)/2/G24</f>
        <v>14.057225012943452</v>
      </c>
      <c r="I97" s="1">
        <f>((2*L49)+(2/$F$2)*($L$6+$F$3*$B$9*H23)/H24+G23*2)/2</f>
        <v>18.039889368645177</v>
      </c>
      <c r="J97" s="1">
        <f>((2*M49)+(2/$F$2)*($L$6+$F$3*$B$9*J23)+I23*2)/2/I24</f>
        <v>14.384115491115782</v>
      </c>
      <c r="K97" s="1">
        <f>((2*N49)+(2/$F$2)*($L$6+$F$3*$B$9*J23)/J24+I23*2)/2</f>
        <v>9.5551443638947262</v>
      </c>
      <c r="L97" s="1">
        <f t="shared" si="1"/>
        <v>9.5551443638947262</v>
      </c>
      <c r="M97" s="1">
        <f t="shared" si="2"/>
        <v>9.5551443638947262</v>
      </c>
      <c r="N97" s="1" t="str">
        <f t="shared" si="3"/>
        <v>4喷涂加速</v>
      </c>
      <c r="O97" s="1" t="s">
        <v>152</v>
      </c>
      <c r="P97" s="1">
        <f t="shared" si="4"/>
        <v>1998776.7084049908</v>
      </c>
      <c r="Q97" s="1" t="s">
        <v>74</v>
      </c>
    </row>
    <row r="98" spans="1:17" x14ac:dyDescent="0.2">
      <c r="A98" s="1" t="s">
        <v>154</v>
      </c>
      <c r="B98" s="1" t="s">
        <v>155</v>
      </c>
      <c r="C98" s="1">
        <f>((2*$M$65+$L$48)+(3/$D$2)*($I$6+$D$3*$B$9))</f>
        <v>65.671488727789452</v>
      </c>
      <c r="D98" s="1">
        <f>((2*$M$65+$L$48)+(3/$D$2)*($I$6+$D$3*$B$9*D23)+C23*3)/C24</f>
        <v>59.125452537346263</v>
      </c>
      <c r="E98" s="1">
        <f>((2*$M$65+$L$48)+(3/$D$2)*($I$6+$D$3*$B$9*D23)/D24+C23*3)</f>
        <v>57.312782104514532</v>
      </c>
      <c r="F98" s="1">
        <f>((2*$M$65+$L$48)+(3/$D$2)*($I$6+$D$3*$B$9*F23)+E23*3)/E24</f>
        <v>56.258621061359612</v>
      </c>
      <c r="G98" s="1">
        <f>((2*$M$65+$L$48)+(3/$D$2)*($I$6+$D$3*$B$9*F23)/F24+E23*3)</f>
        <v>52.144065273631533</v>
      </c>
      <c r="H98" s="1">
        <f>((2*$M$65+$L$48)+(3/$D$2)*($I$6+$D$3*$B$9*H23)+G23*3)/G24</f>
        <v>55.816743388046227</v>
      </c>
      <c r="I98" s="1">
        <f>((2*$M$65+$L$48)+(3/$D$2)*($I$6+$D$3*$B$9*H23)/H24+G23*3)</f>
        <v>48.583687793213777</v>
      </c>
      <c r="J98" s="1">
        <f>((2*$M$65+$L$48)+(3/$D$2)*($I$6+$D$3*$B$9*J23)+I23*3)/I24</f>
        <v>55.495777455578903</v>
      </c>
      <c r="K98" s="1">
        <f>((2*$M$65+$L$48)+(3/$D$2)*($I$6+$D$3*$B$9*J23)/J24+I23*3)</f>
        <v>46.23822181947363</v>
      </c>
      <c r="L98" s="1">
        <f t="shared" si="1"/>
        <v>46.23822181947363</v>
      </c>
      <c r="M98" s="1">
        <f t="shared" si="2"/>
        <v>46.23822181947363</v>
      </c>
      <c r="N98" s="1" t="str">
        <f t="shared" si="3"/>
        <v>4喷涂加速</v>
      </c>
      <c r="O98" s="1" t="s">
        <v>154</v>
      </c>
      <c r="P98" s="1">
        <f t="shared" si="4"/>
        <v>413047.89086756052</v>
      </c>
      <c r="Q98" s="1" t="s">
        <v>74</v>
      </c>
    </row>
    <row r="99" spans="1:17" x14ac:dyDescent="0.2">
      <c r="A99" s="1" t="s">
        <v>156</v>
      </c>
      <c r="B99" s="1" t="s">
        <v>157</v>
      </c>
      <c r="C99" s="1">
        <f>((2*$M$66+2*$I$49+$M$98)+(8/$B$2)*($F$6+$B$3*$B$9))</f>
        <v>221.09088751954366</v>
      </c>
      <c r="D99" s="1">
        <f>((2*$M$66+2*$I$49+$M$98)+(8/$B$2)*($F$6+$B$3*$B$9*D23)+C23*5)/C24</f>
        <v>197.75831983474262</v>
      </c>
      <c r="E99" s="1">
        <f>((2*$M$66+2*$I$49+$M$98)+(8/$B$2)*($F$6+$B$3*$B$9*D23)/D24+C23*5)</f>
        <v>198.94030714741879</v>
      </c>
      <c r="F99" s="1">
        <f>((2*$M$66+2*$I$49+$M$98)+(8/$B$2)*($F$6+$B$3*$B$9*F23)+E23*5)/E24</f>
        <v>186.75647369106707</v>
      </c>
      <c r="G99" s="1">
        <f>((2*$M$66+2*$I$49+$M$98)+(8/$B$2)*($F$6+$B$3*$B$9*F23)/F24+E23*5)</f>
        <v>184.84161731816934</v>
      </c>
      <c r="H99" s="1">
        <f>((2*$M$66+2*$I$49+$M$98)+(8/$B$2)*($F$6+$B$3*$B$9*H23)+G23*5)/G24</f>
        <v>184.09987814189574</v>
      </c>
      <c r="I99" s="1">
        <f>((2*$M$66+2*$I$49+$M$98)+(8/$B$2)*($F$6+$B$3*$B$9*H23)/H24+G23*5)</f>
        <v>174.99039643810801</v>
      </c>
      <c r="J99" s="1">
        <f>((2*$M$66+2*$I$49+$M$98)+(8/$B$2)*($F$6+$B$3*$B$9*J23)+I23*5)/I24</f>
        <v>181.72160747121384</v>
      </c>
      <c r="K99" s="1">
        <f>((2*$M$66+2*$I$49+$M$98)+(8/$B$2)*($F$6+$B$3*$B$9*J23)/J24+I23*5)</f>
        <v>168.14334267235063</v>
      </c>
      <c r="L99" s="1">
        <f t="shared" si="1"/>
        <v>168.14334267235063</v>
      </c>
      <c r="M99" s="1">
        <f t="shared" si="2"/>
        <v>168.14334267235063</v>
      </c>
      <c r="N99" s="1" t="str">
        <f t="shared" si="3"/>
        <v>4喷涂加速</v>
      </c>
      <c r="O99" s="1" t="s">
        <v>156</v>
      </c>
      <c r="P99" s="1">
        <f t="shared" si="4"/>
        <v>113585.22851074829</v>
      </c>
      <c r="Q99" s="1" t="s">
        <v>74</v>
      </c>
    </row>
    <row r="100" spans="1:17" x14ac:dyDescent="0.2">
      <c r="A100" s="1" t="s">
        <v>158</v>
      </c>
      <c r="B100" s="1" t="s">
        <v>159</v>
      </c>
      <c r="C100" s="1">
        <f>((3*$M$64+$M$58)+(4/$D$2)*($I$6+$D$3*$B$9))/2</f>
        <v>47.820660909736816</v>
      </c>
      <c r="D100" s="1">
        <f>((3*$M$64+$M$58)+(4/$D$2)*($I$6+$D$3*$B$9*D23)+C23*4)/2/C24</f>
        <v>43.007784735603146</v>
      </c>
      <c r="E100" s="1">
        <f>((3*$M$64+$M$58)+(4/$D$2)*($I$6+$D$3*$B$9*D23)/D24+C23*4)/2</f>
        <v>42.248189827553546</v>
      </c>
      <c r="F100" s="1">
        <f>((3*$M$64+$M$58)+(4/$D$2)*($I$6+$D$3*$B$9*F23)+E23*4)/2/E24</f>
        <v>40.872137728026289</v>
      </c>
      <c r="G100" s="1">
        <f>((3*$M$64+$M$58)+(4/$D$2)*($I$6+$D$3*$B$9*F23)/F24+E23*4)/2</f>
        <v>38.802378606964879</v>
      </c>
      <c r="H100" s="1">
        <f>((3*$M$64+$M$58)+(4/$D$2)*($I$6+$D$3*$B$9*H23)+G23*4)/2/G24</f>
        <v>40.5088507685292</v>
      </c>
      <c r="I100" s="1">
        <f>((3*$M$64+$M$58)+(4/$D$2)*($I$6+$D$3*$B$9*H23)/H24+G23*4)/2</f>
        <v>36.428793620019704</v>
      </c>
      <c r="J100" s="1">
        <f>((3*$M$64+$M$58)+(4/$D$2)*($I$6+$D$3*$B$9*J23)+I23*4)/2/I24</f>
        <v>40.22891971002101</v>
      </c>
      <c r="K100" s="1">
        <f>((3*$M$64+$M$58)+(4/$D$2)*($I$6+$D$3*$B$9*J23)/J24+I23*4)/2</f>
        <v>34.865149637526265</v>
      </c>
      <c r="L100" s="1">
        <f t="shared" si="1"/>
        <v>34.865149637526265</v>
      </c>
      <c r="M100" s="1">
        <f t="shared" si="2"/>
        <v>34.865149637526265</v>
      </c>
      <c r="N100" s="1" t="str">
        <f t="shared" si="3"/>
        <v>4喷涂加速</v>
      </c>
      <c r="O100" s="1" t="s">
        <v>158</v>
      </c>
      <c r="P100" s="1">
        <f t="shared" si="4"/>
        <v>547784.82807495771</v>
      </c>
      <c r="Q100" s="1" t="s">
        <v>74</v>
      </c>
    </row>
    <row r="101" spans="1:17" x14ac:dyDescent="0.2">
      <c r="A101" s="1" t="s">
        <v>160</v>
      </c>
      <c r="B101" s="1" t="s">
        <v>161</v>
      </c>
      <c r="C101" s="1">
        <f>(($L$48)+2*($B$6+$C$3*$B$9)/$C$2)/1</f>
        <v>11.0684</v>
      </c>
      <c r="D101" s="1">
        <f>(($L$48)+2*($B$6+$C$3*$B$9*D23)/$C$2+C23*1)/1/C24</f>
        <v>10.088843074585212</v>
      </c>
      <c r="E101" s="1">
        <f>(($L$48)+2*($B$6+$C$3*$B$9*D23)/$C$2/D24+C23*1)/1</f>
        <v>9.1321644589083633</v>
      </c>
      <c r="F101" s="1">
        <f>(($L$48)+2*($B$6+$C$3*$B$9*F23)/$C$2+E23*1)/1/E24</f>
        <v>9.7344601516228018</v>
      </c>
      <c r="G101" s="1">
        <f>(($L$48)+2*($B$6+$C$3*$B$9*F23)/$C$2/F24+E23*1)/1</f>
        <v>7.9759255152806956</v>
      </c>
      <c r="H101" s="1">
        <f>(($L$48)+2*($B$6+$C$3*$B$9*H23)/$C$2+G23*1)/1/G24</f>
        <v>9.771216849678142</v>
      </c>
      <c r="I101" s="1">
        <f>(($L$48)+2*($B$6+$C$3*$B$9*H23)/$C$2/H24+G23*1)/1</f>
        <v>7.1938949265700121</v>
      </c>
      <c r="J101" s="1">
        <f>(($L$48)+2*($B$6+$C$3*$B$9*J23)/$C$2+I23*1)/1/I24</f>
        <v>9.8409154911157799</v>
      </c>
      <c r="K101" s="1">
        <f>(($L$48)+2*($B$6+$C$3*$B$9*J23)/$C$2/J24+I23*1)/1</f>
        <v>6.7156443638947252</v>
      </c>
      <c r="L101" s="1">
        <f t="shared" si="1"/>
        <v>6.7156443638947252</v>
      </c>
      <c r="M101" s="1">
        <f t="shared" si="2"/>
        <v>6.7156443638947252</v>
      </c>
      <c r="N101" s="1" t="str">
        <f t="shared" si="3"/>
        <v>4喷涂加速</v>
      </c>
      <c r="O101" s="1" t="s">
        <v>160</v>
      </c>
      <c r="P101" s="1">
        <f t="shared" si="4"/>
        <v>2843896.8720082436</v>
      </c>
      <c r="Q101" s="1" t="s">
        <v>74</v>
      </c>
    </row>
    <row r="102" spans="1:17" x14ac:dyDescent="0.2">
      <c r="A102" s="1" t="s">
        <v>162</v>
      </c>
      <c r="B102" s="1" t="s">
        <v>163</v>
      </c>
      <c r="C102" s="1">
        <f>(($M$57)+2*($B$6+$C$3*$B$9)/$C$2)/1</f>
        <v>18.914188727789451</v>
      </c>
      <c r="D102" s="1">
        <f>(($M$57)+2*($B$6+$C$3*$B$9*D23)/$C$2+C23*1)/1/C24</f>
        <v>17.062877499286945</v>
      </c>
      <c r="E102" s="1">
        <f>(($M$57)+2*($B$6+$C$3*$B$9*D23)/$C$2/D24+C23*1)/1</f>
        <v>16.977953186697814</v>
      </c>
      <c r="F102" s="1">
        <f>(($M$57)+2*($B$6+$C$3*$B$9*F23)/$C$2+E23*1)/1/E24</f>
        <v>16.27261742478068</v>
      </c>
      <c r="G102" s="1">
        <f>(($M$57)+2*($B$6+$C$3*$B$9*F23)/$C$2/F24+E23*1)/1</f>
        <v>15.821714243070145</v>
      </c>
      <c r="H102" s="1">
        <f>(($M$57)+2*($B$6+$C$3*$B$9*H23)/$C$2+G23*1)/1/G24</f>
        <v>16.175942341751167</v>
      </c>
      <c r="I102" s="1">
        <f>(($M$57)+2*($B$6+$C$3*$B$9*H23)/$C$2/H24+G23*1)/1</f>
        <v>15.039683654359463</v>
      </c>
      <c r="J102" s="1">
        <f>(($M$57)+2*($B$6+$C$3*$B$9*J23)/$C$2+I23*1)/1/I24</f>
        <v>16.117546473347339</v>
      </c>
      <c r="K102" s="1">
        <f>(($M$57)+2*($B$6+$C$3*$B$9*J23)/$C$2/J24+I23*1)/1</f>
        <v>14.561433091684176</v>
      </c>
      <c r="L102" s="1">
        <f t="shared" si="1"/>
        <v>14.561433091684176</v>
      </c>
      <c r="M102" s="1">
        <f t="shared" si="2"/>
        <v>14.561433091684176</v>
      </c>
      <c r="N102" s="1" t="str">
        <f t="shared" si="3"/>
        <v>4喷涂加速</v>
      </c>
      <c r="O102" s="1" t="s">
        <v>162</v>
      </c>
      <c r="P102" s="1">
        <f t="shared" si="4"/>
        <v>1311587.9377907477</v>
      </c>
      <c r="Q102" s="1" t="s">
        <v>74</v>
      </c>
    </row>
    <row r="103" spans="1:17" x14ac:dyDescent="0.2">
      <c r="A103" s="1" t="s">
        <v>164</v>
      </c>
      <c r="B103" s="1" t="s">
        <v>165</v>
      </c>
      <c r="C103" s="1">
        <f>((2*$M$98+$M$65+$O$29)+(6/$D$2)*($I$6+$D$3*$B$9))/1</f>
        <v>194.24498800284198</v>
      </c>
      <c r="D103" s="1">
        <f>((2*$M$98+$M$65+$O$29)+(6/$D$2)*($I$6+$D$3*$B$9*D23)+C23*4)/1/C24</f>
        <v>173.69975274531149</v>
      </c>
      <c r="E103" s="1">
        <f>((2*$M$98+$M$65+$O$29)+(6/$D$2)*($I$6+$D$3*$B$9*D23)/D24+C23*4)/1</f>
        <v>177.00551783847541</v>
      </c>
      <c r="F103" s="1">
        <f>((2*$M$98+$M$65+$O$29)+(6/$D$2)*($I$6+$D$3*$B$9*F23)+E23*4)/1/E24</f>
        <v>163.99379727552622</v>
      </c>
      <c r="G103" s="1">
        <f>((2*$M$98+$M$65+$O$29)+(6/$D$2)*($I$6+$D$3*$B$9*F23)/F24+E23*4)/1</f>
        <v>166.05999673063144</v>
      </c>
      <c r="H103" s="1">
        <f>((2*$M$98+$M$65+$O$29)+(6/$D$2)*($I$6+$D$3*$B$9*H23)+G23*4)/1/G24</f>
        <v>161.63333107450194</v>
      </c>
      <c r="I103" s="1">
        <f>((2*$M$98+$M$65+$O$29)+(6/$D$2)*($I$6+$D$3*$B$9*H23)/H24+G23*4)/1</f>
        <v>158.41718485197919</v>
      </c>
      <c r="J103" s="1">
        <f>((2*$M$98+$M$65+$O$29)+(6/$D$2)*($I$6+$D$3*$B$9*J23)+I23*4)/1/I24</f>
        <v>159.50493236673671</v>
      </c>
      <c r="K103" s="1">
        <f>((2*$M$98+$M$65+$O$29)+(6/$D$2)*($I$6+$D$3*$B$9*J23)/J24+I23*4)/1</f>
        <v>153.11816545842089</v>
      </c>
      <c r="L103" s="1">
        <f t="shared" si="1"/>
        <v>153.11816545842089</v>
      </c>
      <c r="M103" s="1">
        <f t="shared" si="2"/>
        <v>153.11816545842089</v>
      </c>
      <c r="N103" s="1" t="str">
        <f t="shared" si="3"/>
        <v>4喷涂加速</v>
      </c>
      <c r="O103" s="1" t="s">
        <v>164</v>
      </c>
      <c r="P103" s="1">
        <f t="shared" si="4"/>
        <v>124731.11823682481</v>
      </c>
      <c r="Q103" s="1" t="s">
        <v>74</v>
      </c>
    </row>
    <row r="104" spans="1:17" x14ac:dyDescent="0.2">
      <c r="A104" s="1" t="s">
        <v>282</v>
      </c>
      <c r="B104" s="1" t="s">
        <v>283</v>
      </c>
      <c r="C104" s="1">
        <f>$F$29</f>
        <v>0</v>
      </c>
      <c r="D104" s="1" t="s">
        <v>284</v>
      </c>
      <c r="E104" s="1" t="s">
        <v>284</v>
      </c>
      <c r="F104" s="1" t="s">
        <v>284</v>
      </c>
      <c r="G104" s="1" t="s">
        <v>284</v>
      </c>
      <c r="H104" s="1" t="s">
        <v>284</v>
      </c>
      <c r="I104" s="1" t="s">
        <v>284</v>
      </c>
      <c r="J104" s="1" t="s">
        <v>284</v>
      </c>
      <c r="K104" s="1" t="s">
        <v>284</v>
      </c>
      <c r="L104" s="1">
        <f t="shared" si="1"/>
        <v>0</v>
      </c>
      <c r="M104" s="1">
        <f t="shared" si="2"/>
        <v>0</v>
      </c>
      <c r="N104" s="1" t="str">
        <f t="shared" si="3"/>
        <v>不使用增产剂</v>
      </c>
      <c r="O104" s="1" t="s">
        <v>282</v>
      </c>
      <c r="P104" s="1" t="e">
        <f t="shared" si="4"/>
        <v>#DIV/0!</v>
      </c>
      <c r="Q104" s="1" t="s">
        <v>74</v>
      </c>
    </row>
    <row r="105" spans="1:17" x14ac:dyDescent="0.2">
      <c r="M105" s="1">
        <f t="shared" si="2"/>
        <v>0</v>
      </c>
    </row>
    <row r="106" spans="1:17" x14ac:dyDescent="0.2">
      <c r="M106" s="1">
        <f t="shared" si="2"/>
        <v>0</v>
      </c>
    </row>
    <row r="107" spans="1:17" x14ac:dyDescent="0.2">
      <c r="M107" s="1">
        <f t="shared" si="2"/>
        <v>0</v>
      </c>
    </row>
    <row r="108" spans="1:17" x14ac:dyDescent="0.2">
      <c r="M108" s="1">
        <f t="shared" si="2"/>
        <v>0</v>
      </c>
    </row>
    <row r="109" spans="1:17" x14ac:dyDescent="0.2">
      <c r="M109" s="1">
        <f t="shared" si="2"/>
        <v>0</v>
      </c>
    </row>
    <row r="110" spans="1:17" x14ac:dyDescent="0.2">
      <c r="M110" s="1">
        <f t="shared" si="2"/>
        <v>0</v>
      </c>
    </row>
    <row r="111" spans="1:17" x14ac:dyDescent="0.2">
      <c r="M111" s="1">
        <f t="shared" si="2"/>
        <v>0</v>
      </c>
    </row>
    <row r="112" spans="1:17" x14ac:dyDescent="0.2">
      <c r="M112" s="1">
        <f t="shared" si="2"/>
        <v>0</v>
      </c>
    </row>
    <row r="113" spans="1:17" x14ac:dyDescent="0.2">
      <c r="M113" s="1">
        <f t="shared" si="2"/>
        <v>0</v>
      </c>
    </row>
    <row r="114" spans="1:17" x14ac:dyDescent="0.2">
      <c r="M114" s="1">
        <f t="shared" si="2"/>
        <v>0</v>
      </c>
    </row>
    <row r="115" spans="1:17" ht="19.5" x14ac:dyDescent="0.2">
      <c r="A115" s="12" t="s">
        <v>166</v>
      </c>
      <c r="B115" s="12"/>
      <c r="C115" s="12"/>
      <c r="D115" s="12"/>
      <c r="E115" s="12"/>
      <c r="F115" s="12"/>
      <c r="G115" s="12"/>
      <c r="H115" s="12"/>
      <c r="I115" s="12"/>
      <c r="J115" s="12"/>
      <c r="M115" s="1">
        <f t="shared" si="2"/>
        <v>0</v>
      </c>
    </row>
    <row r="116" spans="1:17" x14ac:dyDescent="0.2">
      <c r="A116" s="1" t="s">
        <v>167</v>
      </c>
      <c r="B116" s="1" t="s">
        <v>168</v>
      </c>
      <c r="C116" s="1">
        <f>((2*$M$86+3*$M$67+$L$48)+(3/$B$2)*($F$6+$B$3*$B$9))</f>
        <v>293.44775565860772</v>
      </c>
      <c r="D116" s="1">
        <f>((2*$M$86+3*$M$67+$L$48)+(3/$B$2)*($F$6+$B$3*$B$9*D23)+6*C23)/C24</f>
        <v>262.26196125516259</v>
      </c>
      <c r="E116" s="1">
        <f>((2*$M$86+3*$M$67+$L$48)+(3/$B$2)*($F$6+$B$3*$B$9*D23)/D24+6*C23)</f>
        <v>286.21803041205789</v>
      </c>
      <c r="F116" s="1">
        <f>((2*$M$86+3*$M$67+$L$48)+(3/$B$2)*($F$6+$B$3*$B$9*F23)+6*E23)/E24</f>
        <v>247.42500729190991</v>
      </c>
      <c r="G116" s="1">
        <f>((2*$M$86+3*$M$67+$L$48)+(3/$B$2)*($F$6+$B$3*$B$9*F23)/F24+6*E23)</f>
        <v>282.18520208362526</v>
      </c>
      <c r="H116" s="1">
        <f>((2*$M$86+3*$M$67+$L$48)+(3/$B$2)*($F$6+$B$3*$B$9*H23)+6*G23)/G24</f>
        <v>243.68752612550367</v>
      </c>
      <c r="I116" s="1">
        <f>((2*$M$86+3*$M$67+$L$48)+(3/$B$2)*($F$6+$B$3*$B$9*H23)/H24+6*G23)</f>
        <v>279.5677366465992</v>
      </c>
      <c r="J116" s="1">
        <f>((2*$M$86+3*$M$67+$L$48)+(3/$B$2)*($F$6+$B$3*$B$9*J23)+6*I23)/I24</f>
        <v>240.30601747358082</v>
      </c>
      <c r="K116" s="1">
        <f>((2*$M$86+3*$M$67+$L$48)+(3/$B$2)*($F$6+$B$3*$B$9*J23)/J24+6*I23)</f>
        <v>278.25427184197605</v>
      </c>
      <c r="L116" s="1">
        <f t="shared" si="1"/>
        <v>240.30601747358082</v>
      </c>
      <c r="M116" s="1">
        <f t="shared" si="2"/>
        <v>240.30601747358082</v>
      </c>
      <c r="N116" s="1" t="str">
        <f t="shared" si="3"/>
        <v>4喷涂增产</v>
      </c>
      <c r="O116" s="1" t="s">
        <v>167</v>
      </c>
      <c r="P116" s="1">
        <f t="shared" ref="P116:P131" si="5">60*318310/M116</f>
        <v>79476.162106925578</v>
      </c>
      <c r="Q116" s="1" t="s">
        <v>74</v>
      </c>
    </row>
    <row r="117" spans="1:17" x14ac:dyDescent="0.2">
      <c r="A117" s="1" t="s">
        <v>169</v>
      </c>
      <c r="B117" s="1" t="s">
        <v>170</v>
      </c>
      <c r="C117" s="1">
        <f>(4*$H$49+$M$93)+(6/$B$2)*($E$6+$B$3*$B$9)</f>
        <v>644.66310147999468</v>
      </c>
      <c r="D117" s="1">
        <f>((4*$H$49+$M$93)+(6/$B$2)*($E$6+$B$3*$B$9*D23)+C23*5)/C24</f>
        <v>574.24871446625468</v>
      </c>
      <c r="E117" s="1">
        <f>((4*$H$49+$M$93)+(6/$B$2)*($E$6+$B$3*$B$9*D23)/D24+C23*5)</f>
        <v>632.37645177453658</v>
      </c>
      <c r="F117" s="1">
        <f>((4*$H$49+$M$93)+(6/$B$2)*($E$6+$B$3*$B$9*F23)+E23*5)/E24</f>
        <v>539.69341865810964</v>
      </c>
      <c r="G117" s="1">
        <f>((4*$H$49+$M$93)+(6/$B$2)*($E$6+$B$3*$B$9*F23)/F24+E23*5)</f>
        <v>624.84915572306477</v>
      </c>
      <c r="H117" s="1">
        <f>((4*$H$49+$M$93)+(6/$B$2)*($E$6+$B$3*$B$9*H23)+G23*5)/G24</f>
        <v>529.81169361981495</v>
      </c>
      <c r="I117" s="1">
        <f>((4*$H$49+$M$93)+(6/$B$2)*($E$6+$B$3*$B$9*H23)/H24+G23*5)</f>
        <v>619.69178754141615</v>
      </c>
      <c r="J117" s="1">
        <f>((4*$H$49+$M$93)+(6/$B$2)*($E$6+$B$3*$B$9*J23)+I23*5)/I24</f>
        <v>520.49729863957464</v>
      </c>
      <c r="K117" s="1">
        <f>((4*$H$49+$M$93)+(6/$B$2)*($E$6+$B$3*$B$9*J23)/J24+I23*5)</f>
        <v>616.36512329946822</v>
      </c>
      <c r="L117" s="1">
        <f t="shared" si="1"/>
        <v>520.49729863957464</v>
      </c>
      <c r="M117" s="1">
        <f t="shared" si="2"/>
        <v>520.49729863957464</v>
      </c>
      <c r="N117" s="1" t="str">
        <f t="shared" si="3"/>
        <v>4喷涂增产</v>
      </c>
      <c r="O117" s="1" t="s">
        <v>169</v>
      </c>
      <c r="P117" s="1">
        <f t="shared" si="5"/>
        <v>36692.985823208051</v>
      </c>
      <c r="Q117" s="1" t="s">
        <v>74</v>
      </c>
    </row>
    <row r="118" spans="1:17" x14ac:dyDescent="0.2">
      <c r="A118" s="1" t="s">
        <v>171</v>
      </c>
      <c r="B118" s="1" t="s">
        <v>172</v>
      </c>
      <c r="C118" s="1">
        <f>(2*$M$84+2*$M$90)+(6/$B$2)*($E$6+$B$3*$B$9)</f>
        <v>970.44016871110159</v>
      </c>
      <c r="D118" s="1">
        <f>((2*$M$84+2*$M$90)+(6/$B$2)*($E$6+$B$3*$B$9*D23)+C23*4)/C24</f>
        <v>863.59630448598671</v>
      </c>
      <c r="E118" s="1">
        <f>((2*$M$84+2*$M$90)+(6/$B$2)*($E$6+$B$3*$B$9*D23)/D24+C23*4)</f>
        <v>957.89249054673508</v>
      </c>
      <c r="F118" s="1">
        <f>((2*$M$84+2*$M$90)+(6/$B$2)*($E$6+$B$3*$B$9*F23)+E23*4)/E24</f>
        <v>810.70341453240917</v>
      </c>
      <c r="G118" s="1">
        <f>((2*$M$84+2*$M$90)+(6/$B$2)*($E$6+$B$3*$B$9*F23)/F24+E23*4)</f>
        <v>950.06115077222432</v>
      </c>
      <c r="H118" s="1">
        <f>((2*$M$84+2*$M$90)+(6/$B$2)*($E$6+$B$3*$B$9*H23)+G23*4)/G24</f>
        <v>795.07778879553007</v>
      </c>
      <c r="I118" s="1">
        <f>((2*$M$84+2*$M$90)+(6/$B$2)*($E$6+$B$3*$B$9*H23)/H24+G23*4)</f>
        <v>944.64275413166729</v>
      </c>
      <c r="J118" s="1">
        <f>((2*$M$84+2*$M$90)+(6/$B$2)*($E$6+$B$3*$B$9*J23)+I23*4)/I24</f>
        <v>780.21483693334437</v>
      </c>
      <c r="K118" s="1">
        <f>((2*$M$84+2*$M$90)+(6/$B$2)*($E$6+$B$3*$B$9*J23)/J24+I23*4)</f>
        <v>941.01204616668042</v>
      </c>
      <c r="L118" s="1">
        <f t="shared" si="1"/>
        <v>780.21483693334437</v>
      </c>
      <c r="M118" s="1">
        <f t="shared" si="2"/>
        <v>780.21483693334437</v>
      </c>
      <c r="N118" s="1" t="str">
        <f t="shared" si="3"/>
        <v>4喷涂增产</v>
      </c>
      <c r="O118" s="1" t="s">
        <v>171</v>
      </c>
      <c r="P118" s="1">
        <f t="shared" si="5"/>
        <v>24478.642414783557</v>
      </c>
      <c r="Q118" s="1" t="s">
        <v>74</v>
      </c>
    </row>
    <row r="119" spans="1:17" x14ac:dyDescent="0.2">
      <c r="A119" s="1" t="s">
        <v>173</v>
      </c>
      <c r="B119" s="1" t="s">
        <v>174</v>
      </c>
      <c r="C119" s="1">
        <f>((4*$M$66+$M$77+$M$57)+(6/$B$2)*($F$6+$B$3*$B$9))</f>
        <v>203.32870346126288</v>
      </c>
      <c r="D119" s="1">
        <f>((4*$M$66+$M$77+$M$57)+(6/$B$2)*($F$6+$B$3*$B$9*D23)+C23*6)/C24</f>
        <v>182.18349707974494</v>
      </c>
      <c r="E119" s="1">
        <f>((4*$M$66+$M$77+$M$57)+(6/$B$2)*($F$6+$B$3*$B$9*D23)/D24+C23*6)</f>
        <v>187.30308221471307</v>
      </c>
      <c r="F119" s="1">
        <f>((4*$M$66+$M$77+$M$57)+(6/$B$2)*($F$6+$B$3*$B$9*F23)+E23*6)/E24</f>
        <v>172.38564712745585</v>
      </c>
      <c r="G119" s="1">
        <f>((4*$M$66+$M$77+$M$57)+(6/$B$2)*($F$6+$B$3*$B$9*F23)/F24+E23*6)</f>
        <v>177.41316321961369</v>
      </c>
      <c r="H119" s="1">
        <f>((4*$M$66+$M$77+$M$57)+(6/$B$2)*($F$6+$B$3*$B$9*H23)+G23*6)/G24</f>
        <v>170.21308351542629</v>
      </c>
      <c r="I119" s="1">
        <f>((4*$M$66+$M$77+$M$57)+(6/$B$2)*($F$6+$B$3*$B$9*H23)/H24+G23*6)</f>
        <v>170.6120615921115</v>
      </c>
      <c r="J119" s="1">
        <f>((4*$M$66+$M$77+$M$57)+(6/$B$2)*($F$6+$B$3*$B$9*J23)+I23*6)/I24</f>
        <v>168.33389571570495</v>
      </c>
      <c r="K119" s="1">
        <f>((4*$M$66+$M$77+$M$57)+(6/$B$2)*($F$6+$B$3*$B$9*J23)/J24+I23*6)</f>
        <v>166.16086964463119</v>
      </c>
      <c r="L119" s="1">
        <f t="shared" si="1"/>
        <v>166.16086964463119</v>
      </c>
      <c r="M119" s="1">
        <f t="shared" si="2"/>
        <v>166.16086964463119</v>
      </c>
      <c r="N119" s="1" t="str">
        <f t="shared" si="3"/>
        <v>4喷涂加速</v>
      </c>
      <c r="O119" s="1" t="s">
        <v>173</v>
      </c>
      <c r="P119" s="1">
        <f t="shared" si="5"/>
        <v>114940.41913024553</v>
      </c>
      <c r="Q119" s="1" t="s">
        <v>74</v>
      </c>
    </row>
    <row r="120" spans="1:17" x14ac:dyDescent="0.2">
      <c r="A120" s="1" t="s">
        <v>175</v>
      </c>
      <c r="B120" s="1" t="s">
        <v>176</v>
      </c>
      <c r="C120" s="1">
        <f>((3*$M$119+3*$M$96+3*$M$84)+(8/$B$2)*($F$6+$B$3*$B$9))</f>
        <v>1070.5797576443222</v>
      </c>
      <c r="D120" s="1">
        <f>((3*$M$119+3*$M$96+3*$M$84)+(8/$B$2)*($F$6+$B$3*$B$9*D23)+C23*9)/C24</f>
        <v>953.78763891066433</v>
      </c>
      <c r="E120" s="1">
        <f>((3*$M$119+3*$M$96+3*$M$84)+(8/$B$2)*($F$6+$B$3*$B$9*D23)/D24+C23*9)</f>
        <v>1049.4732911078308</v>
      </c>
      <c r="F120" s="1">
        <f>((3*$M$119+3*$M$96+3*$M$84)+(8/$B$2)*($F$6+$B$3*$B$9*F23)+E23*9)/E24</f>
        <v>896.54743940154049</v>
      </c>
      <c r="G120" s="1">
        <f>((3*$M$119+3*$M$96+3*$M$84)+(8/$B$2)*($F$6+$B$3*$B$9*F23)/F24+E23*9)</f>
        <v>1036.5907761707374</v>
      </c>
      <c r="H120" s="1">
        <f>((3*$M$119+3*$M$96+3*$M$84)+(8/$B$2)*($F$6+$B$3*$B$9*H23)+G23*9)/G24</f>
        <v>880.25765176491734</v>
      </c>
      <c r="I120" s="1">
        <f>((3*$M$119+3*$M$96+3*$M$84)+(8/$B$2)*($F$6+$B$3*$B$9*H23)/H24+G23*9)</f>
        <v>1027.7836691263094</v>
      </c>
      <c r="J120" s="1">
        <f>((3*$M$119+3*$M$96+3*$M$84)+(8/$B$2)*($F$6+$B$3*$B$9*J23)+I23*9)/I24</f>
        <v>864.92916553549969</v>
      </c>
      <c r="K120" s="1">
        <f>((3*$M$119+3*$M$96+3*$M$84)+(8/$B$2)*($F$6+$B$3*$B$9*J23)/J24+I23*9)</f>
        <v>1022.1527902527081</v>
      </c>
      <c r="L120" s="1">
        <f t="shared" ref="L120:L140" si="6">MIN(C120:K120)</f>
        <v>864.92916553549969</v>
      </c>
      <c r="M120" s="1">
        <f t="shared" ref="M120:M140" si="7">L120</f>
        <v>864.92916553549969</v>
      </c>
      <c r="N120" s="1" t="str">
        <f t="shared" ref="N120:N140" si="8">IF(C120=M120,$C$53,"")&amp;IF(D120=M120,$D$53,"")&amp;IF(E120=M120,$E$53,"")&amp;IF(F120=M120,$F$53,"")&amp;IF(G120=M120,$G$53,"")&amp;IF(H120=M120,$H$53,"")&amp;IF(I120=M120,$I$53,"")&amp;IF(J120=M120,$J$53,"")&amp;IF(K120=M120,$K$53,"")</f>
        <v>4喷涂增产</v>
      </c>
      <c r="O120" s="1" t="s">
        <v>175</v>
      </c>
      <c r="P120" s="1">
        <f t="shared" si="5"/>
        <v>22081.114571012957</v>
      </c>
      <c r="Q120" s="1" t="s">
        <v>74</v>
      </c>
    </row>
    <row r="121" spans="1:17" x14ac:dyDescent="0.2">
      <c r="A121" s="1" t="s">
        <v>177</v>
      </c>
      <c r="B121" s="1" t="s">
        <v>178</v>
      </c>
      <c r="C121" s="1">
        <f>(($B$49+$M$84)+(20/$B$2)*($E$6+$B$3*$B$9))</f>
        <v>589.78372476758534</v>
      </c>
      <c r="D121" s="1">
        <f>(($B$49+$M$84)+(20/$B$2)*($E$6+$B$3*$B$9*D23)+C23*2)/C24</f>
        <v>524.89865038702408</v>
      </c>
      <c r="E121" s="1">
        <f>(($B$49+$M$84)+(20/$B$2)*($E$6+$B$3*$B$9*D23)/D24+C23*2)</f>
        <v>544.99980835206873</v>
      </c>
      <c r="F121" s="1">
        <f>(($B$49+$M$84)+(20/$B$2)*($E$6+$B$3*$B$9*F23)+E23*2)/E24</f>
        <v>492.82722427623338</v>
      </c>
      <c r="G121" s="1">
        <f>(($B$49+$M$84)+(20/$B$2)*($E$6+$B$3*$B$9*F23)/F24+E23*2)</f>
        <v>515.44951357592447</v>
      </c>
      <c r="H121" s="1">
        <f>(($B$49+$M$84)+(20/$B$2)*($E$6+$B$3*$B$9*H23)+G23*2)/G24</f>
        <v>483.41904167289528</v>
      </c>
      <c r="I121" s="1">
        <f>(($B$49+$M$84)+(20/$B$2)*($E$6+$B$3*$B$9*H23)/H24+G23*2)</f>
        <v>494.42986890643959</v>
      </c>
      <c r="J121" s="1">
        <f>(($B$49+$M$84)+(20/$B$2)*($E$6+$B$3*$B$9*J23)+I23*2)/I24</f>
        <v>474.45601079629978</v>
      </c>
      <c r="K121" s="1">
        <f>(($B$49+$M$84)+(20/$B$2)*($E$6+$B$3*$B$9*J23)/J24+I23*2)</f>
        <v>478.88168016204139</v>
      </c>
      <c r="L121" s="1">
        <f t="shared" si="6"/>
        <v>474.45601079629978</v>
      </c>
      <c r="M121" s="1">
        <f t="shared" si="7"/>
        <v>474.45601079629978</v>
      </c>
      <c r="N121" s="1" t="str">
        <f t="shared" si="8"/>
        <v>4喷涂增产</v>
      </c>
      <c r="O121" s="1" t="s">
        <v>177</v>
      </c>
      <c r="P121" s="1">
        <f t="shared" si="5"/>
        <v>40253.67908806973</v>
      </c>
      <c r="Q121" s="1" t="s">
        <v>74</v>
      </c>
    </row>
    <row r="122" spans="1:17" x14ac:dyDescent="0.2">
      <c r="A122" s="1" t="s">
        <v>179</v>
      </c>
      <c r="B122" s="1" t="s">
        <v>180</v>
      </c>
      <c r="C122" s="1">
        <f>($M$139+(10/$B$2)*($D$6+$B$3*$B$9))/8</f>
        <v>79.928171215035434</v>
      </c>
      <c r="D122" s="1">
        <f>($M$139+(10/$B$2)*($D$6+$B$3*$B$9*D23)+C23*1)/C24/8</f>
        <v>71.087666464354655</v>
      </c>
      <c r="E122" s="1">
        <f>($M$139+(10/$B$2)*($D$6+$B$3*$B$9*D23)/D24+C23*1)/8</f>
        <v>77.962509772398988</v>
      </c>
      <c r="F122" s="1">
        <f>($M$139+(10/$B$2)*($D$6+$B$3*$B$9*F23)+E23*1)/E24/8</f>
        <v>66.690608531482383</v>
      </c>
      <c r="G122" s="1">
        <f>($M$139+(10/$B$2)*($D$6+$B$3*$B$9*F23)/F24+E23*1)/8</f>
        <v>76.671171904445529</v>
      </c>
      <c r="H122" s="1">
        <f>($M$139+(10/$B$2)*($D$6+$B$3*$B$9*H23)+G23*1)/G24/8</f>
        <v>65.37017044501421</v>
      </c>
      <c r="I122" s="1">
        <f>($M$139+(10/$B$2)*($D$6+$B$3*$B$9*H23)/H24+G23*1)/8</f>
        <v>75.754269509428127</v>
      </c>
      <c r="J122" s="1">
        <f>($M$139+(10/$B$2)*($D$6+$B$3*$B$9*J23)+I23*1)/I24/8</f>
        <v>64.106851408417825</v>
      </c>
      <c r="K122" s="1">
        <f>($M$139+(10/$B$2)*($D$6+$B$3*$B$9*J23)/J24+I23*1)/8</f>
        <v>75.080126760522276</v>
      </c>
      <c r="L122" s="1">
        <f t="shared" si="6"/>
        <v>64.106851408417825</v>
      </c>
      <c r="M122" s="1">
        <f t="shared" si="7"/>
        <v>64.106851408417825</v>
      </c>
      <c r="N122" s="1" t="str">
        <f t="shared" si="8"/>
        <v>4喷涂增产</v>
      </c>
      <c r="O122" s="1" t="s">
        <v>179</v>
      </c>
      <c r="P122" s="1">
        <f t="shared" si="5"/>
        <v>297918.2346411756</v>
      </c>
      <c r="Q122" s="1" t="s">
        <v>74</v>
      </c>
    </row>
    <row r="123" spans="1:17" x14ac:dyDescent="0.2">
      <c r="A123" s="1" t="s">
        <v>181</v>
      </c>
      <c r="B123" s="1" t="s">
        <v>182</v>
      </c>
      <c r="C123" s="1">
        <f>((2*$M$120+4*$M$128+2*$M$118)+(6/$B$2)*($F$6+$B$3*$B$9))</f>
        <v>4196.4567266501526</v>
      </c>
      <c r="D123" s="1">
        <f>((2*$M$120+4*$M$128+2*$M$118)+(6/$B$2)*($F$6+$B$3*$B$9*D23)+C23*8)/C24</f>
        <v>3732.0946793968178</v>
      </c>
      <c r="E123" s="1">
        <f>((2*$M$120+4*$M$128+2*$M$118)+(6/$B$2)*($F$6+$B$3*$B$9*D23)/D24+C23*8)</f>
        <v>4180.9531623214198</v>
      </c>
      <c r="F123" s="1">
        <f>((2*$M$120+4*$M$128+2*$M$118)+(6/$B$2)*($F$6+$B$3*$B$9*F23)+E23*8)/E24</f>
        <v>3500.934120088109</v>
      </c>
      <c r="G123" s="1">
        <f>((2*$M$120+4*$M$128+2*$M$118)+(6/$B$2)*($F$6+$B$3*$B$9*F23)/F24+E23*8)</f>
        <v>4171.6713307723976</v>
      </c>
      <c r="H123" s="1">
        <f>((2*$M$120+4*$M$128+2*$M$118)+(6/$B$2)*($F$6+$B$3*$B$9*H23)+G23*8)/G24</f>
        <v>3431.2581647159168</v>
      </c>
      <c r="I123" s="1">
        <f>((2*$M$120+4*$M$128+2*$M$118)+(6/$B$2)*($F$6+$B$3*$B$9*H23)/H24+G23*8)</f>
        <v>4165.3922860627126</v>
      </c>
      <c r="J123" s="1">
        <f>((2*$M$120+4*$M$128+2*$M$118)+(6/$B$2)*($F$6+$B$3*$B$9*J23)+I23*8)/I24</f>
        <v>3364.644545249048</v>
      </c>
      <c r="K123" s="1">
        <f>((2*$M$120+4*$M$128+2*$M$118)+(6/$B$2)*($F$6+$B$3*$B$9*J23)/J24+I23*8)</f>
        <v>4161.5491815613104</v>
      </c>
      <c r="L123" s="1">
        <f t="shared" si="6"/>
        <v>3364.644545249048</v>
      </c>
      <c r="M123" s="1">
        <f t="shared" si="7"/>
        <v>3364.644545249048</v>
      </c>
      <c r="N123" s="1" t="str">
        <f t="shared" si="8"/>
        <v>4喷涂增产</v>
      </c>
      <c r="O123" s="1" t="s">
        <v>181</v>
      </c>
      <c r="P123" s="1">
        <f t="shared" si="5"/>
        <v>5676.2608183879756</v>
      </c>
      <c r="Q123" s="1" t="s">
        <v>74</v>
      </c>
    </row>
    <row r="124" spans="1:17" x14ac:dyDescent="0.2">
      <c r="A124" s="1" t="s">
        <v>183</v>
      </c>
      <c r="B124" s="1" t="s">
        <v>184</v>
      </c>
      <c r="C124" s="1">
        <f>($F$29+(0.5/$B$2)*($D$6+$B$3*$B$9))</f>
        <v>4.0170999999999992</v>
      </c>
      <c r="D124" s="1">
        <f>($F$29+(0.5/$B$2)*($D$6+$B$3*$B$9*D23)+C23)/C24</f>
        <v>3.8073408523629899</v>
      </c>
      <c r="E124" s="1">
        <f>($F$29+(0.5/$B$2)*($D$6+$B$3*$B$9*D23)/D24+C23)</f>
        <v>3.4788124589083633</v>
      </c>
      <c r="F124" s="1">
        <f>($F$29+(0.5/$B$2)*($D$6+$B$3*$B$9*F23)+E23)/E24</f>
        <v>3.8284518182894689</v>
      </c>
      <c r="G124" s="1">
        <f>($F$29+(0.5/$B$2)*($D$6+$B$3*$B$9*F23)/F24+E23)</f>
        <v>3.2511188486140292</v>
      </c>
      <c r="H124" s="1">
        <f>($F$29+(0.5/$B$2)*($D$6+$B$3*$B$9*H23)+G23)/G24</f>
        <v>3.9689882782495722</v>
      </c>
      <c r="I124" s="1">
        <f>($F$29+(0.5/$B$2)*($D$6+$B$3*$B$9*H23)/H24+G23)</f>
        <v>3.1323349265700124</v>
      </c>
      <c r="J124" s="1">
        <f>($F$29+(0.5/$B$2)*($D$6+$B$3*$B$9*J23)+I23)/I24</f>
        <v>4.1383154911157805</v>
      </c>
      <c r="K124" s="1">
        <f>($F$29+(0.5/$B$2)*($D$6+$B$3*$B$9*J23)/J24+I23)</f>
        <v>3.1515193638947254</v>
      </c>
      <c r="L124" s="1">
        <f t="shared" si="6"/>
        <v>3.1323349265700124</v>
      </c>
      <c r="M124" s="1">
        <f t="shared" si="7"/>
        <v>3.1323349265700124</v>
      </c>
      <c r="N124" s="1" t="str">
        <f t="shared" si="8"/>
        <v>3喷涂加速</v>
      </c>
      <c r="O124" s="1" t="s">
        <v>183</v>
      </c>
      <c r="P124" s="1">
        <f t="shared" si="5"/>
        <v>6097240.699899694</v>
      </c>
      <c r="Q124" s="1" t="s">
        <v>74</v>
      </c>
    </row>
    <row r="125" spans="1:17" x14ac:dyDescent="0.2">
      <c r="A125" s="1" t="s">
        <v>185</v>
      </c>
      <c r="B125" s="1" t="s">
        <v>186</v>
      </c>
      <c r="C125" s="1">
        <f>((2*$M$124+$H$49)+(1/$B$2)*($E$6+$B$3*$B$9))</f>
        <v>24.347847550368083</v>
      </c>
      <c r="D125" s="1">
        <f>((2*$M$124+$H$49)+(1/$B$2)*($E$6+$B$3*$B$9*D23)+3*C23)/C24</f>
        <v>22.347727046305046</v>
      </c>
      <c r="E125" s="1">
        <f>((2*$M$124+$H$49)+(1/$B$2)*($E$6+$B$3*$B$9*D23)/D24+3*C23)</f>
        <v>22.865634260426507</v>
      </c>
      <c r="F125" s="1">
        <f>((2*$M$124+$H$49)+(1/$B$2)*($E$6+$B$3*$B$9*F23)+3*E23)/E24</f>
        <v>21.722503413508477</v>
      </c>
      <c r="G125" s="1">
        <f>((2*$M$124+$H$49)+(1/$B$2)*($E$6+$B$3*$B$9*F23)/F24+3*E23)</f>
        <v>22.269846318432393</v>
      </c>
      <c r="H125" s="1">
        <f>((2*$M$124+$H$49)+(1/$B$2)*($E$6+$B$3*$B$9*H23)+3*G23)/G24</f>
        <v>21.929607733008378</v>
      </c>
      <c r="I125" s="1">
        <f>((2*$M$124+$H$49)+(1/$B$2)*($E$6+$B$3*$B$9*H23)/H24+3*G23)</f>
        <v>21.975846615792406</v>
      </c>
      <c r="J125" s="1">
        <f>((2*$M$124+$H$49)+(1/$B$2)*($E$6+$B$3*$B$9*J23)+3*I23)/I24</f>
        <v>22.23166451364181</v>
      </c>
      <c r="K125" s="1">
        <f>((2*$M$124+$H$49)+(1/$B$2)*($E$6+$B$3*$B$9*J23)/J24+3*I23)</f>
        <v>22.080163975385592</v>
      </c>
      <c r="L125" s="1">
        <f t="shared" si="6"/>
        <v>21.722503413508477</v>
      </c>
      <c r="M125" s="1">
        <f t="shared" si="7"/>
        <v>21.722503413508477</v>
      </c>
      <c r="N125" s="1" t="str">
        <f t="shared" si="8"/>
        <v>2喷涂增产</v>
      </c>
      <c r="O125" s="1" t="s">
        <v>185</v>
      </c>
      <c r="P125" s="1">
        <f t="shared" si="5"/>
        <v>879208.05610845191</v>
      </c>
      <c r="Q125" s="1" t="s">
        <v>74</v>
      </c>
    </row>
    <row r="126" spans="1:17" x14ac:dyDescent="0.2">
      <c r="A126" s="1" t="s">
        <v>45</v>
      </c>
      <c r="B126" s="1" t="s">
        <v>187</v>
      </c>
      <c r="C126" s="1">
        <f>((2*$M$125+$G$49)+(2/$B$2)*($E$6+$B$3*$B$9))</f>
        <v>101.04522313120988</v>
      </c>
      <c r="D126" s="1">
        <f>((2*$M$125+$G$49)+(2/$B$2)*($E$6+$B$3*$B$9*D23)+3*C23)/C24</f>
        <v>90.5322920070533</v>
      </c>
      <c r="E126" s="1">
        <f>((2*$M$125+$G$49)+(2/$B$2)*($E$6+$B$3*$B$9*D23)/D24+3*C23)</f>
        <v>97.297711174601645</v>
      </c>
      <c r="F126" s="1">
        <f>((2*$M$125+$G$49)+(2/$B$2)*($E$6+$B$3*$B$9*F23)+3*E23)/E24</f>
        <v>85.656933064209966</v>
      </c>
      <c r="G126" s="1">
        <f>((2*$M$125+$G$49)+(2/$B$2)*($E$6+$B$3*$B$9*F23)/F24+3*E23)</f>
        <v>95.194004121496405</v>
      </c>
      <c r="H126" s="1">
        <f>((2*$M$125+$G$49)+(2/$B$2)*($E$6+$B$3*$B$9*H23)+3*G23)/G24</f>
        <v>84.570420452062905</v>
      </c>
      <c r="I126" s="1">
        <f>((2*$M$125+$G$49)+(2/$B$2)*($E$6+$B$3*$B$9*H23)/H24+3*G23)</f>
        <v>93.822919339491349</v>
      </c>
      <c r="J126" s="1">
        <f>((2*$M$125+$G$49)+(2/$B$2)*($E$6+$B$3*$B$9*J23)+3*I23)/I24</f>
        <v>83.630604978315233</v>
      </c>
      <c r="K126" s="1">
        <f>((2*$M$125+$G$49)+(2/$B$2)*($E$6+$B$3*$B$9*J23)/J24+3*I23)</f>
        <v>93.119422889560724</v>
      </c>
      <c r="L126" s="1">
        <f t="shared" si="6"/>
        <v>83.630604978315233</v>
      </c>
      <c r="M126" s="1">
        <f t="shared" si="7"/>
        <v>83.630604978315233</v>
      </c>
      <c r="N126" s="1" t="str">
        <f t="shared" si="8"/>
        <v>4喷涂增产</v>
      </c>
      <c r="O126" s="1" t="s">
        <v>45</v>
      </c>
      <c r="P126" s="1">
        <f t="shared" si="5"/>
        <v>228368.55006551871</v>
      </c>
      <c r="Q126" s="1" t="s">
        <v>74</v>
      </c>
    </row>
    <row r="127" spans="1:17" x14ac:dyDescent="0.2">
      <c r="A127" s="1" t="s">
        <v>188</v>
      </c>
      <c r="B127" s="1" t="s">
        <v>189</v>
      </c>
      <c r="C127" s="1">
        <f>($M$58+10*$L$29+(6/$B$2)*($E$6+$B$3*$B$9))/2</f>
        <v>38.02549436389473</v>
      </c>
      <c r="D127" s="1">
        <f>($M$58+10*$L$29+(6/$B$2)*($E$6+$B$3*$B$9*D23)+11*C23)/2/C24</f>
        <v>35.103938567013984</v>
      </c>
      <c r="E127" s="1">
        <f>($M$58+10*$L$29+(6/$B$2)*($E$6+$B$3*$B$9*D23)/D24+11*C23)/2</f>
        <v>32.665254887890733</v>
      </c>
      <c r="F127" s="1">
        <f>($M$58+10*$L$29+(6/$B$2)*($E$6+$B$3*$B$9*F23)+11*E23)/2/E24</f>
        <v>34.337676137171016</v>
      </c>
      <c r="G127" s="1">
        <f>($M$58+10*$L$29+(6/$B$2)*($E$6+$B$3*$B$9*F23)/F24+11*E23)/2</f>
        <v>29.813738031271882</v>
      </c>
      <c r="H127" s="1">
        <f>($M$58+10*$L$29+(6/$B$2)*($E$6+$B$3*$B$9*H23)+11*G23)/2/G24</f>
        <v>34.842373786613244</v>
      </c>
      <c r="I127" s="1">
        <f>($M$58+10*$L$29+(6/$B$2)*($E$6+$B$3*$B$9*H23)/H24+11*G23)/2</f>
        <v>28.018139317172647</v>
      </c>
      <c r="J127" s="1">
        <f>($M$58+10*$L$29+(6/$B$2)*($E$6+$B$3*$B$9*J23)+11*I23)/2/I24</f>
        <v>35.516150692252573</v>
      </c>
      <c r="K127" s="1">
        <f>($M$58+10*$L$29+(6/$B$2)*($E$6+$B$3*$B$9*J23)/J24+11*I23)/2</f>
        <v>27.26693836531572</v>
      </c>
      <c r="L127" s="1">
        <f t="shared" si="6"/>
        <v>27.26693836531572</v>
      </c>
      <c r="M127" s="1">
        <f t="shared" si="7"/>
        <v>27.26693836531572</v>
      </c>
      <c r="N127" s="1" t="str">
        <f t="shared" si="8"/>
        <v>4喷涂加速</v>
      </c>
      <c r="O127" s="1" t="s">
        <v>188</v>
      </c>
      <c r="P127" s="1">
        <f t="shared" si="5"/>
        <v>700430.67337159987</v>
      </c>
      <c r="Q127" s="1" t="s">
        <v>74</v>
      </c>
    </row>
    <row r="128" spans="1:17" x14ac:dyDescent="0.2">
      <c r="A128" s="1" t="s">
        <v>190</v>
      </c>
      <c r="B128" s="1" t="s">
        <v>191</v>
      </c>
      <c r="C128" s="1">
        <f>(($M$77+20*$C$49+$M$116)+(12/$B$2)*($F$6+$B$3*$B$9))/2</f>
        <v>242.87421253230303</v>
      </c>
      <c r="D128" s="1">
        <f>(($M$77+20*$C$49+$M$116)+(12/$B$2)*($F$6+$B$3*$B$9*D23)+22*C23)/2/C24</f>
        <v>218.4951871824845</v>
      </c>
      <c r="E128" s="1">
        <f>(($M$77+20*$C$49+$M$116)+(12/$B$2)*($F$6+$B$3*$B$9*D23)/D24+22*C23)/2</f>
        <v>228.15373358029504</v>
      </c>
      <c r="F128" s="1">
        <f>(($M$77+20*$C$49+$M$116)+(12/$B$2)*($F$6+$B$3*$B$9*F23)+22*E23)/2/E24</f>
        <v>207.69470544477002</v>
      </c>
      <c r="G128" s="1">
        <f>(($M$77+20*$C$49+$M$116)+(12/$B$2)*($F$6+$B$3*$B$9*F23)/F24+22*E23)/2</f>
        <v>219.7840332003907</v>
      </c>
      <c r="H128" s="1">
        <f>(($M$77+20*$C$49+$M$116)+(12/$B$2)*($F$6+$B$3*$B$9*H23)+22*G23)/2/G24</f>
        <v>205.86697108711513</v>
      </c>
      <c r="I128" s="1">
        <f>(($M$77+20*$C$49+$M$116)+(12/$B$2)*($F$6+$B$3*$B$9*H23)/H24+22*G23)/2</f>
        <v>214.28807386743031</v>
      </c>
      <c r="J128" s="1">
        <f>(($M$77+20*$C$49+$M$116)+(12/$B$2)*($F$6+$B$3*$B$9*J23)+22*I23)/2/I24</f>
        <v>204.49088042811601</v>
      </c>
      <c r="K128" s="1">
        <f>(($M$77+20*$C$49+$M$116)+(12/$B$2)*($F$6+$B$3*$B$9*J23)/J24+22*I23)/2</f>
        <v>211.35710053514504</v>
      </c>
      <c r="L128" s="1">
        <f t="shared" si="6"/>
        <v>204.49088042811601</v>
      </c>
      <c r="M128" s="1">
        <f t="shared" si="7"/>
        <v>204.49088042811601</v>
      </c>
      <c r="N128" s="1" t="str">
        <f t="shared" si="8"/>
        <v>4喷涂增产</v>
      </c>
      <c r="O128" s="1" t="s">
        <v>190</v>
      </c>
      <c r="P128" s="1">
        <f t="shared" si="5"/>
        <v>93395.851981348707</v>
      </c>
      <c r="Q128" s="1" t="s">
        <v>74</v>
      </c>
    </row>
    <row r="129" spans="1:17" x14ac:dyDescent="0.2">
      <c r="A129" s="1" t="s">
        <v>192</v>
      </c>
      <c r="B129" s="1" t="s">
        <v>193</v>
      </c>
      <c r="C129" s="1">
        <f>((12*$M$97+12*$L$29+$M$121+$M$77)+(24/$B$2)*($G$6+$B$3*$B$9))/2</f>
        <v>536.48526276488656</v>
      </c>
      <c r="D129" s="1" t="s">
        <v>278</v>
      </c>
      <c r="E129" s="1">
        <f>((12*$M$97+12*$L$29+$M$121+$M$77)+(24/$B$2)*($G$6+$B$3*$B$9*D23)/D24+C23*26)/2</f>
        <v>496.69504873069531</v>
      </c>
      <c r="F129" s="1" t="s">
        <v>278</v>
      </c>
      <c r="G129" s="1">
        <f>((12*$M$97+12*$L$29+$M$121+$M$77)+(24/$B$2)*($G$6+$B$3*$B$9*F23)/F24+E23*26)/2</f>
        <v>471.88592113020223</v>
      </c>
      <c r="H129" s="1" t="s">
        <v>278</v>
      </c>
      <c r="I129" s="1">
        <f>((12*$M$97+12*$L$29+$M$121+$M$77)+(24/$B$2)*($G$6+$B$3*$B$9*H23)/H24+G23*26)/2</f>
        <v>454.73522252458247</v>
      </c>
      <c r="J129" s="1" t="s">
        <v>278</v>
      </c>
      <c r="K129" s="1">
        <f>((12*$M$97+12*$L$29+$M$121+$M$77)+(24/$B$2)*($G$6+$B$3*$B$9*J23)/J24+I23*26)/2</f>
        <v>443.27973949551802</v>
      </c>
      <c r="L129" s="1">
        <f t="shared" si="6"/>
        <v>443.27973949551802</v>
      </c>
      <c r="M129" s="1">
        <f t="shared" si="7"/>
        <v>443.27973949551802</v>
      </c>
      <c r="N129" s="1" t="str">
        <f t="shared" si="8"/>
        <v>4喷涂加速</v>
      </c>
      <c r="O129" s="1" t="s">
        <v>192</v>
      </c>
      <c r="P129" s="1">
        <f t="shared" si="5"/>
        <v>43084.757317660136</v>
      </c>
      <c r="Q129" s="1" t="s">
        <v>74</v>
      </c>
    </row>
    <row r="130" spans="1:17" x14ac:dyDescent="0.2">
      <c r="A130" s="1" t="s">
        <v>194</v>
      </c>
      <c r="B130" s="1" t="s">
        <v>195</v>
      </c>
      <c r="C130" s="1">
        <f>(2*$M$76+3*$M$56)+(4/$B$2)*($E$6+$B$3*$B$9)</f>
        <v>104.31354879175422</v>
      </c>
      <c r="D130" s="1">
        <f>((2*$M$76+3*$M$56)+(4/$B$2)*($E$6+$B$3*$B$9*D23)+C23*5)/C24</f>
        <v>93.919760965596481</v>
      </c>
      <c r="E130" s="1">
        <f>((2*$M$76+3*$M$56)+(4/$B$2)*($E$6+$B$3*$B$9*D23)/D24+C23*5)</f>
        <v>96.557496419629373</v>
      </c>
      <c r="F130" s="1">
        <f>((2*$M$76+3*$M$56)+(4/$B$2)*($E$6+$B$3*$B$9*F23)+E23*5)/E24</f>
        <v>89.362224751242522</v>
      </c>
      <c r="G130" s="1">
        <f>((2*$M$76+3*$M$56)+(4/$B$2)*($E$6+$B$3*$B$9*F23)/F24+E23*5)</f>
        <v>92.046038590379908</v>
      </c>
      <c r="H130" s="1">
        <f>((2*$M$76+3*$M$56)+(4/$B$2)*($E$6+$B$3*$B$9*H23)+G23*5)/G24</f>
        <v>88.648597547781904</v>
      </c>
      <c r="I130" s="1">
        <f>((2*$M$76+3*$M$56)+(4/$B$2)*($E$6+$B$3*$B$9*H23)/H24+G23*5)</f>
        <v>89.042840567461425</v>
      </c>
      <c r="J130" s="1">
        <f>((2*$M$76+3*$M$56)+(4/$B$2)*($E$6+$B$3*$B$9*J23)+I23*5)/I24</f>
        <v>88.135576488982267</v>
      </c>
      <c r="K130" s="1">
        <f>((2*$M$76+3*$M$56)+(4/$B$2)*($E$6+$B$3*$B$9*J23)/J24+I23*5)</f>
        <v>87.331803944561173</v>
      </c>
      <c r="L130" s="1">
        <f t="shared" si="6"/>
        <v>87.331803944561173</v>
      </c>
      <c r="M130" s="1">
        <f t="shared" si="7"/>
        <v>87.331803944561173</v>
      </c>
      <c r="N130" s="1" t="str">
        <f t="shared" si="8"/>
        <v>4喷涂加速</v>
      </c>
      <c r="O130" s="1" t="s">
        <v>194</v>
      </c>
      <c r="P130" s="1">
        <f t="shared" si="5"/>
        <v>218690.08926145534</v>
      </c>
      <c r="Q130" s="1" t="s">
        <v>74</v>
      </c>
    </row>
    <row r="131" spans="1:17" x14ac:dyDescent="0.2">
      <c r="A131" s="1" t="s">
        <v>196</v>
      </c>
      <c r="B131" s="1" t="s">
        <v>197</v>
      </c>
      <c r="C131" s="1">
        <f>(5*$M$77+5*$M$86)+(6/$B$2)*($E$6+$B$3*$B$9)</f>
        <v>906.83348075099229</v>
      </c>
      <c r="D131" s="1">
        <f>((5*$M$77+5*$M$86)+(6/$B$2)*($E$6+$B$3*$B$9*D23)+C23*10)/C24</f>
        <v>808.44917808006755</v>
      </c>
      <c r="E131" s="1">
        <f>((5*$M$77+5*$M$86)+(6/$B$2)*($E$6+$B$3*$B$9*D23)/D24+C23*10)</f>
        <v>895.85197334007603</v>
      </c>
      <c r="F131" s="1">
        <f>((5*$M$77+5*$M$86)+(6/$B$2)*($E$6+$B$3*$B$9*F23)+E23*10)/E24</f>
        <v>760.52320214205497</v>
      </c>
      <c r="G131" s="1">
        <f>((5*$M$77+5*$M$86)+(6/$B$2)*($E$6+$B$3*$B$9*F23)/F24+E23*10)</f>
        <v>889.84489590379917</v>
      </c>
      <c r="H131" s="1">
        <f>((5*$M$77+5*$M$86)+(6/$B$2)*($E$6+$B$3*$B$9*H23)+G23*10)/G24</f>
        <v>747.20016910983634</v>
      </c>
      <c r="I131" s="1">
        <f>((5*$M$77+5*$M$86)+(6/$B$2)*($E$6+$B$3*$B$9*H23)/H24+G23*10)</f>
        <v>885.99267001669239</v>
      </c>
      <c r="J131" s="1">
        <f>((5*$M$77+5*$M$86)+(6/$B$2)*($E$6+$B$3*$B$9*J23)+I23*10)/I24</f>
        <v>734.75417951195163</v>
      </c>
      <c r="K131" s="1">
        <f>((5*$M$77+5*$M$86)+(6/$B$2)*($E$6+$B$3*$B$9*J23)/J24+I23*10)</f>
        <v>884.18622438993953</v>
      </c>
      <c r="L131" s="1">
        <f t="shared" si="6"/>
        <v>734.75417951195163</v>
      </c>
      <c r="M131" s="1">
        <f t="shared" si="7"/>
        <v>734.75417951195163</v>
      </c>
      <c r="N131" s="1" t="str">
        <f t="shared" si="8"/>
        <v>4喷涂增产</v>
      </c>
      <c r="O131" s="1" t="s">
        <v>196</v>
      </c>
      <c r="P131" s="1">
        <f t="shared" si="5"/>
        <v>25993.183206777987</v>
      </c>
      <c r="Q131" s="1" t="s">
        <v>74</v>
      </c>
    </row>
    <row r="132" spans="1:17" x14ac:dyDescent="0.2">
      <c r="M132" s="1">
        <f t="shared" si="7"/>
        <v>0</v>
      </c>
    </row>
    <row r="133" spans="1:17" x14ac:dyDescent="0.2">
      <c r="M133" s="1">
        <f t="shared" si="7"/>
        <v>0</v>
      </c>
    </row>
    <row r="134" spans="1:17" ht="19.5" x14ac:dyDescent="0.2">
      <c r="A134" s="12" t="s">
        <v>198</v>
      </c>
      <c r="B134" s="12"/>
      <c r="C134" s="12"/>
      <c r="D134" s="12"/>
      <c r="E134" s="12"/>
      <c r="F134" s="12"/>
      <c r="G134" s="12"/>
      <c r="H134" s="12"/>
      <c r="I134" s="12"/>
      <c r="J134" s="12"/>
      <c r="M134" s="1">
        <f t="shared" si="7"/>
        <v>0</v>
      </c>
    </row>
    <row r="135" spans="1:17" x14ac:dyDescent="0.2">
      <c r="A135" s="1" t="s">
        <v>199</v>
      </c>
      <c r="B135" s="1" t="s">
        <v>200</v>
      </c>
      <c r="C135" s="1">
        <f>($M$75+$M$82)+(3/$G$2)*($P$6+$G$3*$B$9)</f>
        <v>33.513256642382999</v>
      </c>
      <c r="D135" s="1">
        <f>(($M$75+$M$82)+(3/$G$2)*($P$6+$G$3*$B$9*D23)+2*C23)/C24</f>
        <v>30.290092053510868</v>
      </c>
      <c r="E135" s="1">
        <f>(($M$75+$M$82)+(3/$G$2)*($P$6+$G$3*$B$9*D23)/D24+2*C23)</f>
        <v>31.740785560199726</v>
      </c>
      <c r="F135" s="1">
        <f>(($M$75+$M$82)+(3/$G$2)*($P$6+$G$3*$B$9*F23)+2*E23)/E24</f>
        <v>28.949300838564774</v>
      </c>
      <c r="G135" s="1">
        <f>(($M$75+$M$82)+(3/$G$2)*($P$6+$G$3*$B$9*F23)/F24+2*E23)</f>
        <v>30.828307672944394</v>
      </c>
      <c r="H135" s="1">
        <f>(($M$75+$M$82)+(3/$G$2)*($P$6+$G$3*$B$9*H23)+2*G23)/G24</f>
        <v>28.829337080893431</v>
      </c>
      <c r="I135" s="1">
        <f>(($M$75+$M$82)+(3/$G$2)*($P$6+$G$3*$B$9*H23)/H24+2*G23)</f>
        <v>30.264246495523025</v>
      </c>
      <c r="J135" s="1">
        <f>(($M$75+$M$82)+(3/$G$2)*($P$6+$G$3*$B$9*J23)+2*I23)/I24</f>
        <v>28.782996296137963</v>
      </c>
      <c r="K135" s="1">
        <f>(($M$75+$M$82)+(3/$G$2)*($P$6+$G$3*$B$9*J23)/J24+2*I23)</f>
        <v>30.057745370172452</v>
      </c>
      <c r="L135" s="1">
        <f t="shared" si="6"/>
        <v>28.782996296137963</v>
      </c>
      <c r="M135" s="1">
        <f t="shared" si="7"/>
        <v>28.782996296137963</v>
      </c>
      <c r="N135" s="1" t="str">
        <f t="shared" si="8"/>
        <v>4喷涂增产</v>
      </c>
      <c r="O135" s="1" t="s">
        <v>199</v>
      </c>
      <c r="P135" s="1">
        <f t="shared" ref="P135:P140" si="9">60*318310/M135</f>
        <v>663537.59016265476</v>
      </c>
      <c r="Q135" s="1" t="s">
        <v>74</v>
      </c>
    </row>
    <row r="136" spans="1:17" x14ac:dyDescent="0.2">
      <c r="A136" s="1" t="s">
        <v>201</v>
      </c>
      <c r="B136" s="1" t="s">
        <v>202</v>
      </c>
      <c r="C136" s="1">
        <f>((2*$L$48+2*$L$29)+(6/$G$2)*($P$6+$G$3*$B$9))</f>
        <v>23.273599999999998</v>
      </c>
      <c r="D136" s="1">
        <f>((2*$L$48+2*$L$29)+(6/$G$2)*($P$6+$G$3*$B$9*D23)+4*C23)/C24</f>
        <v>21.688705631674182</v>
      </c>
      <c r="E136" s="1">
        <f>((2*$L$48+2*$L$29)+(6/$G$2)*($P$6+$G$3*$B$9*D23)/D24+4*C23)</f>
        <v>19.728657835633456</v>
      </c>
      <c r="F136" s="1">
        <f>((2*$L$48+2*$L$29)+(6/$G$2)*($P$6+$G$3*$B$9*F23)+4*E23)/E24</f>
        <v>21.437840606491211</v>
      </c>
      <c r="G136" s="1">
        <f>((2*$L$48+2*$L$29)+(6/$G$2)*($P$6+$G$3*$B$9*F23)/F24+4*E23)</f>
        <v>17.903702061122786</v>
      </c>
      <c r="H136" s="1">
        <f>((2*$L$48+2*$L$29)+(6/$G$2)*($P$6+$G$3*$B$9*H23)+4*G23)/G24</f>
        <v>21.942010255855436</v>
      </c>
      <c r="I136" s="1">
        <f>((2*$L$48+2*$L$29)+(6/$G$2)*($P$6+$G$3*$B$9*H23)/H24+4*G23)</f>
        <v>16.775579706280052</v>
      </c>
      <c r="J136" s="1">
        <f>((2*$L$48+2*$L$29)+(6/$G$2)*($P$6+$G$3*$B$9*J23)+4*I23)/I24</f>
        <v>22.563661964463122</v>
      </c>
      <c r="K136" s="1">
        <f>((2*$L$48+2*$L$29)+(6/$G$2)*($P$6+$G$3*$B$9*J23)/J24+4*I23)</f>
        <v>16.362577455578904</v>
      </c>
      <c r="L136" s="1">
        <f t="shared" si="6"/>
        <v>16.362577455578904</v>
      </c>
      <c r="M136" s="1">
        <f t="shared" si="7"/>
        <v>16.362577455578904</v>
      </c>
      <c r="N136" s="1" t="str">
        <f t="shared" si="8"/>
        <v>4喷涂加速</v>
      </c>
      <c r="O136" s="1" t="s">
        <v>201</v>
      </c>
      <c r="P136" s="1">
        <f t="shared" si="9"/>
        <v>1167212.1981911985</v>
      </c>
      <c r="Q136" s="1" t="s">
        <v>74</v>
      </c>
    </row>
    <row r="137" spans="1:17" x14ac:dyDescent="0.2">
      <c r="A137" s="1" t="s">
        <v>203</v>
      </c>
      <c r="B137" s="1" t="s">
        <v>204</v>
      </c>
      <c r="C137" s="1">
        <f>(($H$49+$M$87)+(8/$G$2)*($P$6+$G$3*$B$9))</f>
        <v>219.22826497512258</v>
      </c>
      <c r="D137" s="1">
        <f>(($H$49+$M$87)+(8/$G$2)*($P$6+$G$3*$B$9*D23)+2*C23)/C24</f>
        <v>195.43089946039052</v>
      </c>
      <c r="E137" s="1">
        <f>(($H$49+$M$87)+(8/$G$2)*($P$6+$G$3*$B$9*D23)/D24+2*C23)</f>
        <v>213.63158055960599</v>
      </c>
      <c r="F137" s="1">
        <f>(($H$49+$M$87)+(8/$G$2)*($P$6+$G$3*$B$9*F23)+2*E23)/E24</f>
        <v>183.84480778251441</v>
      </c>
      <c r="G137" s="1">
        <f>(($H$49+$M$87)+(8/$G$2)*($P$6+$G$3*$B$9*F23)/F24+2*E23)</f>
        <v>210.18482711679508</v>
      </c>
      <c r="H137" s="1">
        <f>(($H$49+$M$87)+(8/$G$2)*($P$6+$G$3*$B$9*H23)+2*G23)/G24</f>
        <v>180.63816020966044</v>
      </c>
      <c r="I137" s="1">
        <f>(($H$49+$M$87)+(8/$G$2)*($P$6+$G$3*$B$9*H23)/H24+2*G23)</f>
        <v>207.8105691139769</v>
      </c>
      <c r="J137" s="1">
        <f>(($H$49+$M$87)+(8/$G$2)*($P$6+$G$3*$B$9*J23)+2*I23)/I24</f>
        <v>177.62860296232964</v>
      </c>
      <c r="K137" s="1">
        <f>(($H$49+$M$87)+(8/$G$2)*($P$6+$G$3*$B$9*J23)/J24+2*I23)</f>
        <v>206.24642036957871</v>
      </c>
      <c r="L137" s="1">
        <f t="shared" si="6"/>
        <v>177.62860296232964</v>
      </c>
      <c r="M137" s="1">
        <f t="shared" si="7"/>
        <v>177.62860296232964</v>
      </c>
      <c r="N137" s="1" t="str">
        <f t="shared" si="8"/>
        <v>4喷涂增产</v>
      </c>
      <c r="O137" s="1" t="s">
        <v>203</v>
      </c>
      <c r="P137" s="1">
        <f t="shared" si="9"/>
        <v>107519.84579899168</v>
      </c>
      <c r="Q137" s="1" t="s">
        <v>74</v>
      </c>
    </row>
    <row r="138" spans="1:17" x14ac:dyDescent="0.2">
      <c r="A138" s="1" t="s">
        <v>205</v>
      </c>
      <c r="B138" s="1" t="s">
        <v>206</v>
      </c>
      <c r="C138" s="1">
        <f>((2*$M$84+$M$99)+(10/$G$2)*($P$6+$G$3*$B$9))</f>
        <v>412.27245961146133</v>
      </c>
      <c r="D138" s="1">
        <f>((2*$M$84+$M$99)+(10/$G$2)*($P$6+$G$3*$B$9*D23)+3*C23)/C24</f>
        <v>367.28208443394345</v>
      </c>
      <c r="E138" s="1">
        <f>((2*$M$84+$M$99)+(10/$G$2)*($P$6+$G$3*$B$9*D23)/D24+3*C23)</f>
        <v>405.4071183215197</v>
      </c>
      <c r="F138" s="1">
        <f>((2*$M$84+$M$99)+(10/$G$2)*($P$6+$G$3*$B$9*F23)+3*E23)/E24</f>
        <v>345.23906346441953</v>
      </c>
      <c r="G138" s="1">
        <f>((2*$M$84+$M$99)+(10/$G$2)*($P$6+$G$3*$B$9*F23)/F24+3*E23)</f>
        <v>401.2506983795256</v>
      </c>
      <c r="H138" s="1">
        <f>((2*$M$84+$M$99)+(10/$G$2)*($P$6+$G$3*$B$9*H23)+3*G23)/G24</f>
        <v>338.98151961961509</v>
      </c>
      <c r="I138" s="1">
        <f>((2*$M$84+$M$99)+(10/$G$2)*($P$6+$G$3*$B$9*H23)/H24+3*G23)</f>
        <v>398.4133901054571</v>
      </c>
      <c r="J138" s="1">
        <f>((2*$M$84+$M$99)+(10/$G$2)*($P$6+$G$3*$B$9*J23)+3*I23)/I24</f>
        <v>333.07751416251642</v>
      </c>
      <c r="K138" s="1">
        <f>((2*$M$84+$M$99)+(10/$G$2)*($P$6+$G$3*$B$9*J23)/J24+3*I23)</f>
        <v>396.61022603647888</v>
      </c>
      <c r="L138" s="1">
        <f t="shared" si="6"/>
        <v>333.07751416251642</v>
      </c>
      <c r="M138" s="1">
        <f t="shared" si="7"/>
        <v>333.07751416251642</v>
      </c>
      <c r="N138" s="1" t="str">
        <f t="shared" si="8"/>
        <v>4喷涂增产</v>
      </c>
      <c r="O138" s="1" t="s">
        <v>205</v>
      </c>
      <c r="P138" s="1">
        <f t="shared" si="9"/>
        <v>57339.805864773385</v>
      </c>
      <c r="Q138" s="1" t="s">
        <v>74</v>
      </c>
    </row>
    <row r="139" spans="1:17" x14ac:dyDescent="0.2">
      <c r="A139" s="1" t="s">
        <v>207</v>
      </c>
      <c r="B139" s="1" t="s">
        <v>208</v>
      </c>
      <c r="C139" s="1">
        <f>(($M$118+$M$117)+(24/$G$2)*($P$6+$G$3*$B$9))/2</f>
        <v>696.90326778645954</v>
      </c>
      <c r="D139" s="1">
        <f>(($M$118+$M$117)+(24/$G$2)*($P$6+$G$3*$B$9*D23)+2*C23)/2/C24</f>
        <v>619.84751666254931</v>
      </c>
      <c r="E139" s="1">
        <f>(($M$118+$M$117)+(24/$G$2)*($P$6+$G$3*$B$9*D23)/D24+2*C23)/2</f>
        <v>687.98618424536801</v>
      </c>
      <c r="F139" s="1">
        <f>(($M$118+$M$117)+(24/$G$2)*($P$6+$G$3*$B$9*F23)+2*E23)/2/E24</f>
        <v>581.5428166403392</v>
      </c>
      <c r="G139" s="1">
        <f>(($M$118+$M$117)+(24/$G$2)*($P$6+$G$3*$B$9*F23)/F24+2*E23)/2</f>
        <v>682.2079666350736</v>
      </c>
      <c r="H139" s="1">
        <f>(($M$118+$M$117)+(24/$G$2)*($P$6+$G$3*$B$9*H23)+2*G23)/2/G24</f>
        <v>570.06635789984921</v>
      </c>
      <c r="I139" s="1">
        <f>(($M$118+$M$117)+(24/$G$2)*($P$6+$G$3*$B$9*H23)/H24+2*G23)/2</f>
        <v>678.12452271302959</v>
      </c>
      <c r="J139" s="1">
        <f>(($M$118+$M$117)+(24/$G$2)*($P$6+$G$3*$B$9*J23)+2*I23)/2/I24</f>
        <v>559.08336972028349</v>
      </c>
      <c r="K139" s="1">
        <f>(($M$118+$M$117)+(24/$G$2)*($P$6+$G$3*$B$9*J23)/J24+2*I23)/2</f>
        <v>675.17021215035425</v>
      </c>
      <c r="L139" s="1">
        <f t="shared" si="6"/>
        <v>559.08336972028349</v>
      </c>
      <c r="M139" s="1">
        <f t="shared" si="7"/>
        <v>559.08336972028349</v>
      </c>
      <c r="N139" s="1" t="str">
        <f t="shared" si="8"/>
        <v>4喷涂增产</v>
      </c>
      <c r="O139" s="1" t="s">
        <v>207</v>
      </c>
      <c r="P139" s="1">
        <f t="shared" si="9"/>
        <v>34160.558217918864</v>
      </c>
      <c r="Q139" s="1" t="s">
        <v>74</v>
      </c>
    </row>
    <row r="140" spans="1:17" x14ac:dyDescent="0.2">
      <c r="A140" s="1" t="s">
        <v>209</v>
      </c>
      <c r="B140" s="1" t="s">
        <v>210</v>
      </c>
      <c r="C140" s="1">
        <f>($M$135+$M$136+$M$137+$M$138+$M$139+$M$97)+(15/$G$2)*($Q$6+$G$3*$B$9)</f>
        <v>1252.6742049607412</v>
      </c>
      <c r="D140" s="1">
        <f>(($M$135+$M$136+$M$137+$M$138+$M$139+$M$97)+(15/$G$2)*($Q$6+$G$3*$B$9*D23)+6*C23)/C24</f>
        <v>1115.0627339681703</v>
      </c>
      <c r="E140" s="1">
        <f>(($M$135+$M$136+$M$137+$M$138+$M$139+$M$97)+(15/$G$2)*($Q$6+$G$3*$B$9*D23)/D24+6*C23)</f>
        <v>1228.7677357141915</v>
      </c>
      <c r="F140" s="1">
        <f>(($M$135+$M$136+$M$137+$M$138+$M$139+$M$97)+(15/$G$2)*($Q$6+$G$3*$B$9*F23)+6*E23)/E24</f>
        <v>1047.1195317103545</v>
      </c>
      <c r="G140" s="1">
        <f>(($M$135+$M$136+$M$137+$M$138+$M$139+$M$97)+(15/$G$2)*($Q$6+$G$3*$B$9*F23)/F24+6*E23)</f>
        <v>1213.6558380524255</v>
      </c>
      <c r="H140" s="1">
        <f>(($M$135+$M$136+$M$137+$M$138+$M$139+$M$97)+(15/$G$2)*($Q$6+$G$3*$B$9*H23)+6*G23)/G24</f>
        <v>1027.2515990252045</v>
      </c>
      <c r="I140" s="1">
        <f>(($M$135+$M$136+$M$137+$M$138+$M$139+$M$97)+(15/$G$2)*($Q$6+$G$3*$B$9*H23)/H24+6*G23)</f>
        <v>1203.1247516630185</v>
      </c>
      <c r="J140" s="1">
        <f>(($M$135+$M$136+$M$137+$M$138+$M$139+$M$97)+(15/$G$2)*($Q$6+$G$3*$B$9*J23)+6*I23)/I24</f>
        <v>1008.3848569152876</v>
      </c>
      <c r="K140" s="1">
        <f>(($M$135+$M$136+$M$137+$M$138+$M$139+$M$97)+(15/$G$2)*($Q$6+$G$3*$B$9*J23)/J24+6*I23)</f>
        <v>1195.8760711441096</v>
      </c>
      <c r="L140" s="1">
        <f t="shared" si="6"/>
        <v>1008.3848569152876</v>
      </c>
      <c r="M140" s="1">
        <f t="shared" si="7"/>
        <v>1008.3848569152876</v>
      </c>
      <c r="N140" s="1" t="str">
        <f t="shared" si="8"/>
        <v>4喷涂增产</v>
      </c>
      <c r="O140" s="1" t="s">
        <v>209</v>
      </c>
      <c r="P140" s="1">
        <f t="shared" si="9"/>
        <v>18939.792549467486</v>
      </c>
      <c r="Q140" s="1" t="s">
        <v>74</v>
      </c>
    </row>
  </sheetData>
  <mergeCells count="12">
    <mergeCell ref="A21:J21"/>
    <mergeCell ref="A27:O27"/>
    <mergeCell ref="A115:J115"/>
    <mergeCell ref="A134:J134"/>
    <mergeCell ref="A22:B22"/>
    <mergeCell ref="C22:D22"/>
    <mergeCell ref="E22:F22"/>
    <mergeCell ref="G22:H22"/>
    <mergeCell ref="I22:J22"/>
    <mergeCell ref="A51:I51"/>
    <mergeCell ref="A54:I54"/>
    <mergeCell ref="A74:I74"/>
  </mergeCells>
  <phoneticPr fontId="1" type="noConversion"/>
  <conditionalFormatting sqref="A52:W162">
    <cfRule type="cellIs" dxfId="9" priority="1" operator="equal">
      <formula>"4喷涂加速"</formula>
    </cfRule>
    <cfRule type="cellIs" dxfId="8" priority="2" operator="equal">
      <formula>"3喷涂加速"</formula>
    </cfRule>
    <cfRule type="cellIs" dxfId="7" priority="3" operator="equal">
      <formula>"2喷涂加速"</formula>
    </cfRule>
    <cfRule type="cellIs" dxfId="6" priority="4" operator="equal">
      <formula>"4喷涂增产"</formula>
    </cfRule>
    <cfRule type="cellIs" dxfId="5" priority="5" operator="equal">
      <formula>"3喷涂增产"</formula>
    </cfRule>
    <cfRule type="cellIs" dxfId="4" priority="6" operator="equal">
      <formula>"2喷涂增产"</formula>
    </cfRule>
    <cfRule type="cellIs" dxfId="3" priority="7" operator="equal">
      <formula>"1喷涂加速"</formula>
    </cfRule>
    <cfRule type="cellIs" dxfId="2" priority="8" operator="equal">
      <formula>"1喷涂增产"</formula>
    </cfRule>
    <cfRule type="cellIs" dxfId="1" priority="9" operator="equal">
      <formula>"不使用增产剂"</formula>
    </cfRule>
  </conditionalFormatting>
  <pageMargins left="0.7" right="0.7" top="0.75" bottom="0.75" header="0.3" footer="0.3"/>
  <ignoredErrors>
    <ignoredError sqref="E55:E56 G56:G58 H55 I56:I58 J55 E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8AF4-B766-4AF3-903A-17D7BD99B79D}">
  <dimension ref="A1:I74"/>
  <sheetViews>
    <sheetView workbookViewId="0">
      <selection activeCell="H10" sqref="H10"/>
    </sheetView>
  </sheetViews>
  <sheetFormatPr defaultRowHeight="14.25" x14ac:dyDescent="0.2"/>
  <cols>
    <col min="1" max="1" width="14.625" customWidth="1"/>
    <col min="2" max="2" width="15" customWidth="1"/>
    <col min="3" max="3" width="20.5" customWidth="1"/>
    <col min="4" max="4" width="14.375" customWidth="1"/>
    <col min="5" max="5" width="17.125" customWidth="1"/>
    <col min="6" max="6" width="15.25" customWidth="1"/>
    <col min="7" max="7" width="13.625" customWidth="1"/>
    <col min="8" max="8" width="16.125" customWidth="1"/>
  </cols>
  <sheetData>
    <row r="1" spans="1:9" x14ac:dyDescent="0.2">
      <c r="A1" t="s">
        <v>264</v>
      </c>
      <c r="B1" t="s">
        <v>263</v>
      </c>
      <c r="C1" t="s">
        <v>265</v>
      </c>
      <c r="D1" t="s">
        <v>266</v>
      </c>
      <c r="E1" t="s">
        <v>261</v>
      </c>
      <c r="F1" t="s">
        <v>270</v>
      </c>
      <c r="G1" t="s">
        <v>271</v>
      </c>
      <c r="H1" t="s">
        <v>272</v>
      </c>
    </row>
    <row r="2" spans="1:9" x14ac:dyDescent="0.2">
      <c r="A2" t="s">
        <v>267</v>
      </c>
      <c r="B2">
        <f>全低效省电省建筑数!M124</f>
        <v>3.1323349265700124</v>
      </c>
      <c r="C2">
        <f>B2/12</f>
        <v>0.26102791054750102</v>
      </c>
      <c r="D2">
        <f>(B2+D3)/14</f>
        <v>0.28120514928809209</v>
      </c>
      <c r="E2">
        <f>(B2+E4)/15</f>
        <v>0.28416521580585236</v>
      </c>
      <c r="F2">
        <f>MIN(C2:E2)</f>
        <v>0.26102791054750102</v>
      </c>
      <c r="G2">
        <f>F2</f>
        <v>0.26102791054750102</v>
      </c>
      <c r="H2">
        <f>MIN(G2:G4)</f>
        <v>0.26102791054750102</v>
      </c>
    </row>
    <row r="3" spans="1:9" x14ac:dyDescent="0.2">
      <c r="A3" t="s">
        <v>268</v>
      </c>
      <c r="B3">
        <f>全低效省电省建筑数!M125</f>
        <v>21.722503413508477</v>
      </c>
      <c r="C3">
        <f>(B3+C2)/27</f>
        <v>0.8142048638539251</v>
      </c>
      <c r="D3">
        <f>B3/27</f>
        <v>0.80453716346327697</v>
      </c>
      <c r="E3">
        <f>(B3+E4)/30</f>
        <v>0.761754890800875</v>
      </c>
      <c r="F3">
        <f t="shared" ref="F3:F4" si="0">MIN(C3:E3)</f>
        <v>0.761754890800875</v>
      </c>
      <c r="G3">
        <f>F3/2</f>
        <v>0.3808774454004375</v>
      </c>
      <c r="H3">
        <f>MIN(G3:G4)</f>
        <v>0.28253582762944335</v>
      </c>
    </row>
    <row r="4" spans="1:9" x14ac:dyDescent="0.2">
      <c r="A4" t="s">
        <v>269</v>
      </c>
      <c r="B4">
        <f>全低效省电省建筑数!M126</f>
        <v>83.630604978315233</v>
      </c>
      <c r="C4">
        <f>(B4+C2)/67</f>
        <v>1.252113923714369</v>
      </c>
      <c r="D4">
        <f>(B4+D3)/72</f>
        <v>1.1727103075247016</v>
      </c>
      <c r="E4">
        <f>B4/74</f>
        <v>1.1301433105177734</v>
      </c>
      <c r="F4">
        <f t="shared" si="0"/>
        <v>1.1301433105177734</v>
      </c>
      <c r="G4">
        <f>F4/4</f>
        <v>0.28253582762944335</v>
      </c>
      <c r="H4">
        <f>MIN(G4)</f>
        <v>0.28253582762944335</v>
      </c>
    </row>
    <row r="6" spans="1:9" x14ac:dyDescent="0.2">
      <c r="A6" t="s">
        <v>274</v>
      </c>
      <c r="B6">
        <v>1</v>
      </c>
      <c r="C6">
        <v>2</v>
      </c>
      <c r="D6">
        <v>3</v>
      </c>
      <c r="E6">
        <v>4</v>
      </c>
    </row>
    <row r="7" spans="1:9" x14ac:dyDescent="0.2">
      <c r="A7" s="9" t="s">
        <v>273</v>
      </c>
      <c r="B7">
        <f>H2</f>
        <v>0.26102791054750102</v>
      </c>
      <c r="C7">
        <f>2*H3</f>
        <v>0.5650716552588867</v>
      </c>
      <c r="D7">
        <f>MIN(3*(H3+H4)/2,3*(H2+2*H4)/3)</f>
        <v>0.82609956580638766</v>
      </c>
      <c r="E7">
        <f>4*H4</f>
        <v>1.1301433105177734</v>
      </c>
    </row>
    <row r="8" spans="1:9" x14ac:dyDescent="0.2">
      <c r="A8" t="s">
        <v>275</v>
      </c>
      <c r="B8">
        <v>1</v>
      </c>
      <c r="C8">
        <v>2</v>
      </c>
      <c r="D8">
        <v>3</v>
      </c>
      <c r="E8">
        <v>4</v>
      </c>
      <c r="F8" t="s">
        <v>270</v>
      </c>
      <c r="G8" t="s">
        <v>271</v>
      </c>
      <c r="H8" t="s">
        <v>272</v>
      </c>
      <c r="I8" t="s">
        <v>276</v>
      </c>
    </row>
    <row r="9" spans="1:9" x14ac:dyDescent="0.2">
      <c r="A9" t="s">
        <v>217</v>
      </c>
      <c r="B9">
        <f>($B$2+B7)/13</f>
        <v>0.26102791054750102</v>
      </c>
      <c r="C9">
        <f>($B$2+C7)/14</f>
        <v>0.26410047013063565</v>
      </c>
      <c r="D9">
        <f>($B$2+D7)/14</f>
        <v>0.28274532088402859</v>
      </c>
      <c r="E9">
        <f>($B$2+E7)/15</f>
        <v>0.28416521580585236</v>
      </c>
      <c r="F9">
        <f>MIN(B9:E9)</f>
        <v>0.26102791054750102</v>
      </c>
      <c r="G9">
        <f>F9</f>
        <v>0.26102791054750102</v>
      </c>
      <c r="H9">
        <f>MIN(G9:G11)</f>
        <v>0.26102791054750102</v>
      </c>
      <c r="I9" t="str">
        <f>IF(H2=H9,"否","是")</f>
        <v>否</v>
      </c>
    </row>
    <row r="10" spans="1:9" x14ac:dyDescent="0.2">
      <c r="A10" t="s">
        <v>218</v>
      </c>
      <c r="B10">
        <f>($B$3+B7)/27</f>
        <v>0.8142048638539251</v>
      </c>
      <c r="C10">
        <f>($B$3+C7)/28</f>
        <v>0.79598482388454872</v>
      </c>
      <c r="D10">
        <f>($B$3+D7)/29</f>
        <v>0.77753803376947805</v>
      </c>
      <c r="E10">
        <f>($B$3+E7)/30</f>
        <v>0.761754890800875</v>
      </c>
      <c r="F10">
        <f>MIN(B10:E10)</f>
        <v>0.761754890800875</v>
      </c>
      <c r="G10">
        <f>F10/2</f>
        <v>0.3808774454004375</v>
      </c>
      <c r="H10">
        <f>MIN(G10:G11)</f>
        <v>0.28253582762944335</v>
      </c>
      <c r="I10" t="str">
        <f t="shared" ref="I10:I11" si="1">IF(H3=H10,"否","是")</f>
        <v>否</v>
      </c>
    </row>
    <row r="11" spans="1:9" x14ac:dyDescent="0.2">
      <c r="A11" t="s">
        <v>219</v>
      </c>
      <c r="B11">
        <f>($B$4+B7)/67</f>
        <v>1.252113923714369</v>
      </c>
      <c r="C11">
        <f>($B$4+C7)/72</f>
        <v>1.1693843976885294</v>
      </c>
      <c r="D11">
        <f>($B$4+D7)/73</f>
        <v>1.1569411581386524</v>
      </c>
      <c r="E11">
        <f>($B$4+E7)/75</f>
        <v>1.1301433105177734</v>
      </c>
      <c r="F11">
        <f>MIN(B11:E11)</f>
        <v>1.1301433105177734</v>
      </c>
      <c r="G11">
        <f>F11/4</f>
        <v>0.28253582762944335</v>
      </c>
      <c r="H11">
        <f>MIN(G11)</f>
        <v>0.28253582762944335</v>
      </c>
      <c r="I11" t="str">
        <f t="shared" si="1"/>
        <v>否</v>
      </c>
    </row>
    <row r="13" spans="1:9" x14ac:dyDescent="0.2">
      <c r="A13" t="s">
        <v>274</v>
      </c>
      <c r="B13">
        <v>1</v>
      </c>
      <c r="C13">
        <v>2</v>
      </c>
      <c r="D13">
        <v>3</v>
      </c>
      <c r="E13">
        <v>4</v>
      </c>
    </row>
    <row r="14" spans="1:9" x14ac:dyDescent="0.2">
      <c r="A14" s="9" t="s">
        <v>273</v>
      </c>
      <c r="B14">
        <f>H9</f>
        <v>0.26102791054750102</v>
      </c>
      <c r="C14">
        <f>2*H10</f>
        <v>0.5650716552588867</v>
      </c>
      <c r="D14">
        <f>MIN(3*(H10+H11)/2,3*(H9+2*H11)/3)</f>
        <v>0.82609956580638766</v>
      </c>
      <c r="E14">
        <f>4*H11</f>
        <v>1.1301433105177734</v>
      </c>
    </row>
    <row r="15" spans="1:9" x14ac:dyDescent="0.2">
      <c r="A15" t="s">
        <v>275</v>
      </c>
      <c r="B15">
        <v>1</v>
      </c>
      <c r="C15">
        <v>2</v>
      </c>
      <c r="D15">
        <v>3</v>
      </c>
      <c r="E15">
        <v>4</v>
      </c>
      <c r="F15" t="s">
        <v>270</v>
      </c>
      <c r="G15" t="s">
        <v>271</v>
      </c>
      <c r="H15" t="s">
        <v>272</v>
      </c>
      <c r="I15" t="s">
        <v>276</v>
      </c>
    </row>
    <row r="16" spans="1:9" x14ac:dyDescent="0.2">
      <c r="A16" t="s">
        <v>217</v>
      </c>
      <c r="B16">
        <f>($B$2+B14)/13</f>
        <v>0.26102791054750102</v>
      </c>
      <c r="C16">
        <f>($B$2+C14)/14</f>
        <v>0.26410047013063565</v>
      </c>
      <c r="D16">
        <f>($B$2+D14)/14</f>
        <v>0.28274532088402859</v>
      </c>
      <c r="E16">
        <f>($B$2+E14)/15</f>
        <v>0.28416521580585236</v>
      </c>
      <c r="F16">
        <f>MIN(B16:E16)</f>
        <v>0.26102791054750102</v>
      </c>
      <c r="G16">
        <f>F16</f>
        <v>0.26102791054750102</v>
      </c>
      <c r="H16">
        <f>MIN(G16:G18)</f>
        <v>0.26102791054750102</v>
      </c>
      <c r="I16" t="str">
        <f>IF(H9=H16,"否","是")</f>
        <v>否</v>
      </c>
    </row>
    <row r="17" spans="1:9" x14ac:dyDescent="0.2">
      <c r="A17" t="s">
        <v>218</v>
      </c>
      <c r="B17">
        <f>($B$3+B14)/27</f>
        <v>0.8142048638539251</v>
      </c>
      <c r="C17">
        <f>($B$3+C14)/28</f>
        <v>0.79598482388454872</v>
      </c>
      <c r="D17">
        <f>($B$3+D14)/29</f>
        <v>0.77753803376947805</v>
      </c>
      <c r="E17">
        <f>($B$3+E14)/30</f>
        <v>0.761754890800875</v>
      </c>
      <c r="F17">
        <f>MIN(B17:E17)</f>
        <v>0.761754890800875</v>
      </c>
      <c r="G17">
        <f>F17/2</f>
        <v>0.3808774454004375</v>
      </c>
      <c r="H17">
        <f>MIN(G17:G18)</f>
        <v>0.28253582762944335</v>
      </c>
      <c r="I17" t="str">
        <f t="shared" ref="I17:I18" si="2">IF(H10=H17,"否","是")</f>
        <v>否</v>
      </c>
    </row>
    <row r="18" spans="1:9" x14ac:dyDescent="0.2">
      <c r="A18" t="s">
        <v>219</v>
      </c>
      <c r="B18">
        <f>($B$4+B14)/67</f>
        <v>1.252113923714369</v>
      </c>
      <c r="C18">
        <f>($B$4+C14)/72</f>
        <v>1.1693843976885294</v>
      </c>
      <c r="D18">
        <f>($B$4+D14)/73</f>
        <v>1.1569411581386524</v>
      </c>
      <c r="E18">
        <f>($B$4+E14)/75</f>
        <v>1.1301433105177734</v>
      </c>
      <c r="F18">
        <f>MIN(B18:E18)</f>
        <v>1.1301433105177734</v>
      </c>
      <c r="G18">
        <f>F18/4</f>
        <v>0.28253582762944335</v>
      </c>
      <c r="H18">
        <f>MIN(G18)</f>
        <v>0.28253582762944335</v>
      </c>
      <c r="I18" t="str">
        <f t="shared" si="2"/>
        <v>否</v>
      </c>
    </row>
    <row r="20" spans="1:9" x14ac:dyDescent="0.2">
      <c r="A20" t="s">
        <v>274</v>
      </c>
      <c r="B20">
        <v>1</v>
      </c>
      <c r="C20">
        <v>2</v>
      </c>
      <c r="D20">
        <v>3</v>
      </c>
      <c r="E20">
        <v>4</v>
      </c>
    </row>
    <row r="21" spans="1:9" x14ac:dyDescent="0.2">
      <c r="A21" s="9" t="s">
        <v>273</v>
      </c>
      <c r="B21">
        <f>H16</f>
        <v>0.26102791054750102</v>
      </c>
      <c r="C21">
        <f>2*H17</f>
        <v>0.5650716552588867</v>
      </c>
      <c r="D21">
        <f>MIN(3*(H17+H18)/2,3*(H16+2*H18)/3)</f>
        <v>0.82609956580638766</v>
      </c>
      <c r="E21">
        <f>4*H18</f>
        <v>1.1301433105177734</v>
      </c>
    </row>
    <row r="22" spans="1:9" x14ac:dyDescent="0.2">
      <c r="A22" t="s">
        <v>275</v>
      </c>
      <c r="B22">
        <v>1</v>
      </c>
      <c r="C22">
        <v>2</v>
      </c>
      <c r="D22">
        <v>3</v>
      </c>
      <c r="E22">
        <v>4</v>
      </c>
      <c r="F22" t="s">
        <v>270</v>
      </c>
      <c r="G22" t="s">
        <v>271</v>
      </c>
      <c r="H22" t="s">
        <v>272</v>
      </c>
      <c r="I22" t="s">
        <v>276</v>
      </c>
    </row>
    <row r="23" spans="1:9" x14ac:dyDescent="0.2">
      <c r="A23" t="s">
        <v>217</v>
      </c>
      <c r="B23">
        <f>($B$2+B21)/13</f>
        <v>0.26102791054750102</v>
      </c>
      <c r="C23">
        <f>($B$2+C21)/14</f>
        <v>0.26410047013063565</v>
      </c>
      <c r="D23">
        <f>($B$2+D21)/14</f>
        <v>0.28274532088402859</v>
      </c>
      <c r="E23">
        <f>($B$2+E21)/15</f>
        <v>0.28416521580585236</v>
      </c>
      <c r="F23">
        <f>MIN(B23:E23)</f>
        <v>0.26102791054750102</v>
      </c>
      <c r="G23">
        <f>F23</f>
        <v>0.26102791054750102</v>
      </c>
      <c r="H23">
        <f>MIN(G23:G25)</f>
        <v>0.26102791054750102</v>
      </c>
      <c r="I23" t="str">
        <f>IF(H16=H23,"否","是")</f>
        <v>否</v>
      </c>
    </row>
    <row r="24" spans="1:9" x14ac:dyDescent="0.2">
      <c r="A24" t="s">
        <v>218</v>
      </c>
      <c r="B24">
        <f>($B$3+B21)/27</f>
        <v>0.8142048638539251</v>
      </c>
      <c r="C24">
        <f>($B$3+C21)/28</f>
        <v>0.79598482388454872</v>
      </c>
      <c r="D24">
        <f>($B$3+D21)/29</f>
        <v>0.77753803376947805</v>
      </c>
      <c r="E24">
        <f>($B$3+E21)/30</f>
        <v>0.761754890800875</v>
      </c>
      <c r="F24">
        <f>MIN(B24:E24)</f>
        <v>0.761754890800875</v>
      </c>
      <c r="G24">
        <f>F24/2</f>
        <v>0.3808774454004375</v>
      </c>
      <c r="H24">
        <f>MIN(G24:G25)</f>
        <v>0.28253582762944335</v>
      </c>
      <c r="I24" t="str">
        <f t="shared" ref="I24:I25" si="3">IF(H17=H24,"否","是")</f>
        <v>否</v>
      </c>
    </row>
    <row r="25" spans="1:9" x14ac:dyDescent="0.2">
      <c r="A25" t="s">
        <v>219</v>
      </c>
      <c r="B25">
        <f>($B$4+B21)/67</f>
        <v>1.252113923714369</v>
      </c>
      <c r="C25">
        <f>($B$4+C21)/72</f>
        <v>1.1693843976885294</v>
      </c>
      <c r="D25">
        <f>($B$4+D21)/73</f>
        <v>1.1569411581386524</v>
      </c>
      <c r="E25">
        <f>($B$4+E21)/75</f>
        <v>1.1301433105177734</v>
      </c>
      <c r="F25">
        <f>MIN(B25:E25)</f>
        <v>1.1301433105177734</v>
      </c>
      <c r="G25">
        <f>F25/4</f>
        <v>0.28253582762944335</v>
      </c>
      <c r="H25">
        <f>MIN(G25)</f>
        <v>0.28253582762944335</v>
      </c>
      <c r="I25" t="str">
        <f t="shared" si="3"/>
        <v>否</v>
      </c>
    </row>
    <row r="27" spans="1:9" x14ac:dyDescent="0.2">
      <c r="A27" t="s">
        <v>274</v>
      </c>
      <c r="B27">
        <v>1</v>
      </c>
      <c r="C27">
        <v>2</v>
      </c>
      <c r="D27">
        <v>3</v>
      </c>
      <c r="E27">
        <v>4</v>
      </c>
    </row>
    <row r="28" spans="1:9" x14ac:dyDescent="0.2">
      <c r="A28" s="9" t="s">
        <v>273</v>
      </c>
      <c r="B28">
        <f>H23</f>
        <v>0.26102791054750102</v>
      </c>
      <c r="C28">
        <f>2*H24</f>
        <v>0.5650716552588867</v>
      </c>
      <c r="D28">
        <f>MIN(3*(H24+H25)/2,3*(H23+2*H25)/3)</f>
        <v>0.82609956580638766</v>
      </c>
      <c r="E28">
        <f>4*H25</f>
        <v>1.1301433105177734</v>
      </c>
    </row>
    <row r="29" spans="1:9" x14ac:dyDescent="0.2">
      <c r="A29" t="s">
        <v>275</v>
      </c>
      <c r="B29">
        <v>1</v>
      </c>
      <c r="C29">
        <v>2</v>
      </c>
      <c r="D29">
        <v>3</v>
      </c>
      <c r="E29">
        <v>4</v>
      </c>
      <c r="F29" t="s">
        <v>270</v>
      </c>
      <c r="G29" t="s">
        <v>271</v>
      </c>
      <c r="H29" t="s">
        <v>272</v>
      </c>
      <c r="I29" t="s">
        <v>276</v>
      </c>
    </row>
    <row r="30" spans="1:9" x14ac:dyDescent="0.2">
      <c r="A30" t="s">
        <v>217</v>
      </c>
      <c r="B30">
        <f>($B$2+B28)/13</f>
        <v>0.26102791054750102</v>
      </c>
      <c r="C30">
        <f>($B$2+C28)/14</f>
        <v>0.26410047013063565</v>
      </c>
      <c r="D30">
        <f>($B$2+D28)/14</f>
        <v>0.28274532088402859</v>
      </c>
      <c r="E30">
        <f>($B$2+E28)/15</f>
        <v>0.28416521580585236</v>
      </c>
      <c r="F30">
        <f>MIN(B30:E30)</f>
        <v>0.26102791054750102</v>
      </c>
      <c r="G30">
        <f>F30</f>
        <v>0.26102791054750102</v>
      </c>
      <c r="H30">
        <f>MIN(G30:G32)</f>
        <v>0.26102791054750102</v>
      </c>
      <c r="I30" t="str">
        <f>IF(H23=H30,"否","是")</f>
        <v>否</v>
      </c>
    </row>
    <row r="31" spans="1:9" x14ac:dyDescent="0.2">
      <c r="A31" t="s">
        <v>218</v>
      </c>
      <c r="B31">
        <f>($B$3+B28)/27</f>
        <v>0.8142048638539251</v>
      </c>
      <c r="C31">
        <f>($B$3+C28)/28</f>
        <v>0.79598482388454872</v>
      </c>
      <c r="D31">
        <f>($B$3+D28)/29</f>
        <v>0.77753803376947805</v>
      </c>
      <c r="E31">
        <f>($B$3+E28)/30</f>
        <v>0.761754890800875</v>
      </c>
      <c r="F31">
        <f>MIN(B31:E31)</f>
        <v>0.761754890800875</v>
      </c>
      <c r="G31">
        <f>F31/2</f>
        <v>0.3808774454004375</v>
      </c>
      <c r="H31">
        <f>MIN(G31:G32)</f>
        <v>0.28253582762944335</v>
      </c>
      <c r="I31" t="str">
        <f t="shared" ref="I31:I32" si="4">IF(H24=H31,"否","是")</f>
        <v>否</v>
      </c>
    </row>
    <row r="32" spans="1:9" x14ac:dyDescent="0.2">
      <c r="A32" t="s">
        <v>219</v>
      </c>
      <c r="B32">
        <f>($B$4+B28)/67</f>
        <v>1.252113923714369</v>
      </c>
      <c r="C32">
        <f>($B$4+C28)/72</f>
        <v>1.1693843976885294</v>
      </c>
      <c r="D32">
        <f>($B$4+D28)/73</f>
        <v>1.1569411581386524</v>
      </c>
      <c r="E32">
        <f>($B$4+E28)/75</f>
        <v>1.1301433105177734</v>
      </c>
      <c r="F32">
        <f>MIN(B32:E32)</f>
        <v>1.1301433105177734</v>
      </c>
      <c r="G32">
        <f>F32/4</f>
        <v>0.28253582762944335</v>
      </c>
      <c r="H32">
        <f>MIN(G32)</f>
        <v>0.28253582762944335</v>
      </c>
      <c r="I32" t="str">
        <f t="shared" si="4"/>
        <v>否</v>
      </c>
    </row>
    <row r="34" spans="1:9" x14ac:dyDescent="0.2">
      <c r="A34" t="s">
        <v>274</v>
      </c>
      <c r="B34">
        <v>1</v>
      </c>
      <c r="C34">
        <v>2</v>
      </c>
      <c r="D34">
        <v>3</v>
      </c>
      <c r="E34">
        <v>4</v>
      </c>
    </row>
    <row r="35" spans="1:9" x14ac:dyDescent="0.2">
      <c r="A35" s="9" t="s">
        <v>273</v>
      </c>
      <c r="B35">
        <f>H30</f>
        <v>0.26102791054750102</v>
      </c>
      <c r="C35">
        <f>2*H31</f>
        <v>0.5650716552588867</v>
      </c>
      <c r="D35">
        <f>MIN(3*(H31+H32)/2,3*(H30+2*H32)/3)</f>
        <v>0.82609956580638766</v>
      </c>
      <c r="E35">
        <f>4*H32</f>
        <v>1.1301433105177734</v>
      </c>
    </row>
    <row r="36" spans="1:9" x14ac:dyDescent="0.2">
      <c r="A36" t="s">
        <v>275</v>
      </c>
      <c r="B36">
        <v>1</v>
      </c>
      <c r="C36">
        <v>2</v>
      </c>
      <c r="D36">
        <v>3</v>
      </c>
      <c r="E36">
        <v>4</v>
      </c>
      <c r="F36" t="s">
        <v>270</v>
      </c>
      <c r="G36" t="s">
        <v>271</v>
      </c>
      <c r="H36" t="s">
        <v>272</v>
      </c>
      <c r="I36" t="s">
        <v>276</v>
      </c>
    </row>
    <row r="37" spans="1:9" x14ac:dyDescent="0.2">
      <c r="A37" t="s">
        <v>217</v>
      </c>
      <c r="B37">
        <f>($B$2+B35)/13</f>
        <v>0.26102791054750102</v>
      </c>
      <c r="C37">
        <f>($B$2+C35)/14</f>
        <v>0.26410047013063565</v>
      </c>
      <c r="D37">
        <f>($B$2+D35)/14</f>
        <v>0.28274532088402859</v>
      </c>
      <c r="E37">
        <f>($B$2+E35)/15</f>
        <v>0.28416521580585236</v>
      </c>
      <c r="F37">
        <f>MIN(B37:E37)</f>
        <v>0.26102791054750102</v>
      </c>
      <c r="G37">
        <f>F37</f>
        <v>0.26102791054750102</v>
      </c>
      <c r="H37">
        <f>MIN(G37:G39)</f>
        <v>0.26102791054750102</v>
      </c>
      <c r="I37" t="str">
        <f>IF(H30=H37,"否","是")</f>
        <v>否</v>
      </c>
    </row>
    <row r="38" spans="1:9" x14ac:dyDescent="0.2">
      <c r="A38" t="s">
        <v>218</v>
      </c>
      <c r="B38">
        <f>($B$3+B35)/27</f>
        <v>0.8142048638539251</v>
      </c>
      <c r="C38">
        <f>($B$3+C35)/28</f>
        <v>0.79598482388454872</v>
      </c>
      <c r="D38">
        <f>($B$3+D35)/29</f>
        <v>0.77753803376947805</v>
      </c>
      <c r="E38">
        <f>($B$3+E35)/30</f>
        <v>0.761754890800875</v>
      </c>
      <c r="F38">
        <f>MIN(B38:E38)</f>
        <v>0.761754890800875</v>
      </c>
      <c r="G38">
        <f>F38/2</f>
        <v>0.3808774454004375</v>
      </c>
      <c r="H38">
        <f>MIN(G38:G39)</f>
        <v>0.28253582762944335</v>
      </c>
      <c r="I38" t="str">
        <f t="shared" ref="I38:I39" si="5">IF(H31=H38,"否","是")</f>
        <v>否</v>
      </c>
    </row>
    <row r="39" spans="1:9" x14ac:dyDescent="0.2">
      <c r="A39" t="s">
        <v>219</v>
      </c>
      <c r="B39">
        <f>($B$4+B35)/67</f>
        <v>1.252113923714369</v>
      </c>
      <c r="C39">
        <f>($B$4+C35)/72</f>
        <v>1.1693843976885294</v>
      </c>
      <c r="D39">
        <f>($B$4+D35)/73</f>
        <v>1.1569411581386524</v>
      </c>
      <c r="E39">
        <f>($B$4+E35)/75</f>
        <v>1.1301433105177734</v>
      </c>
      <c r="F39">
        <f>MIN(B39:E39)</f>
        <v>1.1301433105177734</v>
      </c>
      <c r="G39">
        <f>F39/4</f>
        <v>0.28253582762944335</v>
      </c>
      <c r="H39">
        <f>MIN(G39)</f>
        <v>0.28253582762944335</v>
      </c>
      <c r="I39" t="str">
        <f t="shared" si="5"/>
        <v>否</v>
      </c>
    </row>
    <row r="41" spans="1:9" x14ac:dyDescent="0.2">
      <c r="A41" t="s">
        <v>274</v>
      </c>
      <c r="B41">
        <v>1</v>
      </c>
      <c r="C41">
        <v>2</v>
      </c>
      <c r="D41">
        <v>3</v>
      </c>
      <c r="E41">
        <v>4</v>
      </c>
    </row>
    <row r="42" spans="1:9" x14ac:dyDescent="0.2">
      <c r="A42" s="9" t="s">
        <v>273</v>
      </c>
      <c r="B42">
        <f>H37</f>
        <v>0.26102791054750102</v>
      </c>
      <c r="C42">
        <f>2*H38</f>
        <v>0.5650716552588867</v>
      </c>
      <c r="D42">
        <f>MIN(3*(H38+H39)/2,3*(H37+2*H39)/3)</f>
        <v>0.82609956580638766</v>
      </c>
      <c r="E42">
        <f>4*H39</f>
        <v>1.1301433105177734</v>
      </c>
    </row>
    <row r="43" spans="1:9" x14ac:dyDescent="0.2">
      <c r="A43" t="s">
        <v>275</v>
      </c>
      <c r="B43">
        <v>1</v>
      </c>
      <c r="C43">
        <v>2</v>
      </c>
      <c r="D43">
        <v>3</v>
      </c>
      <c r="E43">
        <v>4</v>
      </c>
      <c r="F43" t="s">
        <v>270</v>
      </c>
      <c r="G43" t="s">
        <v>271</v>
      </c>
      <c r="H43" t="s">
        <v>272</v>
      </c>
      <c r="I43" t="s">
        <v>276</v>
      </c>
    </row>
    <row r="44" spans="1:9" x14ac:dyDescent="0.2">
      <c r="A44" t="s">
        <v>217</v>
      </c>
      <c r="B44">
        <f>($B$2+B42)/13</f>
        <v>0.26102791054750102</v>
      </c>
      <c r="C44">
        <f>($B$2+C42)/14</f>
        <v>0.26410047013063565</v>
      </c>
      <c r="D44">
        <f>($B$2+D42)/14</f>
        <v>0.28274532088402859</v>
      </c>
      <c r="E44">
        <f>($B$2+E42)/15</f>
        <v>0.28416521580585236</v>
      </c>
      <c r="F44">
        <f>MIN(B44:E44)</f>
        <v>0.26102791054750102</v>
      </c>
      <c r="G44">
        <f>F44</f>
        <v>0.26102791054750102</v>
      </c>
      <c r="H44">
        <f>MIN(G44:G46)</f>
        <v>0.26102791054750102</v>
      </c>
      <c r="I44" t="str">
        <f>IF(H37=H44,"否","是")</f>
        <v>否</v>
      </c>
    </row>
    <row r="45" spans="1:9" x14ac:dyDescent="0.2">
      <c r="A45" t="s">
        <v>218</v>
      </c>
      <c r="B45">
        <f>($B$3+B42)/27</f>
        <v>0.8142048638539251</v>
      </c>
      <c r="C45">
        <f>($B$3+C42)/28</f>
        <v>0.79598482388454872</v>
      </c>
      <c r="D45">
        <f>($B$3+D42)/29</f>
        <v>0.77753803376947805</v>
      </c>
      <c r="E45">
        <f>($B$3+E42)/30</f>
        <v>0.761754890800875</v>
      </c>
      <c r="F45">
        <f>MIN(B45:E45)</f>
        <v>0.761754890800875</v>
      </c>
      <c r="G45">
        <f>F45/2</f>
        <v>0.3808774454004375</v>
      </c>
      <c r="H45">
        <f>MIN(G45:G46)</f>
        <v>0.28253582762944335</v>
      </c>
      <c r="I45" t="str">
        <f t="shared" ref="I45:I46" si="6">IF(H38=H45,"否","是")</f>
        <v>否</v>
      </c>
    </row>
    <row r="46" spans="1:9" x14ac:dyDescent="0.2">
      <c r="A46" t="s">
        <v>219</v>
      </c>
      <c r="B46">
        <f>($B$4+B42)/67</f>
        <v>1.252113923714369</v>
      </c>
      <c r="C46">
        <f>($B$4+C42)/72</f>
        <v>1.1693843976885294</v>
      </c>
      <c r="D46">
        <f>($B$4+D42)/73</f>
        <v>1.1569411581386524</v>
      </c>
      <c r="E46">
        <f>($B$4+E42)/75</f>
        <v>1.1301433105177734</v>
      </c>
      <c r="F46">
        <f>MIN(B46:E46)</f>
        <v>1.1301433105177734</v>
      </c>
      <c r="G46">
        <f>F46/4</f>
        <v>0.28253582762944335</v>
      </c>
      <c r="H46">
        <f>MIN(G46)</f>
        <v>0.28253582762944335</v>
      </c>
      <c r="I46" t="str">
        <f t="shared" si="6"/>
        <v>否</v>
      </c>
    </row>
    <row r="48" spans="1:9" x14ac:dyDescent="0.2">
      <c r="A48" t="s">
        <v>274</v>
      </c>
      <c r="B48">
        <v>1</v>
      </c>
      <c r="C48">
        <v>2</v>
      </c>
      <c r="D48">
        <v>3</v>
      </c>
      <c r="E48">
        <v>4</v>
      </c>
    </row>
    <row r="49" spans="1:9" x14ac:dyDescent="0.2">
      <c r="A49" s="9" t="s">
        <v>273</v>
      </c>
      <c r="B49">
        <f>H44</f>
        <v>0.26102791054750102</v>
      </c>
      <c r="C49">
        <f>2*H45</f>
        <v>0.5650716552588867</v>
      </c>
      <c r="D49">
        <f>MIN(3*(H45+H46)/2,3*(H44+2*H46)/3)</f>
        <v>0.82609956580638766</v>
      </c>
      <c r="E49">
        <f>4*H46</f>
        <v>1.1301433105177734</v>
      </c>
    </row>
    <row r="50" spans="1:9" x14ac:dyDescent="0.2">
      <c r="A50" t="s">
        <v>275</v>
      </c>
      <c r="B50">
        <v>1</v>
      </c>
      <c r="C50">
        <v>2</v>
      </c>
      <c r="D50">
        <v>3</v>
      </c>
      <c r="E50">
        <v>4</v>
      </c>
      <c r="F50" t="s">
        <v>270</v>
      </c>
      <c r="G50" t="s">
        <v>271</v>
      </c>
      <c r="H50" t="s">
        <v>272</v>
      </c>
      <c r="I50" t="s">
        <v>276</v>
      </c>
    </row>
    <row r="51" spans="1:9" x14ac:dyDescent="0.2">
      <c r="A51" t="s">
        <v>217</v>
      </c>
      <c r="B51">
        <f>($B$2+B49)/13</f>
        <v>0.26102791054750102</v>
      </c>
      <c r="C51">
        <f>($B$2+C49)/14</f>
        <v>0.26410047013063565</v>
      </c>
      <c r="D51">
        <f>($B$2+D49)/14</f>
        <v>0.28274532088402859</v>
      </c>
      <c r="E51">
        <f>($B$2+E49)/15</f>
        <v>0.28416521580585236</v>
      </c>
      <c r="F51">
        <f>MIN(B51:E51)</f>
        <v>0.26102791054750102</v>
      </c>
      <c r="G51">
        <f>F51</f>
        <v>0.26102791054750102</v>
      </c>
      <c r="H51">
        <f>MIN(G51:G53)</f>
        <v>0.26102791054750102</v>
      </c>
      <c r="I51" t="str">
        <f>IF(H44=H51,"否","是")</f>
        <v>否</v>
      </c>
    </row>
    <row r="52" spans="1:9" x14ac:dyDescent="0.2">
      <c r="A52" t="s">
        <v>218</v>
      </c>
      <c r="B52">
        <f>($B$3+B49)/27</f>
        <v>0.8142048638539251</v>
      </c>
      <c r="C52">
        <f>($B$3+C49)/28</f>
        <v>0.79598482388454872</v>
      </c>
      <c r="D52">
        <f>($B$3+D49)/29</f>
        <v>0.77753803376947805</v>
      </c>
      <c r="E52">
        <f>($B$3+E49)/30</f>
        <v>0.761754890800875</v>
      </c>
      <c r="F52">
        <f>MIN(B52:E52)</f>
        <v>0.761754890800875</v>
      </c>
      <c r="G52">
        <f>F52/2</f>
        <v>0.3808774454004375</v>
      </c>
      <c r="H52">
        <f>MIN(G52:G53)</f>
        <v>0.28253582762944335</v>
      </c>
      <c r="I52" t="str">
        <f t="shared" ref="I52:I53" si="7">IF(H45=H52,"否","是")</f>
        <v>否</v>
      </c>
    </row>
    <row r="53" spans="1:9" x14ac:dyDescent="0.2">
      <c r="A53" t="s">
        <v>219</v>
      </c>
      <c r="B53">
        <f>($B$4+B49)/67</f>
        <v>1.252113923714369</v>
      </c>
      <c r="C53">
        <f>($B$4+C49)/72</f>
        <v>1.1693843976885294</v>
      </c>
      <c r="D53">
        <f>($B$4+D49)/73</f>
        <v>1.1569411581386524</v>
      </c>
      <c r="E53">
        <f>($B$4+E49)/75</f>
        <v>1.1301433105177734</v>
      </c>
      <c r="F53">
        <f>MIN(B53:E53)</f>
        <v>1.1301433105177734</v>
      </c>
      <c r="G53">
        <f>F53/4</f>
        <v>0.28253582762944335</v>
      </c>
      <c r="H53">
        <f>MIN(G53)</f>
        <v>0.28253582762944335</v>
      </c>
      <c r="I53" t="str">
        <f t="shared" si="7"/>
        <v>否</v>
      </c>
    </row>
    <row r="55" spans="1:9" x14ac:dyDescent="0.2">
      <c r="A55" t="s">
        <v>274</v>
      </c>
      <c r="B55">
        <v>1</v>
      </c>
      <c r="C55">
        <v>2</v>
      </c>
      <c r="D55">
        <v>3</v>
      </c>
      <c r="E55">
        <v>4</v>
      </c>
    </row>
    <row r="56" spans="1:9" x14ac:dyDescent="0.2">
      <c r="A56" s="9" t="s">
        <v>273</v>
      </c>
      <c r="B56">
        <f>H51</f>
        <v>0.26102791054750102</v>
      </c>
      <c r="C56">
        <f>2*H52</f>
        <v>0.5650716552588867</v>
      </c>
      <c r="D56">
        <f>MIN(3*(H52+H53)/2,3*(H51+2*H53)/3)</f>
        <v>0.82609956580638766</v>
      </c>
      <c r="E56">
        <f>4*H53</f>
        <v>1.1301433105177734</v>
      </c>
    </row>
    <row r="57" spans="1:9" x14ac:dyDescent="0.2">
      <c r="A57" t="s">
        <v>275</v>
      </c>
      <c r="B57">
        <v>1</v>
      </c>
      <c r="C57">
        <v>2</v>
      </c>
      <c r="D57">
        <v>3</v>
      </c>
      <c r="E57">
        <v>4</v>
      </c>
      <c r="F57" t="s">
        <v>270</v>
      </c>
      <c r="G57" t="s">
        <v>271</v>
      </c>
      <c r="H57" t="s">
        <v>272</v>
      </c>
      <c r="I57" t="s">
        <v>276</v>
      </c>
    </row>
    <row r="58" spans="1:9" x14ac:dyDescent="0.2">
      <c r="A58" t="s">
        <v>217</v>
      </c>
      <c r="B58">
        <f>($B$2+B56)/13</f>
        <v>0.26102791054750102</v>
      </c>
      <c r="C58">
        <f>($B$2+C56)/14</f>
        <v>0.26410047013063565</v>
      </c>
      <c r="D58">
        <f>($B$2+D56)/14</f>
        <v>0.28274532088402859</v>
      </c>
      <c r="E58">
        <f>($B$2+E56)/15</f>
        <v>0.28416521580585236</v>
      </c>
      <c r="F58">
        <f>MIN(B58:E58)</f>
        <v>0.26102791054750102</v>
      </c>
      <c r="G58">
        <f>F58</f>
        <v>0.26102791054750102</v>
      </c>
      <c r="H58">
        <f>MIN(G58:G60)</f>
        <v>0.26102791054750102</v>
      </c>
      <c r="I58" t="str">
        <f>IF(H51=H58,"否","是")</f>
        <v>否</v>
      </c>
    </row>
    <row r="59" spans="1:9" x14ac:dyDescent="0.2">
      <c r="A59" t="s">
        <v>218</v>
      </c>
      <c r="B59">
        <f>($B$3+B56)/27</f>
        <v>0.8142048638539251</v>
      </c>
      <c r="C59">
        <f>($B$3+C56)/28</f>
        <v>0.79598482388454872</v>
      </c>
      <c r="D59">
        <f>($B$3+D56)/29</f>
        <v>0.77753803376947805</v>
      </c>
      <c r="E59">
        <f>($B$3+E56)/30</f>
        <v>0.761754890800875</v>
      </c>
      <c r="F59">
        <f>MIN(B59:E59)</f>
        <v>0.761754890800875</v>
      </c>
      <c r="G59">
        <f>F59/2</f>
        <v>0.3808774454004375</v>
      </c>
      <c r="H59">
        <f>MIN(G59:G60)</f>
        <v>0.28253582762944335</v>
      </c>
      <c r="I59" t="str">
        <f t="shared" ref="I59:I60" si="8">IF(H52=H59,"否","是")</f>
        <v>否</v>
      </c>
    </row>
    <row r="60" spans="1:9" x14ac:dyDescent="0.2">
      <c r="A60" t="s">
        <v>219</v>
      </c>
      <c r="B60">
        <f>($B$4+B56)/67</f>
        <v>1.252113923714369</v>
      </c>
      <c r="C60">
        <f>($B$4+C56)/72</f>
        <v>1.1693843976885294</v>
      </c>
      <c r="D60">
        <f>($B$4+D56)/73</f>
        <v>1.1569411581386524</v>
      </c>
      <c r="E60">
        <f>($B$4+E56)/75</f>
        <v>1.1301433105177734</v>
      </c>
      <c r="F60">
        <f>MIN(B60:E60)</f>
        <v>1.1301433105177734</v>
      </c>
      <c r="G60">
        <f>F60/4</f>
        <v>0.28253582762944335</v>
      </c>
      <c r="H60">
        <f>MIN(G60)</f>
        <v>0.28253582762944335</v>
      </c>
      <c r="I60" t="str">
        <f t="shared" si="8"/>
        <v>否</v>
      </c>
    </row>
    <row r="62" spans="1:9" x14ac:dyDescent="0.2">
      <c r="A62" t="s">
        <v>274</v>
      </c>
      <c r="B62">
        <v>1</v>
      </c>
      <c r="C62">
        <v>2</v>
      </c>
      <c r="D62">
        <v>3</v>
      </c>
      <c r="E62">
        <v>4</v>
      </c>
    </row>
    <row r="63" spans="1:9" x14ac:dyDescent="0.2">
      <c r="A63" s="9" t="s">
        <v>273</v>
      </c>
      <c r="B63">
        <f>H58</f>
        <v>0.26102791054750102</v>
      </c>
      <c r="C63">
        <f>2*H59</f>
        <v>0.5650716552588867</v>
      </c>
      <c r="D63">
        <f>MIN(3*(H59+H60)/2,3*(H58+2*H60)/3)</f>
        <v>0.82609956580638766</v>
      </c>
      <c r="E63">
        <f>4*H60</f>
        <v>1.1301433105177734</v>
      </c>
    </row>
    <row r="64" spans="1:9" x14ac:dyDescent="0.2">
      <c r="A64" t="s">
        <v>275</v>
      </c>
      <c r="B64">
        <v>1</v>
      </c>
      <c r="C64">
        <v>2</v>
      </c>
      <c r="D64">
        <v>3</v>
      </c>
      <c r="E64">
        <v>4</v>
      </c>
      <c r="F64" t="s">
        <v>270</v>
      </c>
      <c r="G64" t="s">
        <v>271</v>
      </c>
      <c r="H64" t="s">
        <v>272</v>
      </c>
      <c r="I64" t="s">
        <v>276</v>
      </c>
    </row>
    <row r="65" spans="1:9" x14ac:dyDescent="0.2">
      <c r="A65" t="s">
        <v>217</v>
      </c>
      <c r="B65">
        <f>($B$2+B63)/13</f>
        <v>0.26102791054750102</v>
      </c>
      <c r="C65">
        <f>($B$2+C63)/14</f>
        <v>0.26410047013063565</v>
      </c>
      <c r="D65">
        <f>($B$2+D63)/14</f>
        <v>0.28274532088402859</v>
      </c>
      <c r="E65">
        <f>($B$2+E63)/15</f>
        <v>0.28416521580585236</v>
      </c>
      <c r="F65">
        <f>MIN(B65:E65)</f>
        <v>0.26102791054750102</v>
      </c>
      <c r="G65">
        <f>F65</f>
        <v>0.26102791054750102</v>
      </c>
      <c r="H65">
        <f>MIN(G65:G67)</f>
        <v>0.26102791054750102</v>
      </c>
      <c r="I65" t="str">
        <f>IF(H58=H65,"否","是")</f>
        <v>否</v>
      </c>
    </row>
    <row r="66" spans="1:9" x14ac:dyDescent="0.2">
      <c r="A66" t="s">
        <v>218</v>
      </c>
      <c r="B66">
        <f>($B$3+B63)/27</f>
        <v>0.8142048638539251</v>
      </c>
      <c r="C66">
        <f>($B$3+C63)/28</f>
        <v>0.79598482388454872</v>
      </c>
      <c r="D66">
        <f>($B$3+D63)/29</f>
        <v>0.77753803376947805</v>
      </c>
      <c r="E66">
        <f>($B$3+E63)/30</f>
        <v>0.761754890800875</v>
      </c>
      <c r="F66">
        <f>MIN(B66:E66)</f>
        <v>0.761754890800875</v>
      </c>
      <c r="G66">
        <f>F66/2</f>
        <v>0.3808774454004375</v>
      </c>
      <c r="H66">
        <f>MIN(G66:G67)</f>
        <v>0.28253582762944335</v>
      </c>
      <c r="I66" t="str">
        <f t="shared" ref="I66:I67" si="9">IF(H59=H66,"否","是")</f>
        <v>否</v>
      </c>
    </row>
    <row r="67" spans="1:9" x14ac:dyDescent="0.2">
      <c r="A67" t="s">
        <v>219</v>
      </c>
      <c r="B67">
        <f>($B$4+B63)/67</f>
        <v>1.252113923714369</v>
      </c>
      <c r="C67">
        <f>($B$4+C63)/72</f>
        <v>1.1693843976885294</v>
      </c>
      <c r="D67">
        <f>($B$4+D63)/73</f>
        <v>1.1569411581386524</v>
      </c>
      <c r="E67">
        <f>($B$4+E63)/75</f>
        <v>1.1301433105177734</v>
      </c>
      <c r="F67">
        <f>MIN(B67:E67)</f>
        <v>1.1301433105177734</v>
      </c>
      <c r="G67">
        <f>F67/4</f>
        <v>0.28253582762944335</v>
      </c>
      <c r="H67">
        <f>MIN(G67)</f>
        <v>0.28253582762944335</v>
      </c>
      <c r="I67" t="str">
        <f t="shared" si="9"/>
        <v>否</v>
      </c>
    </row>
    <row r="69" spans="1:9" x14ac:dyDescent="0.2">
      <c r="A69" t="s">
        <v>274</v>
      </c>
      <c r="B69">
        <v>1</v>
      </c>
      <c r="C69">
        <v>2</v>
      </c>
      <c r="D69">
        <v>3</v>
      </c>
      <c r="E69">
        <v>4</v>
      </c>
    </row>
    <row r="70" spans="1:9" x14ac:dyDescent="0.2">
      <c r="A70" s="9" t="s">
        <v>273</v>
      </c>
      <c r="B70">
        <f>H65</f>
        <v>0.26102791054750102</v>
      </c>
      <c r="C70">
        <f>2*H66</f>
        <v>0.5650716552588867</v>
      </c>
      <c r="D70">
        <f>MIN(3*(H66+H67)/2,3*(H65+2*H67)/3)</f>
        <v>0.82609956580638766</v>
      </c>
      <c r="E70">
        <f>4*H67</f>
        <v>1.1301433105177734</v>
      </c>
    </row>
    <row r="71" spans="1:9" x14ac:dyDescent="0.2">
      <c r="A71" t="s">
        <v>275</v>
      </c>
      <c r="B71">
        <v>1</v>
      </c>
      <c r="C71">
        <v>2</v>
      </c>
      <c r="D71">
        <v>3</v>
      </c>
      <c r="E71">
        <v>4</v>
      </c>
      <c r="F71" t="s">
        <v>270</v>
      </c>
      <c r="G71" t="s">
        <v>271</v>
      </c>
      <c r="H71" t="s">
        <v>272</v>
      </c>
      <c r="I71" t="s">
        <v>276</v>
      </c>
    </row>
    <row r="72" spans="1:9" x14ac:dyDescent="0.2">
      <c r="A72" t="s">
        <v>217</v>
      </c>
      <c r="B72">
        <f>($B$2+B70)/13</f>
        <v>0.26102791054750102</v>
      </c>
      <c r="C72">
        <f>($B$2+C70)/14</f>
        <v>0.26410047013063565</v>
      </c>
      <c r="D72">
        <f>($B$2+D70)/14</f>
        <v>0.28274532088402859</v>
      </c>
      <c r="E72">
        <f>($B$2+E70)/15</f>
        <v>0.28416521580585236</v>
      </c>
      <c r="F72">
        <f>MIN(B72:E72)</f>
        <v>0.26102791054750102</v>
      </c>
      <c r="G72">
        <f>F72</f>
        <v>0.26102791054750102</v>
      </c>
      <c r="H72">
        <f>MIN(G72:G74)</f>
        <v>0.26102791054750102</v>
      </c>
      <c r="I72" t="str">
        <f>IF(H65=H72,"否","是")</f>
        <v>否</v>
      </c>
    </row>
    <row r="73" spans="1:9" x14ac:dyDescent="0.2">
      <c r="A73" t="s">
        <v>218</v>
      </c>
      <c r="B73">
        <f>($B$3+B70)/27</f>
        <v>0.8142048638539251</v>
      </c>
      <c r="C73">
        <f>($B$3+C70)/28</f>
        <v>0.79598482388454872</v>
      </c>
      <c r="D73">
        <f>($B$3+D70)/29</f>
        <v>0.77753803376947805</v>
      </c>
      <c r="E73">
        <f>($B$3+E70)/30</f>
        <v>0.761754890800875</v>
      </c>
      <c r="F73">
        <f>MIN(B73:E73)</f>
        <v>0.761754890800875</v>
      </c>
      <c r="G73">
        <f>F73/2</f>
        <v>0.3808774454004375</v>
      </c>
      <c r="H73">
        <f>MIN(G73:G74)</f>
        <v>0.28253582762944335</v>
      </c>
      <c r="I73" t="str">
        <f t="shared" ref="I73:I74" si="10">IF(H66=H73,"否","是")</f>
        <v>否</v>
      </c>
    </row>
    <row r="74" spans="1:9" x14ac:dyDescent="0.2">
      <c r="A74" t="s">
        <v>219</v>
      </c>
      <c r="B74">
        <f>($B$4+B70)/67</f>
        <v>1.252113923714369</v>
      </c>
      <c r="C74">
        <f>($B$4+C70)/72</f>
        <v>1.1693843976885294</v>
      </c>
      <c r="D74">
        <f>($B$4+D70)/73</f>
        <v>1.1569411581386524</v>
      </c>
      <c r="E74">
        <f>($B$4+E70)/75</f>
        <v>1.1301433105177734</v>
      </c>
      <c r="F74">
        <f>MIN(B74:E74)</f>
        <v>1.1301433105177734</v>
      </c>
      <c r="G74">
        <f>F74/4</f>
        <v>0.28253582762944335</v>
      </c>
      <c r="H74">
        <f>MIN(G74)</f>
        <v>0.28253582762944335</v>
      </c>
      <c r="I74" t="str">
        <f t="shared" si="10"/>
        <v>否</v>
      </c>
    </row>
  </sheetData>
  <phoneticPr fontId="1" type="noConversion"/>
  <conditionalFormatting sqref="A1:XFD1048576">
    <cfRule type="cellIs" dxfId="0" priority="1" operator="equal">
      <formula>"是"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D1C4-02FB-42BC-890C-85A89EDB5251}">
  <dimension ref="A1:U40"/>
  <sheetViews>
    <sheetView topLeftCell="A21" workbookViewId="0">
      <selection activeCell="A40" sqref="A40:O40"/>
    </sheetView>
  </sheetViews>
  <sheetFormatPr defaultRowHeight="14.25" x14ac:dyDescent="0.2"/>
  <cols>
    <col min="1" max="1" width="34.125" customWidth="1"/>
  </cols>
  <sheetData>
    <row r="1" spans="1:21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</row>
    <row r="2" spans="1:21" s="1" customFormat="1" x14ac:dyDescent="0.2">
      <c r="A2" s="1" t="s">
        <v>246</v>
      </c>
      <c r="B2" s="1">
        <v>6.96</v>
      </c>
      <c r="C2" s="1">
        <v>8.16</v>
      </c>
      <c r="D2" s="1">
        <v>11.52</v>
      </c>
      <c r="E2" s="1">
        <v>11.52</v>
      </c>
      <c r="F2" s="1">
        <v>12.8</v>
      </c>
      <c r="G2" s="1">
        <v>12.8</v>
      </c>
      <c r="H2" s="1">
        <v>26.4</v>
      </c>
      <c r="I2" s="1">
        <v>26.4</v>
      </c>
      <c r="J2" s="1">
        <v>47.5</v>
      </c>
      <c r="K2" s="1">
        <v>47.5</v>
      </c>
      <c r="L2" s="1">
        <v>52.25</v>
      </c>
      <c r="M2" s="1">
        <v>19.5</v>
      </c>
      <c r="N2" s="1">
        <v>19.5</v>
      </c>
      <c r="O2" s="1">
        <v>22.5</v>
      </c>
      <c r="P2" s="1">
        <v>22.5</v>
      </c>
      <c r="Q2" s="1">
        <v>25.961500000000001</v>
      </c>
      <c r="R2" s="1">
        <v>48.96</v>
      </c>
      <c r="S2" s="1">
        <v>54.824300000000001</v>
      </c>
      <c r="T2" s="1">
        <v>16.670000000000002</v>
      </c>
      <c r="U2" s="1">
        <v>10.5</v>
      </c>
    </row>
    <row r="3" spans="1:21" s="1" customFormat="1" x14ac:dyDescent="0.2">
      <c r="A3" s="1" t="s">
        <v>279</v>
      </c>
      <c r="B3" s="1">
        <v>10.5</v>
      </c>
      <c r="C3" s="1">
        <v>12</v>
      </c>
      <c r="D3" s="1">
        <v>16</v>
      </c>
      <c r="E3" s="1">
        <v>16</v>
      </c>
      <c r="F3" s="1">
        <v>16</v>
      </c>
      <c r="G3" s="1">
        <v>16</v>
      </c>
      <c r="H3" s="1">
        <v>35</v>
      </c>
      <c r="I3" s="1">
        <v>35</v>
      </c>
      <c r="J3" s="1">
        <v>55</v>
      </c>
      <c r="K3" s="1">
        <v>55</v>
      </c>
      <c r="L3" s="1">
        <v>55</v>
      </c>
      <c r="M3" s="1">
        <v>21</v>
      </c>
      <c r="N3" s="1">
        <v>21</v>
      </c>
      <c r="O3" s="1">
        <v>30</v>
      </c>
      <c r="P3" s="1">
        <v>30</v>
      </c>
      <c r="Q3" s="1">
        <v>38.5</v>
      </c>
      <c r="R3" s="1">
        <v>60</v>
      </c>
      <c r="S3" s="1">
        <v>63.92</v>
      </c>
      <c r="T3" s="1">
        <v>24</v>
      </c>
      <c r="U3" s="1">
        <v>12</v>
      </c>
    </row>
    <row r="4" spans="1:21" s="1" customFormat="1" x14ac:dyDescent="0.2">
      <c r="A4" s="1" t="s">
        <v>247</v>
      </c>
      <c r="B4" s="1">
        <v>12</v>
      </c>
      <c r="C4" s="1">
        <v>15</v>
      </c>
      <c r="D4" s="1">
        <v>20</v>
      </c>
      <c r="E4" s="1">
        <v>22</v>
      </c>
      <c r="F4" s="1">
        <v>24</v>
      </c>
      <c r="G4" s="1">
        <v>26</v>
      </c>
      <c r="H4" s="1">
        <v>42</v>
      </c>
      <c r="I4" s="1">
        <v>45.5</v>
      </c>
      <c r="J4" s="1">
        <v>55</v>
      </c>
      <c r="K4" s="1">
        <v>57.5</v>
      </c>
      <c r="L4" s="1">
        <v>60</v>
      </c>
      <c r="M4" s="1">
        <v>22.5</v>
      </c>
      <c r="N4" s="1">
        <v>24</v>
      </c>
      <c r="O4" s="1">
        <v>30</v>
      </c>
      <c r="P4" s="1">
        <v>40</v>
      </c>
      <c r="Q4" s="1">
        <v>60.5</v>
      </c>
      <c r="R4" s="1">
        <v>60</v>
      </c>
      <c r="S4" s="1">
        <v>63.92</v>
      </c>
      <c r="T4" s="1">
        <v>24</v>
      </c>
      <c r="U4" s="1">
        <v>12</v>
      </c>
    </row>
    <row r="5" spans="1:21" s="1" customFormat="1" x14ac:dyDescent="0.2">
      <c r="A5" s="1" t="s">
        <v>248</v>
      </c>
      <c r="B5" s="1">
        <v>7.68</v>
      </c>
      <c r="C5" s="1">
        <v>9.6</v>
      </c>
      <c r="D5" s="1">
        <v>12.8</v>
      </c>
      <c r="E5" s="1">
        <v>12.8</v>
      </c>
      <c r="F5" s="1">
        <v>12.8</v>
      </c>
      <c r="G5" s="1">
        <v>14.4</v>
      </c>
      <c r="H5" s="1">
        <v>30.6</v>
      </c>
      <c r="I5" s="1">
        <v>30.6</v>
      </c>
      <c r="J5" s="1">
        <v>47.5</v>
      </c>
      <c r="K5" s="1">
        <v>47.5</v>
      </c>
      <c r="L5" s="1">
        <v>52.25</v>
      </c>
      <c r="M5" s="1">
        <v>21</v>
      </c>
      <c r="N5" s="1">
        <v>21</v>
      </c>
      <c r="O5" s="1">
        <v>24.75</v>
      </c>
      <c r="P5" s="1">
        <v>24.75</v>
      </c>
      <c r="Q5" s="1">
        <v>27.5</v>
      </c>
      <c r="R5" s="1">
        <v>48.96</v>
      </c>
      <c r="S5" s="1">
        <v>54.824300000000001</v>
      </c>
      <c r="T5" s="1">
        <v>16.670000000000002</v>
      </c>
      <c r="U5" s="1">
        <v>10.5</v>
      </c>
    </row>
    <row r="6" spans="1:21" s="1" customFormat="1" x14ac:dyDescent="0.2">
      <c r="A6" s="1" t="s">
        <v>249</v>
      </c>
      <c r="B6" s="1">
        <f>J30+2*J28</f>
        <v>0</v>
      </c>
      <c r="C6" s="1">
        <f>J30+4*J28</f>
        <v>0</v>
      </c>
      <c r="D6" s="1">
        <f>J30+2*J28</f>
        <v>0</v>
      </c>
      <c r="E6" s="1">
        <f>J30+3*J28</f>
        <v>0</v>
      </c>
      <c r="F6" s="1">
        <f>J30+4*J28</f>
        <v>0</v>
      </c>
      <c r="G6" s="1">
        <f>J30+5*J28</f>
        <v>0</v>
      </c>
      <c r="H6" s="1">
        <f>J30+2*J28</f>
        <v>0</v>
      </c>
      <c r="I6" s="1">
        <f>J30+3*J28</f>
        <v>0</v>
      </c>
      <c r="J6" s="1">
        <f>J30+2*J28</f>
        <v>0</v>
      </c>
      <c r="K6" s="1">
        <f>J30+3*J28</f>
        <v>0</v>
      </c>
      <c r="L6" s="1">
        <f>J30+4*J28</f>
        <v>0</v>
      </c>
      <c r="M6" s="1">
        <f>J30+2*J28</f>
        <v>0</v>
      </c>
      <c r="N6" s="1">
        <f>J30+3*J28</f>
        <v>0</v>
      </c>
      <c r="O6" s="1">
        <f>J30+J28</f>
        <v>0</v>
      </c>
      <c r="P6" s="1">
        <f>J30+3*J28</f>
        <v>0</v>
      </c>
      <c r="Q6" s="1">
        <f>J30+7*J28</f>
        <v>0</v>
      </c>
      <c r="R6" s="1">
        <f>J30+J28</f>
        <v>0</v>
      </c>
      <c r="S6" s="1">
        <f>J30+J28</f>
        <v>0</v>
      </c>
      <c r="T6" s="1">
        <f>J30+J28/3</f>
        <v>0</v>
      </c>
      <c r="U6" s="1">
        <f>J30</f>
        <v>0</v>
      </c>
    </row>
    <row r="7" spans="1:21" s="1" customFormat="1" x14ac:dyDescent="0.2">
      <c r="A7" s="1" t="s">
        <v>250</v>
      </c>
      <c r="B7" s="1">
        <v>68</v>
      </c>
      <c r="C7" s="1">
        <v>116</v>
      </c>
      <c r="D7" s="1">
        <v>76</v>
      </c>
      <c r="E7" s="1">
        <v>104</v>
      </c>
      <c r="F7" s="1">
        <v>132</v>
      </c>
      <c r="G7" s="1">
        <v>160</v>
      </c>
      <c r="H7" s="1">
        <v>100</v>
      </c>
      <c r="I7" s="1">
        <v>140</v>
      </c>
      <c r="J7" s="1">
        <v>84</v>
      </c>
      <c r="K7" s="1">
        <v>116</v>
      </c>
      <c r="L7" s="1">
        <v>128</v>
      </c>
      <c r="M7" s="1">
        <v>68</v>
      </c>
      <c r="N7" s="1">
        <v>92</v>
      </c>
      <c r="O7" s="1">
        <v>332</v>
      </c>
      <c r="P7" s="1">
        <v>396</v>
      </c>
      <c r="Q7" s="1">
        <v>524</v>
      </c>
      <c r="R7" s="1">
        <v>60</v>
      </c>
      <c r="S7" s="1">
        <v>88</v>
      </c>
      <c r="T7" s="1">
        <v>128</v>
      </c>
      <c r="U7" s="1">
        <v>44</v>
      </c>
    </row>
    <row r="8" spans="1:21" s="1" customFormat="1" x14ac:dyDescent="0.2">
      <c r="A8" s="1" t="s">
        <v>251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">
      <c r="A9" t="s">
        <v>252</v>
      </c>
      <c r="B9">
        <v>0.54805434782608697</v>
      </c>
      <c r="C9">
        <v>0.95348913043478267</v>
      </c>
      <c r="D9">
        <v>0.57183212560386476</v>
      </c>
      <c r="E9">
        <v>0.77454951690821261</v>
      </c>
      <c r="F9">
        <v>0.97726690821256046</v>
      </c>
      <c r="G9">
        <v>1.1799842995169081</v>
      </c>
      <c r="H9">
        <v>0.67288768115942021</v>
      </c>
      <c r="I9">
        <v>0.87560507246376806</v>
      </c>
      <c r="J9">
        <v>0.62533212560386475</v>
      </c>
      <c r="K9">
        <v>0.8280495169082126</v>
      </c>
      <c r="L9">
        <v>1.0307669082125603</v>
      </c>
      <c r="M9">
        <v>0.53616545893719803</v>
      </c>
      <c r="N9">
        <v>0.73888285024154587</v>
      </c>
      <c r="O9">
        <v>1.4057608695652175</v>
      </c>
      <c r="P9">
        <v>1.8111956521739132</v>
      </c>
      <c r="Q9">
        <v>2.6220652173913042</v>
      </c>
      <c r="R9">
        <v>0.27400362318840576</v>
      </c>
      <c r="S9">
        <v>0.27400362318840576</v>
      </c>
      <c r="T9">
        <v>0.1388586956521739</v>
      </c>
      <c r="U9">
        <v>44</v>
      </c>
    </row>
    <row r="10" spans="1:21" s="1" customFormat="1" x14ac:dyDescent="0.2">
      <c r="A10" s="1" t="s">
        <v>31</v>
      </c>
      <c r="B10" s="1">
        <v>6.96</v>
      </c>
      <c r="C10" s="1">
        <v>8.16</v>
      </c>
      <c r="D10" s="1">
        <v>10.88</v>
      </c>
      <c r="E10" s="1">
        <v>10.88</v>
      </c>
      <c r="F10" s="1">
        <v>11.52</v>
      </c>
      <c r="G10" s="1">
        <v>11.52</v>
      </c>
      <c r="H10" s="1">
        <v>26.4</v>
      </c>
      <c r="I10" s="1">
        <v>26.4</v>
      </c>
      <c r="J10" s="1">
        <v>47.5</v>
      </c>
      <c r="K10" s="1">
        <v>47.5</v>
      </c>
      <c r="L10" s="1">
        <v>52.25</v>
      </c>
      <c r="M10" s="1">
        <v>19.5</v>
      </c>
      <c r="N10" s="1">
        <v>19.5</v>
      </c>
      <c r="O10" s="1">
        <v>22.5</v>
      </c>
      <c r="P10" s="1">
        <v>22.5</v>
      </c>
      <c r="Q10" s="1">
        <v>22.5</v>
      </c>
      <c r="R10" s="1">
        <v>48.96</v>
      </c>
      <c r="S10" s="1">
        <v>54.824300000000001</v>
      </c>
      <c r="T10" s="1">
        <v>16.670000000000002</v>
      </c>
      <c r="U10" s="1">
        <v>10.5</v>
      </c>
    </row>
    <row r="11" spans="1:21" x14ac:dyDescent="0.2">
      <c r="A11" s="1" t="s">
        <v>253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9" spans="1:21" x14ac:dyDescent="0.2">
      <c r="A19" s="1" t="s">
        <v>286</v>
      </c>
      <c r="B19" s="1" t="s">
        <v>287</v>
      </c>
      <c r="C19" s="1" t="s">
        <v>288</v>
      </c>
      <c r="D19" s="1" t="s">
        <v>289</v>
      </c>
      <c r="E19" s="1" t="s">
        <v>290</v>
      </c>
      <c r="F19" s="1" t="s">
        <v>291</v>
      </c>
      <c r="G19" s="1" t="s">
        <v>292</v>
      </c>
      <c r="H19" s="1" t="s">
        <v>293</v>
      </c>
      <c r="I19" s="1" t="s">
        <v>294</v>
      </c>
      <c r="J19" s="1" t="s">
        <v>295</v>
      </c>
      <c r="K19" s="1" t="s">
        <v>296</v>
      </c>
      <c r="L19" s="1" t="s">
        <v>297</v>
      </c>
      <c r="M19" s="1" t="s">
        <v>298</v>
      </c>
      <c r="N19" s="1" t="s">
        <v>299</v>
      </c>
      <c r="O19" s="1" t="s">
        <v>300</v>
      </c>
      <c r="P19" s="1" t="s">
        <v>301</v>
      </c>
      <c r="Q19" s="1" t="s">
        <v>302</v>
      </c>
      <c r="R19" s="1" t="s">
        <v>303</v>
      </c>
      <c r="S19" s="1" t="s">
        <v>304</v>
      </c>
      <c r="T19" s="1" t="s">
        <v>305</v>
      </c>
      <c r="U19" s="1" t="s">
        <v>306</v>
      </c>
    </row>
    <row r="20" spans="1:21" x14ac:dyDescent="0.2">
      <c r="A20" s="1" t="s">
        <v>307</v>
      </c>
      <c r="B20" s="1">
        <v>1</v>
      </c>
      <c r="C20" s="1">
        <v>0.5</v>
      </c>
      <c r="D20" s="1">
        <v>1</v>
      </c>
      <c r="E20" s="1">
        <v>1</v>
      </c>
      <c r="F20" s="1">
        <v>1</v>
      </c>
      <c r="G20" s="1">
        <v>8</v>
      </c>
      <c r="H20" s="1">
        <v>1</v>
      </c>
      <c r="I20" s="1">
        <v>1</v>
      </c>
      <c r="J20" s="1">
        <v>2</v>
      </c>
      <c r="K20" s="1">
        <v>0.75</v>
      </c>
      <c r="L20" s="1">
        <v>1</v>
      </c>
      <c r="M20" s="1">
        <v>1.5</v>
      </c>
      <c r="N20" s="1">
        <v>1</v>
      </c>
      <c r="O20" s="1">
        <v>1</v>
      </c>
      <c r="P20" s="1">
        <v>2</v>
      </c>
      <c r="Q20" s="1">
        <v>1</v>
      </c>
      <c r="R20" s="1">
        <v>1</v>
      </c>
      <c r="S20" s="1">
        <v>1</v>
      </c>
      <c r="T20" s="1">
        <v>50</v>
      </c>
      <c r="U20" s="1">
        <v>1</v>
      </c>
    </row>
    <row r="21" spans="1:21" x14ac:dyDescent="0.2">
      <c r="A21" s="1" t="s">
        <v>308</v>
      </c>
      <c r="B21" s="1">
        <v>0.08</v>
      </c>
      <c r="C21" s="1">
        <v>0.42</v>
      </c>
      <c r="D21" s="1">
        <v>2.94</v>
      </c>
      <c r="E21" s="1">
        <v>0.3</v>
      </c>
      <c r="F21" s="1">
        <v>0.3</v>
      </c>
      <c r="G21" s="1">
        <v>30</v>
      </c>
      <c r="H21" s="1">
        <v>0</v>
      </c>
      <c r="I21" s="1">
        <v>0.36</v>
      </c>
      <c r="J21" s="1">
        <v>1.44</v>
      </c>
      <c r="K21" s="1">
        <v>0.27</v>
      </c>
      <c r="L21" s="1">
        <v>0.54</v>
      </c>
      <c r="M21" s="1">
        <v>1.08</v>
      </c>
      <c r="N21" s="1">
        <v>0.96</v>
      </c>
      <c r="O21" s="1">
        <v>0.72</v>
      </c>
      <c r="P21" s="1">
        <v>2.16</v>
      </c>
      <c r="Q21" s="1">
        <v>0.72</v>
      </c>
      <c r="R21" s="1">
        <v>12</v>
      </c>
      <c r="S21" s="1">
        <v>0.48</v>
      </c>
      <c r="T21" s="1">
        <v>45</v>
      </c>
      <c r="U21" s="1">
        <v>0.9</v>
      </c>
    </row>
    <row r="23" spans="1:21" x14ac:dyDescent="0.2">
      <c r="A23" s="1" t="s">
        <v>309</v>
      </c>
      <c r="B23" s="1">
        <v>0</v>
      </c>
      <c r="C23" s="1">
        <v>15</v>
      </c>
      <c r="D23" s="1">
        <v>25</v>
      </c>
      <c r="E23" s="1">
        <v>12</v>
      </c>
      <c r="F23" s="1">
        <v>50</v>
      </c>
      <c r="G23" s="1">
        <v>0</v>
      </c>
      <c r="H23" s="1">
        <v>54.82</v>
      </c>
      <c r="I23" s="1">
        <v>5.76</v>
      </c>
      <c r="J23" s="1">
        <v>5.76</v>
      </c>
      <c r="K23" s="1">
        <v>10.24</v>
      </c>
      <c r="L23" s="1">
        <v>10.24</v>
      </c>
      <c r="M23" s="1">
        <v>10.24</v>
      </c>
      <c r="N23" s="1">
        <v>18</v>
      </c>
      <c r="O23" s="1">
        <v>23.76</v>
      </c>
      <c r="P23" s="1">
        <v>23.76</v>
      </c>
      <c r="Q23" s="1">
        <v>12.96</v>
      </c>
      <c r="R23" s="1">
        <v>45.12</v>
      </c>
      <c r="S23" s="1">
        <v>20.25</v>
      </c>
      <c r="T23" s="1">
        <v>64</v>
      </c>
      <c r="U23" s="1">
        <v>4</v>
      </c>
    </row>
    <row r="27" spans="1:21" x14ac:dyDescent="0.2">
      <c r="A27" t="s">
        <v>310</v>
      </c>
      <c r="B27" s="1" t="s">
        <v>296</v>
      </c>
      <c r="C27" s="1" t="s">
        <v>294</v>
      </c>
      <c r="D27" s="1" t="s">
        <v>300</v>
      </c>
      <c r="E27" s="1" t="s">
        <v>299</v>
      </c>
      <c r="F27" s="1" t="s">
        <v>303</v>
      </c>
      <c r="G27" s="1" t="s">
        <v>304</v>
      </c>
    </row>
    <row r="28" spans="1:21" x14ac:dyDescent="0.2">
      <c r="B28" s="1">
        <v>0.75</v>
      </c>
      <c r="C28" s="1">
        <v>1</v>
      </c>
      <c r="D28" s="1">
        <v>1</v>
      </c>
      <c r="E28" s="1">
        <v>1</v>
      </c>
      <c r="F28" s="1">
        <v>1</v>
      </c>
      <c r="G28" s="1">
        <v>3</v>
      </c>
    </row>
    <row r="29" spans="1:21" x14ac:dyDescent="0.2">
      <c r="B29" s="1">
        <v>0.27</v>
      </c>
      <c r="C29" s="1">
        <v>0.36</v>
      </c>
      <c r="D29" s="1">
        <v>0.72</v>
      </c>
      <c r="E29" s="1">
        <v>0.96</v>
      </c>
      <c r="F29" s="1">
        <v>12</v>
      </c>
      <c r="G29" s="1">
        <f>0.48*3</f>
        <v>1.44</v>
      </c>
    </row>
    <row r="32" spans="1:21" x14ac:dyDescent="0.2">
      <c r="A32" t="s">
        <v>312</v>
      </c>
      <c r="B32" t="s">
        <v>313</v>
      </c>
      <c r="C32" t="s">
        <v>314</v>
      </c>
      <c r="D32" t="s">
        <v>315</v>
      </c>
      <c r="E32" t="s">
        <v>316</v>
      </c>
    </row>
    <row r="33" spans="1:15" x14ac:dyDescent="0.2">
      <c r="B33">
        <v>4</v>
      </c>
      <c r="C33">
        <v>1</v>
      </c>
      <c r="D33">
        <v>1</v>
      </c>
      <c r="E33">
        <f>SUM(B33:D33)</f>
        <v>6</v>
      </c>
    </row>
    <row r="37" spans="1:15" x14ac:dyDescent="0.2">
      <c r="A37" t="s">
        <v>317</v>
      </c>
    </row>
    <row r="38" spans="1:15" s="1" customFormat="1" x14ac:dyDescent="0.2">
      <c r="A38" s="1" t="s">
        <v>225</v>
      </c>
      <c r="B38" s="1" t="s">
        <v>226</v>
      </c>
      <c r="C38" s="1" t="s">
        <v>229</v>
      </c>
      <c r="D38" s="1" t="s">
        <v>230</v>
      </c>
      <c r="E38" s="1" t="s">
        <v>228</v>
      </c>
      <c r="F38" s="1" t="s">
        <v>227</v>
      </c>
      <c r="G38" s="1" t="s">
        <v>231</v>
      </c>
      <c r="H38" s="1" t="s">
        <v>232</v>
      </c>
      <c r="I38" s="1" t="s">
        <v>233</v>
      </c>
      <c r="J38" s="1" t="s">
        <v>234</v>
      </c>
      <c r="K38" s="1" t="s">
        <v>235</v>
      </c>
      <c r="L38" s="1" t="s">
        <v>236</v>
      </c>
      <c r="M38" s="1" t="s">
        <v>237</v>
      </c>
      <c r="N38" s="1" t="s">
        <v>277</v>
      </c>
      <c r="O38" s="1" t="s">
        <v>258</v>
      </c>
    </row>
    <row r="39" spans="1:15" s="1" customFormat="1" x14ac:dyDescent="0.2">
      <c r="A39" s="1">
        <v>1.1779408520000001</v>
      </c>
      <c r="B39" s="1">
        <v>1.5171714030000001</v>
      </c>
      <c r="C39" s="1">
        <v>6.2633078629999996</v>
      </c>
      <c r="D39" s="1">
        <v>1.6077766920000001</v>
      </c>
      <c r="E39" s="1">
        <v>1</v>
      </c>
      <c r="F39" s="1">
        <v>18.083014989999999</v>
      </c>
      <c r="G39" s="1">
        <v>6.777011066</v>
      </c>
      <c r="H39" s="1">
        <v>4.6086049789999999</v>
      </c>
      <c r="I39" s="1">
        <v>0</v>
      </c>
      <c r="J39" s="1">
        <v>200</v>
      </c>
      <c r="K39" s="1">
        <v>70.391774799999993</v>
      </c>
      <c r="L39" s="1">
        <v>0</v>
      </c>
      <c r="M39" s="1">
        <v>197.1753722</v>
      </c>
      <c r="N39" s="1">
        <v>11.48270078</v>
      </c>
      <c r="O39" s="1">
        <v>0</v>
      </c>
    </row>
    <row r="40" spans="1:1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全低效省电省建筑数</vt:lpstr>
      <vt:lpstr>喷涂成本</vt:lpstr>
      <vt:lpstr>产线成本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653524123@qq.com</cp:lastModifiedBy>
  <dcterms:created xsi:type="dcterms:W3CDTF">2015-06-05T18:17:20Z</dcterms:created>
  <dcterms:modified xsi:type="dcterms:W3CDTF">2024-01-29T15:17:21Z</dcterms:modified>
</cp:coreProperties>
</file>