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新文件\桌面\自创攻略\戴森球计划\戴森球计划数值计算统计\"/>
    </mc:Choice>
  </mc:AlternateContent>
  <xr:revisionPtr revIDLastSave="0" documentId="13_ncr:1_{78B2990F-A6F7-4B40-A417-ABA2AE8241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无浮空单球原矿黑盒最高铺法" sheetId="7" r:id="rId1"/>
    <sheet name="带偏移宇宙占地最小" sheetId="6" r:id="rId2"/>
    <sheet name="不偏移单球占地最小" sheetId="4" r:id="rId3"/>
    <sheet name="最低预估卡顿" sheetId="5" r:id="rId4"/>
    <sheet name="低级建筑全低效最省电" sheetId="1" r:id="rId5"/>
    <sheet name="背包制造" sheetId="9" r:id="rId6"/>
    <sheet name="低级增产剂（仅增产使用，这里加速这一列没改，加速算出来的是错的" sheetId="8" r:id="rId7"/>
    <sheet name="建筑属性" sheetId="2" r:id="rId8"/>
    <sheet name="产线成本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B9" i="7"/>
  <c r="G3" i="7"/>
  <c r="B9" i="4"/>
  <c r="G3" i="4"/>
  <c r="H2" i="4"/>
  <c r="H2" i="9"/>
  <c r="E99" i="9"/>
  <c r="D99" i="9"/>
  <c r="C99" i="9"/>
  <c r="E44" i="9"/>
  <c r="D44" i="9"/>
  <c r="C44" i="9"/>
  <c r="E43" i="9"/>
  <c r="F43" i="9" s="1"/>
  <c r="G43" i="9" s="1"/>
  <c r="E42" i="9"/>
  <c r="D42" i="9"/>
  <c r="C42" i="9"/>
  <c r="F42" i="9" s="1"/>
  <c r="G42" i="9" s="1"/>
  <c r="Q42" i="9" s="1"/>
  <c r="F41" i="9"/>
  <c r="G41" i="9" s="1"/>
  <c r="E41" i="9"/>
  <c r="D41" i="9"/>
  <c r="C41" i="9"/>
  <c r="E40" i="9"/>
  <c r="D40" i="9"/>
  <c r="C40" i="9"/>
  <c r="E39" i="9"/>
  <c r="D39" i="9"/>
  <c r="C39" i="9"/>
  <c r="F39" i="9" s="1"/>
  <c r="G39" i="9" s="1"/>
  <c r="E38" i="9"/>
  <c r="D38" i="9"/>
  <c r="C38" i="9"/>
  <c r="E37" i="9"/>
  <c r="D37" i="9"/>
  <c r="C37" i="9"/>
  <c r="E36" i="9"/>
  <c r="D36" i="9"/>
  <c r="C36" i="9"/>
  <c r="F36" i="9" s="1"/>
  <c r="G36" i="9" s="1"/>
  <c r="E53" i="9" s="1"/>
  <c r="E35" i="9"/>
  <c r="D35" i="9"/>
  <c r="C35" i="9"/>
  <c r="E34" i="9"/>
  <c r="D34" i="9"/>
  <c r="C34" i="9"/>
  <c r="E33" i="9"/>
  <c r="D33" i="9"/>
  <c r="C33" i="9"/>
  <c r="F33" i="9" s="1"/>
  <c r="G33" i="9" s="1"/>
  <c r="E32" i="9"/>
  <c r="D32" i="9"/>
  <c r="C32" i="9"/>
  <c r="E31" i="9"/>
  <c r="D31" i="9"/>
  <c r="C31" i="9"/>
  <c r="E30" i="9"/>
  <c r="D30" i="9"/>
  <c r="C30" i="9"/>
  <c r="F30" i="9" s="1"/>
  <c r="G30" i="9" s="1"/>
  <c r="H30" i="9" s="1"/>
  <c r="C22" i="9"/>
  <c r="F20" i="9"/>
  <c r="F22" i="9" s="1"/>
  <c r="H16" i="9"/>
  <c r="D10" i="9"/>
  <c r="I9" i="9"/>
  <c r="D9" i="9"/>
  <c r="H69" i="1"/>
  <c r="C68" i="1"/>
  <c r="F44" i="9" l="1"/>
  <c r="G44" i="9" s="1"/>
  <c r="C21" i="9" s="1"/>
  <c r="F35" i="9"/>
  <c r="G35" i="9" s="1"/>
  <c r="F38" i="9"/>
  <c r="G38" i="9" s="1"/>
  <c r="Q38" i="9" s="1"/>
  <c r="F32" i="9"/>
  <c r="G32" i="9" s="1"/>
  <c r="E77" i="9" s="1"/>
  <c r="D53" i="9"/>
  <c r="H36" i="9"/>
  <c r="J36" i="9"/>
  <c r="Q36" i="9"/>
  <c r="C53" i="9"/>
  <c r="D77" i="9"/>
  <c r="C77" i="9"/>
  <c r="J32" i="9"/>
  <c r="Q32" i="9"/>
  <c r="Q43" i="9"/>
  <c r="J43" i="9"/>
  <c r="C20" i="9"/>
  <c r="H43" i="9"/>
  <c r="D111" i="9"/>
  <c r="C111" i="9"/>
  <c r="E111" i="9"/>
  <c r="Q35" i="9"/>
  <c r="J35" i="9"/>
  <c r="E76" i="9"/>
  <c r="D76" i="9"/>
  <c r="H35" i="9"/>
  <c r="C76" i="9"/>
  <c r="G21" i="9"/>
  <c r="Q41" i="9"/>
  <c r="J41" i="9"/>
  <c r="H41" i="9"/>
  <c r="E72" i="9"/>
  <c r="C72" i="9"/>
  <c r="E75" i="9"/>
  <c r="C63" i="9"/>
  <c r="D75" i="9"/>
  <c r="C75" i="9"/>
  <c r="D56" i="9"/>
  <c r="H42" i="9"/>
  <c r="J30" i="9"/>
  <c r="J42" i="9"/>
  <c r="F34" i="9"/>
  <c r="G34" i="9" s="1"/>
  <c r="F37" i="9"/>
  <c r="G37" i="9" s="1"/>
  <c r="C54" i="9"/>
  <c r="E54" i="9"/>
  <c r="D54" i="9"/>
  <c r="C51" i="9"/>
  <c r="E51" i="9"/>
  <c r="D51" i="9"/>
  <c r="H39" i="9"/>
  <c r="C56" i="9"/>
  <c r="E56" i="9"/>
  <c r="E102" i="9"/>
  <c r="D102" i="9"/>
  <c r="C102" i="9"/>
  <c r="F53" i="9"/>
  <c r="G53" i="9" s="1"/>
  <c r="H53" i="9" s="1"/>
  <c r="J39" i="9"/>
  <c r="Q39" i="9"/>
  <c r="F40" i="9"/>
  <c r="G40" i="9" s="1"/>
  <c r="Q30" i="9"/>
  <c r="F31" i="9"/>
  <c r="G31" i="9" s="1"/>
  <c r="D58" i="9" s="1"/>
  <c r="H33" i="9"/>
  <c r="J33" i="9"/>
  <c r="Q33" i="9"/>
  <c r="F99" i="9"/>
  <c r="G99" i="9" s="1"/>
  <c r="H99" i="9" s="1"/>
  <c r="F22" i="4"/>
  <c r="H44" i="9" l="1"/>
  <c r="J44" i="9"/>
  <c r="Q44" i="9"/>
  <c r="H32" i="9"/>
  <c r="E57" i="9"/>
  <c r="C57" i="9"/>
  <c r="H38" i="9"/>
  <c r="D50" i="9"/>
  <c r="J38" i="9"/>
  <c r="H21" i="9"/>
  <c r="E58" i="9"/>
  <c r="F102" i="9"/>
  <c r="G102" i="9" s="1"/>
  <c r="Q34" i="9"/>
  <c r="J34" i="9"/>
  <c r="H34" i="9"/>
  <c r="F77" i="9"/>
  <c r="G77" i="9" s="1"/>
  <c r="H77" i="9" s="1"/>
  <c r="F72" i="9"/>
  <c r="G72" i="9" s="1"/>
  <c r="H72" i="9" s="1"/>
  <c r="F76" i="9"/>
  <c r="G76" i="9" s="1"/>
  <c r="H76" i="9"/>
  <c r="H31" i="9"/>
  <c r="Q37" i="9"/>
  <c r="J37" i="9"/>
  <c r="I21" i="9"/>
  <c r="J99" i="9"/>
  <c r="Q99" i="9"/>
  <c r="F51" i="9"/>
  <c r="G51" i="9" s="1"/>
  <c r="H51" i="9"/>
  <c r="C66" i="9"/>
  <c r="E66" i="9"/>
  <c r="Q31" i="9"/>
  <c r="D66" i="9"/>
  <c r="J31" i="9"/>
  <c r="C50" i="9"/>
  <c r="E50" i="9"/>
  <c r="F75" i="9"/>
  <c r="G75" i="9" s="1"/>
  <c r="H75" i="9" s="1"/>
  <c r="F111" i="9"/>
  <c r="G111" i="9" s="1"/>
  <c r="H111" i="9" s="1"/>
  <c r="E73" i="9"/>
  <c r="Q40" i="9"/>
  <c r="J40" i="9"/>
  <c r="D73" i="9"/>
  <c r="C73" i="9"/>
  <c r="Q53" i="9"/>
  <c r="J53" i="9"/>
  <c r="H37" i="9"/>
  <c r="F56" i="9"/>
  <c r="G56" i="9" s="1"/>
  <c r="H40" i="9"/>
  <c r="D57" i="9"/>
  <c r="F54" i="9"/>
  <c r="G54" i="9" s="1"/>
  <c r="H54" i="9" s="1"/>
  <c r="C58" i="9"/>
  <c r="I9" i="6"/>
  <c r="F22" i="6"/>
  <c r="D99" i="8"/>
  <c r="D44" i="8"/>
  <c r="D42" i="8"/>
  <c r="D41" i="8"/>
  <c r="D40" i="8"/>
  <c r="D39" i="8"/>
  <c r="D38" i="8"/>
  <c r="D37" i="8"/>
  <c r="D35" i="8"/>
  <c r="D36" i="8"/>
  <c r="D34" i="8"/>
  <c r="D33" i="8"/>
  <c r="D32" i="8"/>
  <c r="D31" i="8"/>
  <c r="D30" i="8"/>
  <c r="E30" i="8"/>
  <c r="E44" i="8"/>
  <c r="E99" i="8"/>
  <c r="C99" i="8"/>
  <c r="C44" i="8"/>
  <c r="E42" i="8"/>
  <c r="C42" i="8"/>
  <c r="C41" i="8"/>
  <c r="E40" i="8"/>
  <c r="C40" i="8"/>
  <c r="C39" i="8"/>
  <c r="E38" i="8"/>
  <c r="C38" i="8"/>
  <c r="C37" i="8"/>
  <c r="E36" i="8"/>
  <c r="C36" i="8"/>
  <c r="C35" i="8"/>
  <c r="E34" i="8"/>
  <c r="C34" i="8"/>
  <c r="C33" i="8"/>
  <c r="E32" i="8"/>
  <c r="C32" i="8"/>
  <c r="C31" i="8"/>
  <c r="C30" i="8"/>
  <c r="C25" i="8"/>
  <c r="F23" i="8"/>
  <c r="F25" i="8" s="1"/>
  <c r="K16" i="8"/>
  <c r="D10" i="8"/>
  <c r="I9" i="8"/>
  <c r="D9" i="8"/>
  <c r="G3" i="8"/>
  <c r="H2" i="8"/>
  <c r="F22" i="7"/>
  <c r="C99" i="7"/>
  <c r="C44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J22" i="7"/>
  <c r="C22" i="7"/>
  <c r="F20" i="7"/>
  <c r="H16" i="7"/>
  <c r="D10" i="7"/>
  <c r="I9" i="7"/>
  <c r="D9" i="7"/>
  <c r="H2" i="7"/>
  <c r="J22" i="6"/>
  <c r="C22" i="6"/>
  <c r="F20" i="6"/>
  <c r="D11" i="6"/>
  <c r="D10" i="6"/>
  <c r="H2" i="6"/>
  <c r="F57" i="9" l="1"/>
  <c r="G57" i="9" s="1"/>
  <c r="Q57" i="9" s="1"/>
  <c r="Q56" i="9"/>
  <c r="J56" i="9"/>
  <c r="F66" i="9"/>
  <c r="G66" i="9" s="1"/>
  <c r="H66" i="9"/>
  <c r="E105" i="9"/>
  <c r="D105" i="9"/>
  <c r="C105" i="9"/>
  <c r="C52" i="9"/>
  <c r="Q51" i="9"/>
  <c r="J51" i="9"/>
  <c r="E52" i="9"/>
  <c r="D52" i="9"/>
  <c r="F73" i="9"/>
  <c r="G73" i="9" s="1"/>
  <c r="H73" i="9" s="1"/>
  <c r="H56" i="9"/>
  <c r="J76" i="9"/>
  <c r="H20" i="9"/>
  <c r="H22" i="9" s="1"/>
  <c r="Q76" i="9"/>
  <c r="J72" i="9"/>
  <c r="Q72" i="9"/>
  <c r="Q77" i="9"/>
  <c r="J77" i="9"/>
  <c r="I20" i="9"/>
  <c r="I22" i="9" s="1"/>
  <c r="F58" i="9"/>
  <c r="G58" i="9" s="1"/>
  <c r="H58" i="9" s="1"/>
  <c r="J111" i="9"/>
  <c r="Q111" i="9"/>
  <c r="F50" i="9"/>
  <c r="G50" i="9" s="1"/>
  <c r="C60" i="9" s="1"/>
  <c r="J54" i="9"/>
  <c r="Q54" i="9"/>
  <c r="Q102" i="9"/>
  <c r="J102" i="9"/>
  <c r="D70" i="9"/>
  <c r="G20" i="9"/>
  <c r="G22" i="9" s="1"/>
  <c r="J75" i="9"/>
  <c r="Q75" i="9"/>
  <c r="H102" i="9"/>
  <c r="F40" i="8"/>
  <c r="G40" i="8" s="1"/>
  <c r="J40" i="8" s="1"/>
  <c r="F33" i="8"/>
  <c r="G33" i="8" s="1"/>
  <c r="D102" i="8" s="1"/>
  <c r="F41" i="8"/>
  <c r="G41" i="8" s="1"/>
  <c r="E33" i="8"/>
  <c r="E37" i="8"/>
  <c r="F37" i="8" s="1"/>
  <c r="G37" i="8" s="1"/>
  <c r="H37" i="8" s="1"/>
  <c r="E41" i="8"/>
  <c r="E43" i="8"/>
  <c r="F43" i="8" s="1"/>
  <c r="G43" i="8" s="1"/>
  <c r="Q43" i="8" s="1"/>
  <c r="E31" i="8"/>
  <c r="E35" i="8"/>
  <c r="F35" i="8" s="1"/>
  <c r="G35" i="8" s="1"/>
  <c r="D111" i="8" s="1"/>
  <c r="E39" i="8"/>
  <c r="F30" i="8"/>
  <c r="G30" i="8" s="1"/>
  <c r="F34" i="8"/>
  <c r="G34" i="8" s="1"/>
  <c r="J34" i="8" s="1"/>
  <c r="F38" i="8"/>
  <c r="G38" i="8" s="1"/>
  <c r="H24" i="8" s="1"/>
  <c r="F31" i="8"/>
  <c r="G31" i="8" s="1"/>
  <c r="F32" i="8"/>
  <c r="G32" i="8" s="1"/>
  <c r="F44" i="8"/>
  <c r="G44" i="8" s="1"/>
  <c r="Q44" i="8" s="1"/>
  <c r="E72" i="8"/>
  <c r="C72" i="8"/>
  <c r="F36" i="8"/>
  <c r="G36" i="8" s="1"/>
  <c r="F39" i="8"/>
  <c r="G39" i="8" s="1"/>
  <c r="F42" i="8"/>
  <c r="G42" i="8" s="1"/>
  <c r="D50" i="8" s="1"/>
  <c r="F99" i="8"/>
  <c r="G99" i="8" s="1"/>
  <c r="E70" i="9" l="1"/>
  <c r="E69" i="9"/>
  <c r="D69" i="9"/>
  <c r="C69" i="9"/>
  <c r="F69" i="9" s="1"/>
  <c r="G69" i="9" s="1"/>
  <c r="H69" i="9" s="1"/>
  <c r="C70" i="9"/>
  <c r="H57" i="9"/>
  <c r="J57" i="9"/>
  <c r="C59" i="9"/>
  <c r="D59" i="9"/>
  <c r="E59" i="9"/>
  <c r="F105" i="9"/>
  <c r="G105" i="9" s="1"/>
  <c r="H105" i="9"/>
  <c r="E100" i="9"/>
  <c r="D100" i="9"/>
  <c r="C100" i="9"/>
  <c r="Q66" i="9"/>
  <c r="B21" i="9"/>
  <c r="B22" i="9" s="1"/>
  <c r="J66" i="9"/>
  <c r="Q58" i="9"/>
  <c r="J58" i="9"/>
  <c r="E78" i="9"/>
  <c r="J73" i="9"/>
  <c r="C78" i="9"/>
  <c r="D78" i="9"/>
  <c r="Q73" i="9"/>
  <c r="D60" i="9"/>
  <c r="F52" i="9"/>
  <c r="G52" i="9" s="1"/>
  <c r="H52" i="9" s="1"/>
  <c r="E74" i="9"/>
  <c r="D74" i="9"/>
  <c r="C74" i="9"/>
  <c r="H50" i="9"/>
  <c r="E110" i="9"/>
  <c r="E55" i="9"/>
  <c r="D110" i="9"/>
  <c r="Q50" i="9"/>
  <c r="J50" i="9"/>
  <c r="C110" i="9"/>
  <c r="D55" i="9"/>
  <c r="C55" i="9"/>
  <c r="E60" i="9"/>
  <c r="F70" i="9"/>
  <c r="G70" i="9" s="1"/>
  <c r="J43" i="8"/>
  <c r="Q38" i="8"/>
  <c r="C56" i="8"/>
  <c r="D57" i="8"/>
  <c r="D56" i="8"/>
  <c r="D51" i="8"/>
  <c r="D76" i="8"/>
  <c r="C23" i="8"/>
  <c r="H43" i="8"/>
  <c r="F18" i="8"/>
  <c r="E77" i="8"/>
  <c r="D58" i="8"/>
  <c r="D77" i="8"/>
  <c r="F77" i="8" s="1"/>
  <c r="G77" i="8" s="1"/>
  <c r="E66" i="8"/>
  <c r="D66" i="8"/>
  <c r="H39" i="8"/>
  <c r="D75" i="8"/>
  <c r="D54" i="8"/>
  <c r="D53" i="8"/>
  <c r="H40" i="8"/>
  <c r="D73" i="8"/>
  <c r="H38" i="8"/>
  <c r="J38" i="8"/>
  <c r="J37" i="8"/>
  <c r="Q37" i="8"/>
  <c r="I24" i="8"/>
  <c r="H34" i="8"/>
  <c r="C77" i="8"/>
  <c r="C66" i="8"/>
  <c r="G24" i="8"/>
  <c r="J41" i="8"/>
  <c r="Q34" i="8"/>
  <c r="H31" i="8"/>
  <c r="Q40" i="8"/>
  <c r="J31" i="8"/>
  <c r="E56" i="8"/>
  <c r="C51" i="8"/>
  <c r="C57" i="8"/>
  <c r="Q30" i="8"/>
  <c r="H44" i="8"/>
  <c r="Q41" i="8"/>
  <c r="E73" i="8"/>
  <c r="C24" i="8"/>
  <c r="E51" i="8"/>
  <c r="J44" i="8"/>
  <c r="J30" i="8"/>
  <c r="E57" i="8"/>
  <c r="H30" i="8"/>
  <c r="H41" i="8"/>
  <c r="H32" i="8"/>
  <c r="C76" i="8"/>
  <c r="C58" i="8"/>
  <c r="E111" i="8"/>
  <c r="Q35" i="8"/>
  <c r="H35" i="8"/>
  <c r="E58" i="8"/>
  <c r="E76" i="8"/>
  <c r="F76" i="8" s="1"/>
  <c r="G76" i="8" s="1"/>
  <c r="H76" i="8" s="1"/>
  <c r="C73" i="8"/>
  <c r="Q31" i="8"/>
  <c r="J32" i="8"/>
  <c r="Q32" i="8"/>
  <c r="J35" i="8"/>
  <c r="C111" i="8"/>
  <c r="E102" i="8"/>
  <c r="C102" i="8"/>
  <c r="Q33" i="8"/>
  <c r="J33" i="8"/>
  <c r="H33" i="8"/>
  <c r="F72" i="8"/>
  <c r="G72" i="8" s="1"/>
  <c r="E50" i="8"/>
  <c r="Q42" i="8"/>
  <c r="J42" i="8"/>
  <c r="C50" i="8"/>
  <c r="C54" i="8"/>
  <c r="E53" i="8"/>
  <c r="Q36" i="8"/>
  <c r="J36" i="8"/>
  <c r="C53" i="8"/>
  <c r="E54" i="8"/>
  <c r="H36" i="8"/>
  <c r="Q99" i="8"/>
  <c r="J99" i="8"/>
  <c r="H42" i="8"/>
  <c r="E75" i="8"/>
  <c r="C63" i="8"/>
  <c r="C75" i="8"/>
  <c r="Q39" i="8"/>
  <c r="J39" i="8"/>
  <c r="H99" i="8"/>
  <c r="F59" i="9" l="1"/>
  <c r="G59" i="9" s="1"/>
  <c r="H59" i="9" s="1"/>
  <c r="F60" i="9"/>
  <c r="G60" i="9" s="1"/>
  <c r="E61" i="9" s="1"/>
  <c r="J60" i="9"/>
  <c r="H60" i="9"/>
  <c r="F78" i="9"/>
  <c r="G78" i="9" s="1"/>
  <c r="H78" i="9" s="1"/>
  <c r="Q59" i="9"/>
  <c r="J59" i="9"/>
  <c r="E113" i="9"/>
  <c r="E96" i="9"/>
  <c r="C96" i="9"/>
  <c r="D96" i="9"/>
  <c r="E68" i="9"/>
  <c r="D68" i="9"/>
  <c r="C68" i="9"/>
  <c r="J105" i="9"/>
  <c r="Q105" i="9"/>
  <c r="Q70" i="9"/>
  <c r="J70" i="9"/>
  <c r="E21" i="9"/>
  <c r="E22" i="9" s="1"/>
  <c r="F55" i="9"/>
  <c r="G55" i="9" s="1"/>
  <c r="H55" i="9" s="1"/>
  <c r="H70" i="9"/>
  <c r="E20" i="9"/>
  <c r="Q69" i="9"/>
  <c r="J69" i="9"/>
  <c r="F74" i="9"/>
  <c r="G74" i="9" s="1"/>
  <c r="C113" i="9" s="1"/>
  <c r="F110" i="9"/>
  <c r="G110" i="9" s="1"/>
  <c r="H110" i="9" s="1"/>
  <c r="Q52" i="9"/>
  <c r="J52" i="9"/>
  <c r="D94" i="9"/>
  <c r="E94" i="9"/>
  <c r="C94" i="9"/>
  <c r="F100" i="9"/>
  <c r="G100" i="9" s="1"/>
  <c r="H100" i="9" s="1"/>
  <c r="F66" i="8"/>
  <c r="G66" i="8" s="1"/>
  <c r="B24" i="8" s="1"/>
  <c r="B25" i="8" s="1"/>
  <c r="F58" i="8"/>
  <c r="G58" i="8" s="1"/>
  <c r="Q58" i="8" s="1"/>
  <c r="F57" i="8"/>
  <c r="G57" i="8" s="1"/>
  <c r="F51" i="8"/>
  <c r="G51" i="8" s="1"/>
  <c r="D105" i="8" s="1"/>
  <c r="F56" i="8"/>
  <c r="G56" i="8" s="1"/>
  <c r="F111" i="8"/>
  <c r="G111" i="8" s="1"/>
  <c r="H111" i="8" s="1"/>
  <c r="F73" i="8"/>
  <c r="G73" i="8" s="1"/>
  <c r="J76" i="8"/>
  <c r="H23" i="8"/>
  <c r="H25" i="8" s="1"/>
  <c r="Q76" i="8"/>
  <c r="F53" i="8"/>
  <c r="G53" i="8" s="1"/>
  <c r="H53" i="8" s="1"/>
  <c r="F75" i="8"/>
  <c r="G75" i="8" s="1"/>
  <c r="Q77" i="8"/>
  <c r="J77" i="8"/>
  <c r="I23" i="8"/>
  <c r="I25" i="8" s="1"/>
  <c r="J72" i="8"/>
  <c r="Q72" i="8"/>
  <c r="C52" i="8"/>
  <c r="H77" i="8"/>
  <c r="F54" i="8"/>
  <c r="G54" i="8" s="1"/>
  <c r="H72" i="8"/>
  <c r="F50" i="8"/>
  <c r="G50" i="8" s="1"/>
  <c r="D110" i="8" s="1"/>
  <c r="F102" i="8"/>
  <c r="G102" i="8" s="1"/>
  <c r="E70" i="8"/>
  <c r="C70" i="8"/>
  <c r="Q57" i="8"/>
  <c r="Q60" i="9" l="1"/>
  <c r="C61" i="9"/>
  <c r="H74" i="9"/>
  <c r="F68" i="9"/>
  <c r="G68" i="9" s="1"/>
  <c r="D61" i="9"/>
  <c r="J68" i="9"/>
  <c r="Q68" i="9"/>
  <c r="C92" i="9"/>
  <c r="D92" i="9"/>
  <c r="E92" i="9"/>
  <c r="E71" i="9"/>
  <c r="C71" i="9"/>
  <c r="D71" i="9"/>
  <c r="F94" i="9"/>
  <c r="G94" i="9" s="1"/>
  <c r="H94" i="9" s="1"/>
  <c r="Q74" i="9"/>
  <c r="J74" i="9"/>
  <c r="Q78" i="9"/>
  <c r="J78" i="9"/>
  <c r="J20" i="9"/>
  <c r="J22" i="9" s="1"/>
  <c r="D113" i="9"/>
  <c r="F113" i="9" s="1"/>
  <c r="G113" i="9" s="1"/>
  <c r="F96" i="9"/>
  <c r="G96" i="9" s="1"/>
  <c r="Q55" i="9"/>
  <c r="J55" i="9"/>
  <c r="J100" i="9"/>
  <c r="D101" i="9"/>
  <c r="C101" i="9"/>
  <c r="Q100" i="9"/>
  <c r="E101" i="9"/>
  <c r="Q110" i="9"/>
  <c r="J110" i="9"/>
  <c r="D68" i="8"/>
  <c r="D100" i="8"/>
  <c r="H73" i="8"/>
  <c r="E78" i="8"/>
  <c r="D78" i="8"/>
  <c r="J66" i="8"/>
  <c r="Q66" i="8"/>
  <c r="D55" i="8"/>
  <c r="H54" i="8"/>
  <c r="D69" i="8"/>
  <c r="H56" i="8"/>
  <c r="D60" i="8"/>
  <c r="E105" i="8"/>
  <c r="F105" i="8" s="1"/>
  <c r="G105" i="8" s="1"/>
  <c r="H105" i="8" s="1"/>
  <c r="D52" i="8"/>
  <c r="H66" i="8"/>
  <c r="D74" i="8"/>
  <c r="H57" i="8"/>
  <c r="D70" i="8"/>
  <c r="F70" i="8" s="1"/>
  <c r="G70" i="8" s="1"/>
  <c r="D59" i="8"/>
  <c r="H58" i="8"/>
  <c r="J58" i="8"/>
  <c r="C59" i="8"/>
  <c r="H51" i="8"/>
  <c r="J51" i="8"/>
  <c r="J56" i="8"/>
  <c r="Q51" i="8"/>
  <c r="C60" i="8"/>
  <c r="C105" i="8"/>
  <c r="J57" i="8"/>
  <c r="E52" i="8"/>
  <c r="E59" i="8"/>
  <c r="J111" i="8"/>
  <c r="Q56" i="8"/>
  <c r="Q111" i="8"/>
  <c r="C78" i="8"/>
  <c r="Q73" i="8"/>
  <c r="J73" i="8"/>
  <c r="E60" i="8"/>
  <c r="C100" i="8"/>
  <c r="E100" i="8"/>
  <c r="C55" i="8"/>
  <c r="E110" i="8"/>
  <c r="C110" i="8"/>
  <c r="Q50" i="8"/>
  <c r="J50" i="8"/>
  <c r="E55" i="8"/>
  <c r="Q75" i="8"/>
  <c r="J75" i="8"/>
  <c r="G23" i="8"/>
  <c r="G25" i="8" s="1"/>
  <c r="H50" i="8"/>
  <c r="H75" i="8"/>
  <c r="C74" i="8"/>
  <c r="E74" i="8"/>
  <c r="E68" i="8"/>
  <c r="C68" i="8"/>
  <c r="Q102" i="8"/>
  <c r="J102" i="8"/>
  <c r="H102" i="8"/>
  <c r="C69" i="8"/>
  <c r="Q54" i="8"/>
  <c r="J54" i="8"/>
  <c r="E69" i="8"/>
  <c r="Q53" i="8"/>
  <c r="J53" i="8"/>
  <c r="F61" i="9" l="1"/>
  <c r="G61" i="9" s="1"/>
  <c r="E106" i="9" s="1"/>
  <c r="Q113" i="9"/>
  <c r="J113" i="9"/>
  <c r="H113" i="9"/>
  <c r="F92" i="9"/>
  <c r="G92" i="9" s="1"/>
  <c r="H92" i="9" s="1"/>
  <c r="E67" i="9"/>
  <c r="Q61" i="9"/>
  <c r="E91" i="9"/>
  <c r="J61" i="9"/>
  <c r="D67" i="9"/>
  <c r="C91" i="9"/>
  <c r="D91" i="9"/>
  <c r="C67" i="9"/>
  <c r="C106" i="9"/>
  <c r="D106" i="9"/>
  <c r="F101" i="9"/>
  <c r="Q96" i="9"/>
  <c r="J96" i="9"/>
  <c r="E104" i="9"/>
  <c r="C104" i="9"/>
  <c r="H96" i="9"/>
  <c r="H61" i="9"/>
  <c r="F71" i="9"/>
  <c r="G71" i="9" s="1"/>
  <c r="D95" i="9" s="1"/>
  <c r="E63" i="9"/>
  <c r="D63" i="9"/>
  <c r="C62" i="9"/>
  <c r="E62" i="9"/>
  <c r="D62" i="9"/>
  <c r="J94" i="9"/>
  <c r="Q94" i="9"/>
  <c r="F52" i="8"/>
  <c r="G52" i="8" s="1"/>
  <c r="C94" i="8" s="1"/>
  <c r="F59" i="8"/>
  <c r="G59" i="8" s="1"/>
  <c r="D113" i="8" s="1"/>
  <c r="F60" i="8"/>
  <c r="G60" i="8" s="1"/>
  <c r="F78" i="8"/>
  <c r="G78" i="8" s="1"/>
  <c r="Q78" i="8" s="1"/>
  <c r="F69" i="8"/>
  <c r="G69" i="8" s="1"/>
  <c r="Q105" i="8"/>
  <c r="J105" i="8"/>
  <c r="E24" i="8"/>
  <c r="E25" i="8" s="1"/>
  <c r="D71" i="8" s="1"/>
  <c r="Q70" i="8"/>
  <c r="J70" i="8"/>
  <c r="F110" i="8"/>
  <c r="G110" i="8" s="1"/>
  <c r="F100" i="8"/>
  <c r="G100" i="8" s="1"/>
  <c r="D101" i="8" s="1"/>
  <c r="F68" i="8"/>
  <c r="G68" i="8" s="1"/>
  <c r="D92" i="8" s="1"/>
  <c r="H70" i="8"/>
  <c r="F74" i="8"/>
  <c r="G74" i="8" s="1"/>
  <c r="H74" i="8" s="1"/>
  <c r="F55" i="8"/>
  <c r="G55" i="8" s="1"/>
  <c r="C95" i="9" l="1"/>
  <c r="E95" i="9"/>
  <c r="F63" i="9"/>
  <c r="G63" i="9" s="1"/>
  <c r="D21" i="9" s="1"/>
  <c r="F62" i="9"/>
  <c r="G62" i="9" s="1"/>
  <c r="G101" i="9"/>
  <c r="C16" i="9"/>
  <c r="F91" i="9"/>
  <c r="G91" i="9" s="1"/>
  <c r="E45" i="9"/>
  <c r="J92" i="9"/>
  <c r="Q92" i="9"/>
  <c r="C45" i="9"/>
  <c r="F104" i="9"/>
  <c r="F106" i="9"/>
  <c r="G106" i="9" s="1"/>
  <c r="H106" i="9" s="1"/>
  <c r="Q71" i="9"/>
  <c r="J71" i="9"/>
  <c r="H71" i="9"/>
  <c r="F67" i="9"/>
  <c r="G67" i="9" s="1"/>
  <c r="E94" i="8"/>
  <c r="F17" i="8"/>
  <c r="D96" i="8"/>
  <c r="C61" i="8"/>
  <c r="D61" i="8"/>
  <c r="H52" i="8"/>
  <c r="D94" i="8"/>
  <c r="F94" i="8" s="1"/>
  <c r="G94" i="8" s="1"/>
  <c r="J23" i="8"/>
  <c r="J25" i="8" s="1"/>
  <c r="E62" i="8" s="1"/>
  <c r="J52" i="8"/>
  <c r="Q52" i="8"/>
  <c r="H78" i="8"/>
  <c r="H59" i="8"/>
  <c r="C113" i="8"/>
  <c r="C96" i="8"/>
  <c r="E96" i="8"/>
  <c r="J59" i="8"/>
  <c r="Q59" i="8"/>
  <c r="H60" i="8"/>
  <c r="E61" i="8"/>
  <c r="J60" i="8"/>
  <c r="J78" i="8"/>
  <c r="Q60" i="8"/>
  <c r="E113" i="8"/>
  <c r="J100" i="8"/>
  <c r="E101" i="8"/>
  <c r="C101" i="8"/>
  <c r="Q100" i="8"/>
  <c r="E23" i="8"/>
  <c r="Q69" i="8"/>
  <c r="J69" i="8"/>
  <c r="C71" i="8"/>
  <c r="E71" i="8"/>
  <c r="Q68" i="8"/>
  <c r="J68" i="8"/>
  <c r="E92" i="8"/>
  <c r="C92" i="8"/>
  <c r="H68" i="8"/>
  <c r="H69" i="8"/>
  <c r="Q110" i="8"/>
  <c r="J110" i="8"/>
  <c r="H110" i="8"/>
  <c r="Q55" i="8"/>
  <c r="J55" i="8"/>
  <c r="H100" i="8"/>
  <c r="H55" i="8"/>
  <c r="Q74" i="8"/>
  <c r="J74" i="8"/>
  <c r="Q63" i="9" l="1"/>
  <c r="F95" i="9"/>
  <c r="G95" i="9" s="1"/>
  <c r="H95" i="9" s="1"/>
  <c r="H63" i="9"/>
  <c r="J63" i="9"/>
  <c r="Q67" i="9"/>
  <c r="J67" i="9"/>
  <c r="B20" i="9"/>
  <c r="J91" i="9"/>
  <c r="Q91" i="9"/>
  <c r="D103" i="9"/>
  <c r="C103" i="9"/>
  <c r="E103" i="9"/>
  <c r="Q106" i="9"/>
  <c r="J106" i="9"/>
  <c r="H91" i="9"/>
  <c r="D64" i="9"/>
  <c r="C64" i="9"/>
  <c r="Q62" i="9"/>
  <c r="J62" i="9"/>
  <c r="E64" i="9"/>
  <c r="D112" i="9"/>
  <c r="C112" i="9"/>
  <c r="E112" i="9"/>
  <c r="G104" i="9"/>
  <c r="C9" i="9"/>
  <c r="C10" i="9"/>
  <c r="F45" i="9"/>
  <c r="G45" i="9" s="1"/>
  <c r="H45" i="9" s="1"/>
  <c r="Q101" i="9"/>
  <c r="J101" i="9"/>
  <c r="H101" i="9"/>
  <c r="H67" i="9"/>
  <c r="H62" i="9"/>
  <c r="D63" i="8"/>
  <c r="D62" i="8"/>
  <c r="E63" i="8"/>
  <c r="C62" i="8"/>
  <c r="F96" i="8"/>
  <c r="G96" i="8" s="1"/>
  <c r="Q96" i="8" s="1"/>
  <c r="F61" i="8"/>
  <c r="G61" i="8" s="1"/>
  <c r="D106" i="8" s="1"/>
  <c r="F113" i="8"/>
  <c r="G113" i="8" s="1"/>
  <c r="H113" i="8" s="1"/>
  <c r="F71" i="8"/>
  <c r="G71" i="8" s="1"/>
  <c r="E95" i="8" s="1"/>
  <c r="F92" i="8"/>
  <c r="G92" i="8" s="1"/>
  <c r="H92" i="8" s="1"/>
  <c r="F101" i="8"/>
  <c r="J94" i="8"/>
  <c r="Q94" i="8"/>
  <c r="H94" i="8"/>
  <c r="J95" i="9" l="1"/>
  <c r="Q95" i="9"/>
  <c r="Q45" i="9"/>
  <c r="J45" i="9"/>
  <c r="F21" i="9"/>
  <c r="F103" i="9"/>
  <c r="G103" i="9" s="1"/>
  <c r="H103" i="9" s="1"/>
  <c r="F64" i="9"/>
  <c r="G64" i="9" s="1"/>
  <c r="H64" i="9" s="1"/>
  <c r="F112" i="9"/>
  <c r="G112" i="9" s="1"/>
  <c r="H112" i="9" s="1"/>
  <c r="Q104" i="9"/>
  <c r="J104" i="9"/>
  <c r="H104" i="9"/>
  <c r="F62" i="8"/>
  <c r="G62" i="8" s="1"/>
  <c r="D112" i="8" s="1"/>
  <c r="E91" i="8"/>
  <c r="D91" i="8"/>
  <c r="D67" i="8"/>
  <c r="D95" i="8"/>
  <c r="F63" i="8"/>
  <c r="G63" i="8" s="1"/>
  <c r="Q63" i="8" s="1"/>
  <c r="H62" i="8"/>
  <c r="D64" i="8"/>
  <c r="Q113" i="8"/>
  <c r="H96" i="8"/>
  <c r="E104" i="8"/>
  <c r="C104" i="8"/>
  <c r="F104" i="8" s="1"/>
  <c r="J96" i="8"/>
  <c r="C95" i="8"/>
  <c r="C106" i="8"/>
  <c r="E106" i="8"/>
  <c r="H61" i="8"/>
  <c r="E67" i="8"/>
  <c r="J61" i="8"/>
  <c r="Q61" i="8"/>
  <c r="C91" i="8"/>
  <c r="C67" i="8"/>
  <c r="F91" i="8"/>
  <c r="G91" i="8" s="1"/>
  <c r="D103" i="8" s="1"/>
  <c r="J113" i="8"/>
  <c r="Q92" i="8"/>
  <c r="J92" i="8"/>
  <c r="C45" i="8"/>
  <c r="E45" i="8"/>
  <c r="Q71" i="8"/>
  <c r="J71" i="8"/>
  <c r="G101" i="8"/>
  <c r="F16" i="8"/>
  <c r="C64" i="8"/>
  <c r="Q62" i="8"/>
  <c r="J62" i="8"/>
  <c r="E64" i="8"/>
  <c r="E112" i="8"/>
  <c r="C112" i="8"/>
  <c r="H71" i="8"/>
  <c r="J103" i="9" l="1"/>
  <c r="Q103" i="9"/>
  <c r="Q112" i="9"/>
  <c r="J112" i="9"/>
  <c r="D20" i="9"/>
  <c r="D22" i="9" s="1"/>
  <c r="Q64" i="9"/>
  <c r="J64" i="9"/>
  <c r="H91" i="8"/>
  <c r="J63" i="8"/>
  <c r="D24" i="8"/>
  <c r="H63" i="8"/>
  <c r="F95" i="8"/>
  <c r="G95" i="8" s="1"/>
  <c r="Q95" i="8" s="1"/>
  <c r="F67" i="8"/>
  <c r="G67" i="8" s="1"/>
  <c r="H67" i="8" s="1"/>
  <c r="F106" i="8"/>
  <c r="G106" i="8" s="1"/>
  <c r="H106" i="8" s="1"/>
  <c r="F64" i="8"/>
  <c r="G64" i="8" s="1"/>
  <c r="Q101" i="8"/>
  <c r="J101" i="8"/>
  <c r="H101" i="8"/>
  <c r="G104" i="8"/>
  <c r="C10" i="8"/>
  <c r="C9" i="8"/>
  <c r="F112" i="8"/>
  <c r="G112" i="8" s="1"/>
  <c r="J91" i="8"/>
  <c r="Q91" i="8"/>
  <c r="E103" i="8"/>
  <c r="C103" i="8"/>
  <c r="F45" i="8"/>
  <c r="G45" i="8" s="1"/>
  <c r="E65" i="9" l="1"/>
  <c r="C65" i="9"/>
  <c r="D65" i="9"/>
  <c r="H112" i="8"/>
  <c r="H95" i="8"/>
  <c r="J95" i="8"/>
  <c r="J106" i="8"/>
  <c r="Q106" i="8"/>
  <c r="J67" i="8"/>
  <c r="Q67" i="8"/>
  <c r="B23" i="8"/>
  <c r="Q45" i="8"/>
  <c r="J45" i="8"/>
  <c r="F24" i="8"/>
  <c r="Q104" i="8"/>
  <c r="J104" i="8"/>
  <c r="H104" i="8"/>
  <c r="F103" i="8"/>
  <c r="G103" i="8" s="1"/>
  <c r="Q112" i="8"/>
  <c r="J112" i="8"/>
  <c r="H45" i="8"/>
  <c r="Q64" i="8"/>
  <c r="J64" i="8"/>
  <c r="D23" i="8"/>
  <c r="D25" i="8" s="1"/>
  <c r="D65" i="8" s="1"/>
  <c r="H64" i="8"/>
  <c r="F65" i="9" l="1"/>
  <c r="G65" i="9" s="1"/>
  <c r="E65" i="8"/>
  <c r="C65" i="8"/>
  <c r="J103" i="8"/>
  <c r="Q103" i="8"/>
  <c r="H103" i="8"/>
  <c r="J65" i="9" l="1"/>
  <c r="Q65" i="9"/>
  <c r="D93" i="9"/>
  <c r="C93" i="9"/>
  <c r="E93" i="9"/>
  <c r="H65" i="9"/>
  <c r="F65" i="8"/>
  <c r="G65" i="8" s="1"/>
  <c r="D93" i="8" s="1"/>
  <c r="C72" i="7"/>
  <c r="F93" i="9" l="1"/>
  <c r="G93" i="9" s="1"/>
  <c r="Q65" i="8"/>
  <c r="J65" i="8"/>
  <c r="E93" i="8"/>
  <c r="C93" i="8"/>
  <c r="H65" i="8"/>
  <c r="E114" i="9" l="1"/>
  <c r="D114" i="9"/>
  <c r="C114" i="9"/>
  <c r="Q93" i="9"/>
  <c r="J93" i="9"/>
  <c r="C98" i="9"/>
  <c r="E98" i="9"/>
  <c r="D98" i="9"/>
  <c r="H93" i="9"/>
  <c r="F93" i="8"/>
  <c r="G93" i="8" s="1"/>
  <c r="D114" i="8" s="1"/>
  <c r="F114" i="9" l="1"/>
  <c r="G114" i="9" s="1"/>
  <c r="H114" i="9" s="1"/>
  <c r="F98" i="9"/>
  <c r="G98" i="9" s="1"/>
  <c r="D98" i="8"/>
  <c r="E114" i="8"/>
  <c r="C114" i="8"/>
  <c r="Q93" i="8"/>
  <c r="J93" i="8"/>
  <c r="E98" i="8"/>
  <c r="C98" i="8"/>
  <c r="H93" i="8"/>
  <c r="J98" i="9" l="1"/>
  <c r="Q98" i="9"/>
  <c r="H98" i="9"/>
  <c r="Q114" i="9"/>
  <c r="J114" i="9"/>
  <c r="E97" i="9"/>
  <c r="D97" i="9"/>
  <c r="C97" i="9"/>
  <c r="E115" i="9"/>
  <c r="D115" i="9"/>
  <c r="C115" i="9"/>
  <c r="F98" i="8"/>
  <c r="G98" i="8" s="1"/>
  <c r="F114" i="8"/>
  <c r="G114" i="8" s="1"/>
  <c r="D115" i="8" s="1"/>
  <c r="F97" i="9" l="1"/>
  <c r="G97" i="9" s="1"/>
  <c r="F115" i="9"/>
  <c r="G115" i="9" s="1"/>
  <c r="H114" i="8"/>
  <c r="D97" i="8"/>
  <c r="Q98" i="8"/>
  <c r="J98" i="8"/>
  <c r="E97" i="8"/>
  <c r="C97" i="8"/>
  <c r="Q114" i="8"/>
  <c r="J114" i="8"/>
  <c r="E115" i="8"/>
  <c r="C115" i="8"/>
  <c r="H98" i="8"/>
  <c r="J97" i="9" l="1"/>
  <c r="Q97" i="9"/>
  <c r="Q115" i="9"/>
  <c r="J115" i="9"/>
  <c r="H115" i="9"/>
  <c r="H97" i="9"/>
  <c r="F115" i="8"/>
  <c r="G115" i="8" s="1"/>
  <c r="F97" i="8"/>
  <c r="G97" i="8" s="1"/>
  <c r="J22" i="4"/>
  <c r="J22" i="5"/>
  <c r="H16" i="5"/>
  <c r="C99" i="5"/>
  <c r="C44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2" i="5"/>
  <c r="F20" i="5"/>
  <c r="D10" i="5"/>
  <c r="I9" i="5"/>
  <c r="D9" i="5"/>
  <c r="G3" i="5"/>
  <c r="H2" i="5"/>
  <c r="G3" i="1"/>
  <c r="H2" i="1"/>
  <c r="E43" i="4"/>
  <c r="F43" i="4" s="1"/>
  <c r="G43" i="4" s="1"/>
  <c r="E99" i="4"/>
  <c r="D99" i="4"/>
  <c r="C99" i="4"/>
  <c r="E44" i="4"/>
  <c r="D44" i="4"/>
  <c r="C44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C22" i="4"/>
  <c r="F20" i="4"/>
  <c r="H16" i="4"/>
  <c r="D10" i="4"/>
  <c r="I9" i="4"/>
  <c r="D9" i="4"/>
  <c r="I9" i="1"/>
  <c r="H16" i="1"/>
  <c r="E43" i="1"/>
  <c r="F43" i="1" s="1"/>
  <c r="G43" i="1" s="1"/>
  <c r="J43" i="1" s="1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G3" i="2"/>
  <c r="H2" i="2"/>
  <c r="E99" i="1"/>
  <c r="D99" i="1"/>
  <c r="C99" i="1"/>
  <c r="E44" i="1"/>
  <c r="D44" i="1"/>
  <c r="C44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C22" i="1"/>
  <c r="F20" i="1"/>
  <c r="F22" i="1" s="1"/>
  <c r="E72" i="1" s="1"/>
  <c r="D10" i="1"/>
  <c r="D9" i="1"/>
  <c r="J97" i="8" l="1"/>
  <c r="Q97" i="8"/>
  <c r="H97" i="8"/>
  <c r="Q115" i="8"/>
  <c r="J115" i="8"/>
  <c r="H115" i="8"/>
  <c r="F31" i="4"/>
  <c r="G31" i="4" s="1"/>
  <c r="J31" i="4" s="1"/>
  <c r="F32" i="4"/>
  <c r="F44" i="4"/>
  <c r="G44" i="4" s="1"/>
  <c r="F35" i="4"/>
  <c r="G35" i="4" s="1"/>
  <c r="E111" i="4" s="1"/>
  <c r="F99" i="4"/>
  <c r="G99" i="4" s="1"/>
  <c r="J99" i="4" s="1"/>
  <c r="F42" i="4"/>
  <c r="G42" i="4" s="1"/>
  <c r="H42" i="4" s="1"/>
  <c r="F34" i="4"/>
  <c r="G34" i="4" s="1"/>
  <c r="H34" i="4" s="1"/>
  <c r="F41" i="4"/>
  <c r="G41" i="4" s="1"/>
  <c r="G21" i="4" s="1"/>
  <c r="G22" i="4" s="1"/>
  <c r="F38" i="4"/>
  <c r="G38" i="4" s="1"/>
  <c r="F39" i="4"/>
  <c r="G39" i="4" s="1"/>
  <c r="F36" i="4"/>
  <c r="G36" i="4" s="1"/>
  <c r="H36" i="4" s="1"/>
  <c r="F40" i="4"/>
  <c r="F30" i="4"/>
  <c r="G30" i="4" s="1"/>
  <c r="J30" i="4" s="1"/>
  <c r="F33" i="4"/>
  <c r="G33" i="4" s="1"/>
  <c r="F37" i="4"/>
  <c r="G37" i="4" s="1"/>
  <c r="H37" i="4" s="1"/>
  <c r="J43" i="4"/>
  <c r="H43" i="4"/>
  <c r="C20" i="4"/>
  <c r="F33" i="1"/>
  <c r="G33" i="1" s="1"/>
  <c r="J33" i="1" s="1"/>
  <c r="F34" i="1"/>
  <c r="G34" i="1" s="1"/>
  <c r="F42" i="1"/>
  <c r="G42" i="1" s="1"/>
  <c r="F31" i="1"/>
  <c r="G31" i="1" s="1"/>
  <c r="F44" i="1"/>
  <c r="G44" i="1" s="1"/>
  <c r="J44" i="1" s="1"/>
  <c r="F32" i="1"/>
  <c r="G32" i="1" s="1"/>
  <c r="F30" i="1"/>
  <c r="G30" i="1" s="1"/>
  <c r="J30" i="1" s="1"/>
  <c r="F99" i="1"/>
  <c r="G99" i="1" s="1"/>
  <c r="J99" i="1" s="1"/>
  <c r="F41" i="1"/>
  <c r="G41" i="1" s="1"/>
  <c r="J41" i="1" s="1"/>
  <c r="F38" i="1"/>
  <c r="G38" i="1" s="1"/>
  <c r="F40" i="1"/>
  <c r="G40" i="1" s="1"/>
  <c r="J40" i="1" s="1"/>
  <c r="C20" i="1"/>
  <c r="Q43" i="1"/>
  <c r="H43" i="1"/>
  <c r="F39" i="1"/>
  <c r="G39" i="1" s="1"/>
  <c r="J39" i="1" s="1"/>
  <c r="F37" i="1"/>
  <c r="G37" i="1" s="1"/>
  <c r="J37" i="1" s="1"/>
  <c r="F35" i="1"/>
  <c r="G35" i="1" s="1"/>
  <c r="J35" i="1" s="1"/>
  <c r="C72" i="1"/>
  <c r="F36" i="1"/>
  <c r="G36" i="1" s="1"/>
  <c r="J36" i="1" s="1"/>
  <c r="G40" i="4" l="1"/>
  <c r="J40" i="4" s="1"/>
  <c r="G32" i="4"/>
  <c r="C58" i="4" s="1"/>
  <c r="J38" i="1"/>
  <c r="H21" i="1"/>
  <c r="H38" i="4"/>
  <c r="H21" i="4"/>
  <c r="H22" i="4" s="1"/>
  <c r="J33" i="4"/>
  <c r="D102" i="4"/>
  <c r="C21" i="4"/>
  <c r="H44" i="4"/>
  <c r="J44" i="4"/>
  <c r="E75" i="4"/>
  <c r="E66" i="4"/>
  <c r="H31" i="4"/>
  <c r="C66" i="4"/>
  <c r="D66" i="4"/>
  <c r="E102" i="4"/>
  <c r="E77" i="4"/>
  <c r="C102" i="4"/>
  <c r="I21" i="4"/>
  <c r="I22" i="4" s="1"/>
  <c r="H33" i="4"/>
  <c r="H40" i="4"/>
  <c r="C53" i="4"/>
  <c r="C76" i="4"/>
  <c r="E56" i="4"/>
  <c r="C51" i="4"/>
  <c r="D56" i="4"/>
  <c r="J34" i="4"/>
  <c r="E51" i="4"/>
  <c r="E53" i="4"/>
  <c r="C50" i="4"/>
  <c r="H35" i="4"/>
  <c r="D53" i="4"/>
  <c r="H39" i="4"/>
  <c r="C57" i="4"/>
  <c r="J36" i="4"/>
  <c r="E76" i="4"/>
  <c r="H99" i="4"/>
  <c r="C54" i="4"/>
  <c r="J39" i="4"/>
  <c r="J35" i="4"/>
  <c r="D50" i="4"/>
  <c r="C111" i="4"/>
  <c r="C63" i="4"/>
  <c r="D75" i="4"/>
  <c r="D111" i="4"/>
  <c r="E50" i="4"/>
  <c r="E73" i="4"/>
  <c r="C75" i="4"/>
  <c r="D76" i="4"/>
  <c r="J42" i="4"/>
  <c r="D54" i="4"/>
  <c r="E54" i="4"/>
  <c r="E57" i="4"/>
  <c r="D73" i="4"/>
  <c r="J38" i="4"/>
  <c r="H41" i="4"/>
  <c r="D51" i="4"/>
  <c r="D57" i="4"/>
  <c r="J41" i="4"/>
  <c r="H30" i="4"/>
  <c r="J37" i="4"/>
  <c r="C56" i="4"/>
  <c r="C73" i="4"/>
  <c r="H32" i="1"/>
  <c r="J32" i="1"/>
  <c r="H31" i="1"/>
  <c r="J31" i="1"/>
  <c r="Q42" i="1"/>
  <c r="J42" i="1"/>
  <c r="Q34" i="1"/>
  <c r="J34" i="1"/>
  <c r="H35" i="1"/>
  <c r="E76" i="1"/>
  <c r="D76" i="1"/>
  <c r="C76" i="1"/>
  <c r="H39" i="1"/>
  <c r="D75" i="1"/>
  <c r="C75" i="1"/>
  <c r="D77" i="1"/>
  <c r="E77" i="1"/>
  <c r="C77" i="1"/>
  <c r="Q37" i="1"/>
  <c r="I21" i="1"/>
  <c r="Q41" i="1"/>
  <c r="H99" i="1"/>
  <c r="E51" i="1"/>
  <c r="C51" i="1"/>
  <c r="Q99" i="1"/>
  <c r="C102" i="1"/>
  <c r="D102" i="1"/>
  <c r="Q33" i="1"/>
  <c r="H33" i="1"/>
  <c r="C57" i="1"/>
  <c r="E102" i="1"/>
  <c r="Q44" i="1"/>
  <c r="H44" i="1"/>
  <c r="H42" i="1"/>
  <c r="Q31" i="1"/>
  <c r="E50" i="1"/>
  <c r="C21" i="1"/>
  <c r="C50" i="1"/>
  <c r="E58" i="1"/>
  <c r="C66" i="1"/>
  <c r="D66" i="1"/>
  <c r="D50" i="1"/>
  <c r="E66" i="1"/>
  <c r="G21" i="1"/>
  <c r="C58" i="1"/>
  <c r="D57" i="1"/>
  <c r="Q32" i="1"/>
  <c r="D58" i="1"/>
  <c r="H34" i="1"/>
  <c r="H38" i="1"/>
  <c r="E57" i="1"/>
  <c r="C56" i="1"/>
  <c r="D56" i="1"/>
  <c r="H30" i="1"/>
  <c r="Q38" i="1"/>
  <c r="Q30" i="1"/>
  <c r="E56" i="1"/>
  <c r="D73" i="1"/>
  <c r="E73" i="1"/>
  <c r="D51" i="1"/>
  <c r="Q40" i="1"/>
  <c r="H40" i="1"/>
  <c r="H41" i="1"/>
  <c r="C73" i="1"/>
  <c r="F72" i="1"/>
  <c r="G72" i="1" s="1"/>
  <c r="H37" i="1"/>
  <c r="D54" i="1"/>
  <c r="C54" i="1"/>
  <c r="E53" i="1"/>
  <c r="Q36" i="1"/>
  <c r="H36" i="1"/>
  <c r="E54" i="1"/>
  <c r="D53" i="1"/>
  <c r="C53" i="1"/>
  <c r="Q35" i="1"/>
  <c r="E111" i="1"/>
  <c r="D111" i="1"/>
  <c r="C111" i="1"/>
  <c r="E75" i="1"/>
  <c r="Q39" i="1"/>
  <c r="C63" i="1"/>
  <c r="H32" i="4" l="1"/>
  <c r="D58" i="4"/>
  <c r="J32" i="4"/>
  <c r="C77" i="4"/>
  <c r="E58" i="4"/>
  <c r="F58" i="4" s="1"/>
  <c r="G58" i="4" s="1"/>
  <c r="H58" i="4" s="1"/>
  <c r="D77" i="4"/>
  <c r="F102" i="4"/>
  <c r="G102" i="4" s="1"/>
  <c r="J102" i="4" s="1"/>
  <c r="F66" i="4"/>
  <c r="G66" i="4" s="1"/>
  <c r="H66" i="4" s="1"/>
  <c r="F111" i="4"/>
  <c r="G111" i="4" s="1"/>
  <c r="H111" i="4" s="1"/>
  <c r="F76" i="4"/>
  <c r="G76" i="4" s="1"/>
  <c r="H20" i="4" s="1"/>
  <c r="F54" i="4"/>
  <c r="G54" i="4" s="1"/>
  <c r="F50" i="4"/>
  <c r="G50" i="4" s="1"/>
  <c r="H50" i="4" s="1"/>
  <c r="F51" i="4"/>
  <c r="G51" i="4" s="1"/>
  <c r="E52" i="4" s="1"/>
  <c r="F57" i="4"/>
  <c r="G57" i="4" s="1"/>
  <c r="H57" i="4" s="1"/>
  <c r="F73" i="4"/>
  <c r="G73" i="4" s="1"/>
  <c r="H73" i="4" s="1"/>
  <c r="F75" i="4"/>
  <c r="G75" i="4" s="1"/>
  <c r="H75" i="4" s="1"/>
  <c r="F53" i="4"/>
  <c r="G53" i="4" s="1"/>
  <c r="H53" i="4" s="1"/>
  <c r="F56" i="4"/>
  <c r="G56" i="4" s="1"/>
  <c r="H56" i="4" s="1"/>
  <c r="H72" i="1"/>
  <c r="J72" i="1"/>
  <c r="F77" i="1"/>
  <c r="G77" i="1" s="1"/>
  <c r="F76" i="1"/>
  <c r="G76" i="1" s="1"/>
  <c r="J76" i="1" s="1"/>
  <c r="F102" i="1"/>
  <c r="G102" i="1" s="1"/>
  <c r="F66" i="1"/>
  <c r="G66" i="1" s="1"/>
  <c r="F51" i="1"/>
  <c r="G51" i="1" s="1"/>
  <c r="F58" i="1"/>
  <c r="G58" i="1" s="1"/>
  <c r="F50" i="1"/>
  <c r="G50" i="1" s="1"/>
  <c r="F57" i="1"/>
  <c r="G57" i="1" s="1"/>
  <c r="F56" i="1"/>
  <c r="G56" i="1" s="1"/>
  <c r="F73" i="1"/>
  <c r="G73" i="1" s="1"/>
  <c r="J73" i="1" s="1"/>
  <c r="F75" i="1"/>
  <c r="G75" i="1" s="1"/>
  <c r="J75" i="1" s="1"/>
  <c r="F53" i="1"/>
  <c r="G53" i="1" s="1"/>
  <c r="F54" i="1"/>
  <c r="G54" i="1" s="1"/>
  <c r="J54" i="1" s="1"/>
  <c r="Q72" i="1"/>
  <c r="F111" i="1"/>
  <c r="G111" i="1" s="1"/>
  <c r="F77" i="4" l="1"/>
  <c r="G77" i="4" s="1"/>
  <c r="H77" i="4" s="1"/>
  <c r="H102" i="4"/>
  <c r="J58" i="4"/>
  <c r="H76" i="4"/>
  <c r="J66" i="4"/>
  <c r="B21" i="4"/>
  <c r="B22" i="4" s="1"/>
  <c r="D68" i="4" s="1"/>
  <c r="C55" i="4"/>
  <c r="C78" i="4"/>
  <c r="J111" i="4"/>
  <c r="J51" i="4"/>
  <c r="D69" i="4"/>
  <c r="C70" i="4"/>
  <c r="E105" i="4"/>
  <c r="E55" i="4"/>
  <c r="E69" i="4"/>
  <c r="J50" i="4"/>
  <c r="J54" i="4"/>
  <c r="D70" i="4"/>
  <c r="D105" i="4"/>
  <c r="H54" i="4"/>
  <c r="D52" i="4"/>
  <c r="C52" i="4"/>
  <c r="C110" i="4"/>
  <c r="J57" i="4"/>
  <c r="C105" i="4"/>
  <c r="D55" i="4"/>
  <c r="H51" i="4"/>
  <c r="J76" i="4"/>
  <c r="D59" i="4"/>
  <c r="E59" i="4"/>
  <c r="G20" i="4"/>
  <c r="E70" i="4"/>
  <c r="J73" i="4"/>
  <c r="J75" i="4"/>
  <c r="J53" i="4"/>
  <c r="D78" i="4"/>
  <c r="D110" i="4"/>
  <c r="C59" i="4"/>
  <c r="E78" i="4"/>
  <c r="E110" i="4"/>
  <c r="C69" i="4"/>
  <c r="E60" i="4"/>
  <c r="D60" i="4"/>
  <c r="J56" i="4"/>
  <c r="C60" i="4"/>
  <c r="C74" i="4"/>
  <c r="E100" i="4"/>
  <c r="C100" i="4"/>
  <c r="D100" i="4"/>
  <c r="Q53" i="1"/>
  <c r="J53" i="1"/>
  <c r="H57" i="1"/>
  <c r="J57" i="1"/>
  <c r="Q111" i="1"/>
  <c r="J111" i="1"/>
  <c r="H50" i="1"/>
  <c r="J50" i="1"/>
  <c r="Q56" i="1"/>
  <c r="J56" i="1"/>
  <c r="Q58" i="1"/>
  <c r="J58" i="1"/>
  <c r="H51" i="1"/>
  <c r="J51" i="1"/>
  <c r="H66" i="1"/>
  <c r="J66" i="1"/>
  <c r="Q102" i="1"/>
  <c r="J102" i="1"/>
  <c r="H77" i="1"/>
  <c r="J77" i="1"/>
  <c r="Q76" i="1"/>
  <c r="H20" i="1"/>
  <c r="H22" i="1" s="1"/>
  <c r="H76" i="1"/>
  <c r="Q73" i="1"/>
  <c r="C78" i="1"/>
  <c r="E78" i="1"/>
  <c r="D78" i="1"/>
  <c r="I20" i="1"/>
  <c r="I22" i="1" s="1"/>
  <c r="Q77" i="1"/>
  <c r="E55" i="1"/>
  <c r="H102" i="1"/>
  <c r="D59" i="1"/>
  <c r="D52" i="1"/>
  <c r="Q57" i="1"/>
  <c r="H58" i="1"/>
  <c r="Q66" i="1"/>
  <c r="E105" i="1"/>
  <c r="B21" i="1"/>
  <c r="B22" i="1" s="1"/>
  <c r="C52" i="1"/>
  <c r="C59" i="1"/>
  <c r="E59" i="1"/>
  <c r="C60" i="1"/>
  <c r="Q51" i="1"/>
  <c r="C70" i="1"/>
  <c r="E52" i="1"/>
  <c r="D70" i="1"/>
  <c r="C105" i="1"/>
  <c r="E70" i="1"/>
  <c r="D105" i="1"/>
  <c r="Q50" i="1"/>
  <c r="D110" i="1"/>
  <c r="E110" i="1"/>
  <c r="C110" i="1"/>
  <c r="H73" i="1"/>
  <c r="H56" i="1"/>
  <c r="H54" i="1"/>
  <c r="E60" i="1"/>
  <c r="D60" i="1"/>
  <c r="H111" i="1"/>
  <c r="H53" i="1"/>
  <c r="E69" i="1"/>
  <c r="C69" i="1"/>
  <c r="Q54" i="1"/>
  <c r="D69" i="1"/>
  <c r="Q75" i="1"/>
  <c r="G20" i="1"/>
  <c r="G22" i="1" s="1"/>
  <c r="H75" i="1"/>
  <c r="C55" i="1"/>
  <c r="D55" i="1"/>
  <c r="J77" i="4" l="1"/>
  <c r="I20" i="4"/>
  <c r="D74" i="4" s="1"/>
  <c r="E74" i="4"/>
  <c r="F74" i="4" s="1"/>
  <c r="G74" i="4" s="1"/>
  <c r="C68" i="4"/>
  <c r="E68" i="4"/>
  <c r="F70" i="4"/>
  <c r="G70" i="4" s="1"/>
  <c r="E21" i="4" s="1"/>
  <c r="E22" i="4" s="1"/>
  <c r="F59" i="4"/>
  <c r="G59" i="4" s="1"/>
  <c r="E96" i="4" s="1"/>
  <c r="F52" i="4"/>
  <c r="G52" i="4" s="1"/>
  <c r="D94" i="4" s="1"/>
  <c r="F69" i="4"/>
  <c r="G69" i="4" s="1"/>
  <c r="E20" i="4" s="1"/>
  <c r="F110" i="4"/>
  <c r="G110" i="4" s="1"/>
  <c r="H110" i="4" s="1"/>
  <c r="F78" i="4"/>
  <c r="G78" i="4" s="1"/>
  <c r="H78" i="4" s="1"/>
  <c r="F55" i="4"/>
  <c r="G55" i="4" s="1"/>
  <c r="J55" i="4" s="1"/>
  <c r="F105" i="4"/>
  <c r="G105" i="4" s="1"/>
  <c r="H105" i="4" s="1"/>
  <c r="F60" i="4"/>
  <c r="G60" i="4" s="1"/>
  <c r="D61" i="4" s="1"/>
  <c r="F100" i="4"/>
  <c r="G100" i="4" s="1"/>
  <c r="H100" i="4" s="1"/>
  <c r="E100" i="1"/>
  <c r="D100" i="1"/>
  <c r="C100" i="1"/>
  <c r="E74" i="1"/>
  <c r="D74" i="1"/>
  <c r="C74" i="1"/>
  <c r="F78" i="1"/>
  <c r="G78" i="1" s="1"/>
  <c r="F59" i="1"/>
  <c r="G59" i="1" s="1"/>
  <c r="F52" i="1"/>
  <c r="G52" i="1" s="1"/>
  <c r="F70" i="1"/>
  <c r="G70" i="1" s="1"/>
  <c r="F105" i="1"/>
  <c r="G105" i="1" s="1"/>
  <c r="D68" i="1"/>
  <c r="E68" i="1"/>
  <c r="F110" i="1"/>
  <c r="G110" i="1" s="1"/>
  <c r="F60" i="1"/>
  <c r="G60" i="1" s="1"/>
  <c r="F69" i="1"/>
  <c r="G69" i="1" s="1"/>
  <c r="F55" i="1"/>
  <c r="G55" i="1" s="1"/>
  <c r="J59" i="4" l="1"/>
  <c r="F68" i="4"/>
  <c r="G68" i="4" s="1"/>
  <c r="H68" i="4" s="1"/>
  <c r="C96" i="4"/>
  <c r="E94" i="4"/>
  <c r="J20" i="4"/>
  <c r="E63" i="4" s="1"/>
  <c r="J78" i="4"/>
  <c r="H59" i="4"/>
  <c r="E61" i="4"/>
  <c r="H70" i="4"/>
  <c r="J52" i="4"/>
  <c r="J70" i="4"/>
  <c r="J69" i="4"/>
  <c r="D96" i="4"/>
  <c r="H55" i="4"/>
  <c r="H69" i="4"/>
  <c r="H52" i="4"/>
  <c r="C94" i="4"/>
  <c r="H60" i="4"/>
  <c r="C61" i="4"/>
  <c r="J60" i="4"/>
  <c r="J110" i="4"/>
  <c r="J105" i="4"/>
  <c r="J74" i="4"/>
  <c r="C113" i="4"/>
  <c r="E113" i="4"/>
  <c r="H74" i="4"/>
  <c r="E101" i="4"/>
  <c r="C101" i="4"/>
  <c r="D101" i="4"/>
  <c r="J100" i="4"/>
  <c r="E71" i="4"/>
  <c r="C71" i="4"/>
  <c r="D71" i="4"/>
  <c r="D113" i="4"/>
  <c r="Q105" i="1"/>
  <c r="J105" i="1"/>
  <c r="E94" i="1"/>
  <c r="J52" i="1"/>
  <c r="J69" i="1"/>
  <c r="E96" i="1"/>
  <c r="J59" i="1"/>
  <c r="D61" i="1"/>
  <c r="J60" i="1"/>
  <c r="H70" i="1"/>
  <c r="J70" i="1"/>
  <c r="H78" i="1"/>
  <c r="J78" i="1"/>
  <c r="Q55" i="1"/>
  <c r="J55" i="1"/>
  <c r="H110" i="1"/>
  <c r="J110" i="1"/>
  <c r="F100" i="1"/>
  <c r="G100" i="1" s="1"/>
  <c r="F74" i="1"/>
  <c r="G74" i="1" s="1"/>
  <c r="Q52" i="1"/>
  <c r="Q59" i="1"/>
  <c r="J20" i="1"/>
  <c r="J22" i="1" s="1"/>
  <c r="Q78" i="1"/>
  <c r="H59" i="1"/>
  <c r="C96" i="1"/>
  <c r="D96" i="1"/>
  <c r="H105" i="1"/>
  <c r="C94" i="1"/>
  <c r="H52" i="1"/>
  <c r="D94" i="1"/>
  <c r="Q110" i="1"/>
  <c r="E21" i="1"/>
  <c r="E22" i="1" s="1"/>
  <c r="E71" i="1" s="1"/>
  <c r="Q70" i="1"/>
  <c r="C61" i="1"/>
  <c r="Q60" i="1"/>
  <c r="E61" i="1"/>
  <c r="F68" i="1"/>
  <c r="G68" i="1" s="1"/>
  <c r="J68" i="1" s="1"/>
  <c r="H60" i="1"/>
  <c r="H55" i="1"/>
  <c r="E20" i="1"/>
  <c r="Q69" i="1"/>
  <c r="C62" i="4" l="1"/>
  <c r="J68" i="4"/>
  <c r="F96" i="4"/>
  <c r="G96" i="4" s="1"/>
  <c r="E62" i="4"/>
  <c r="D63" i="4"/>
  <c r="F63" i="4" s="1"/>
  <c r="G63" i="4" s="1"/>
  <c r="F94" i="4"/>
  <c r="G94" i="4" s="1"/>
  <c r="H94" i="4" s="1"/>
  <c r="D92" i="4"/>
  <c r="C92" i="4"/>
  <c r="D62" i="4"/>
  <c r="E92" i="4"/>
  <c r="F61" i="4"/>
  <c r="G61" i="4" s="1"/>
  <c r="D106" i="4" s="1"/>
  <c r="F113" i="4"/>
  <c r="G113" i="4" s="1"/>
  <c r="F101" i="4"/>
  <c r="F71" i="4"/>
  <c r="G71" i="4" s="1"/>
  <c r="Q74" i="1"/>
  <c r="J74" i="1"/>
  <c r="E101" i="1"/>
  <c r="J100" i="1"/>
  <c r="E62" i="1"/>
  <c r="D62" i="1"/>
  <c r="C62" i="1"/>
  <c r="D101" i="1"/>
  <c r="H100" i="1"/>
  <c r="C101" i="1"/>
  <c r="Q100" i="1"/>
  <c r="D113" i="1"/>
  <c r="E113" i="1"/>
  <c r="H74" i="1"/>
  <c r="C113" i="1"/>
  <c r="Q68" i="1"/>
  <c r="C92" i="1"/>
  <c r="E92" i="1"/>
  <c r="D92" i="1"/>
  <c r="D63" i="1"/>
  <c r="E63" i="1"/>
  <c r="F96" i="1"/>
  <c r="G96" i="1" s="1"/>
  <c r="F94" i="1"/>
  <c r="G94" i="1" s="1"/>
  <c r="F61" i="1"/>
  <c r="G61" i="1" s="1"/>
  <c r="C71" i="1"/>
  <c r="D71" i="1"/>
  <c r="F92" i="4" l="1"/>
  <c r="G92" i="4" s="1"/>
  <c r="H92" i="4" s="1"/>
  <c r="J94" i="4"/>
  <c r="H96" i="4"/>
  <c r="J96" i="4"/>
  <c r="F62" i="4"/>
  <c r="G62" i="4" s="1"/>
  <c r="D112" i="4" s="1"/>
  <c r="E95" i="4"/>
  <c r="D91" i="4"/>
  <c r="D67" i="4"/>
  <c r="C91" i="4"/>
  <c r="C67" i="4"/>
  <c r="E67" i="4"/>
  <c r="E91" i="4"/>
  <c r="H61" i="4"/>
  <c r="E106" i="4"/>
  <c r="J61" i="4"/>
  <c r="C106" i="4"/>
  <c r="C95" i="4"/>
  <c r="D95" i="4"/>
  <c r="C16" i="4"/>
  <c r="G101" i="4"/>
  <c r="J63" i="4"/>
  <c r="D21" i="4"/>
  <c r="D22" i="4" s="1"/>
  <c r="H63" i="4"/>
  <c r="J113" i="4"/>
  <c r="J71" i="4"/>
  <c r="H71" i="4"/>
  <c r="H113" i="4"/>
  <c r="C67" i="1"/>
  <c r="J61" i="1"/>
  <c r="H94" i="1"/>
  <c r="J94" i="1"/>
  <c r="H96" i="1"/>
  <c r="J96" i="1"/>
  <c r="F101" i="1"/>
  <c r="C16" i="1" s="1"/>
  <c r="F113" i="1"/>
  <c r="G113" i="1" s="1"/>
  <c r="F63" i="1"/>
  <c r="G63" i="1" s="1"/>
  <c r="D106" i="1"/>
  <c r="E106" i="1"/>
  <c r="C106" i="1"/>
  <c r="D67" i="1"/>
  <c r="C91" i="1"/>
  <c r="E91" i="1"/>
  <c r="D91" i="1"/>
  <c r="E67" i="1"/>
  <c r="H61" i="1"/>
  <c r="C104" i="1"/>
  <c r="E104" i="1"/>
  <c r="F62" i="1"/>
  <c r="G62" i="1" s="1"/>
  <c r="Q96" i="1"/>
  <c r="Q94" i="1"/>
  <c r="Q61" i="1"/>
  <c r="F71" i="1"/>
  <c r="G71" i="1" s="1"/>
  <c r="F92" i="1"/>
  <c r="G92" i="1" s="1"/>
  <c r="C45" i="1" s="1"/>
  <c r="E45" i="4" l="1"/>
  <c r="C45" i="4"/>
  <c r="J92" i="4"/>
  <c r="C64" i="4"/>
  <c r="D64" i="4"/>
  <c r="E64" i="4"/>
  <c r="J62" i="4"/>
  <c r="F106" i="4"/>
  <c r="G106" i="4" s="1"/>
  <c r="H106" i="4" s="1"/>
  <c r="H62" i="4"/>
  <c r="C112" i="4"/>
  <c r="E112" i="4"/>
  <c r="F67" i="4"/>
  <c r="G67" i="4" s="1"/>
  <c r="J67" i="4" s="1"/>
  <c r="F91" i="4"/>
  <c r="G91" i="4" s="1"/>
  <c r="H91" i="4" s="1"/>
  <c r="F95" i="4"/>
  <c r="G95" i="4" s="1"/>
  <c r="J95" i="4" s="1"/>
  <c r="J101" i="4"/>
  <c r="H101" i="4"/>
  <c r="G101" i="1"/>
  <c r="H101" i="1" s="1"/>
  <c r="H63" i="1"/>
  <c r="J63" i="1"/>
  <c r="H62" i="1"/>
  <c r="J62" i="1"/>
  <c r="H113" i="1"/>
  <c r="J113" i="1"/>
  <c r="H92" i="1"/>
  <c r="J92" i="1"/>
  <c r="Q71" i="1"/>
  <c r="J71" i="1"/>
  <c r="D21" i="1"/>
  <c r="Q113" i="1"/>
  <c r="F67" i="1"/>
  <c r="G67" i="1" s="1"/>
  <c r="E95" i="1"/>
  <c r="Q63" i="1"/>
  <c r="F106" i="1"/>
  <c r="G106" i="1" s="1"/>
  <c r="F104" i="1"/>
  <c r="G104" i="1" s="1"/>
  <c r="J104" i="1" s="1"/>
  <c r="F91" i="1"/>
  <c r="G91" i="1" s="1"/>
  <c r="H71" i="1"/>
  <c r="D95" i="1"/>
  <c r="C95" i="1"/>
  <c r="Q62" i="1"/>
  <c r="C64" i="1"/>
  <c r="E64" i="1"/>
  <c r="D64" i="1"/>
  <c r="E112" i="1"/>
  <c r="C112" i="1"/>
  <c r="D112" i="1"/>
  <c r="Q92" i="1"/>
  <c r="E45" i="1"/>
  <c r="F45" i="4" l="1"/>
  <c r="G45" i="4" s="1"/>
  <c r="F21" i="4" s="1"/>
  <c r="J106" i="4"/>
  <c r="F64" i="4"/>
  <c r="G64" i="4" s="1"/>
  <c r="H64" i="4" s="1"/>
  <c r="H67" i="4"/>
  <c r="B20" i="4"/>
  <c r="F112" i="4"/>
  <c r="G112" i="4" s="1"/>
  <c r="D103" i="4"/>
  <c r="C103" i="4"/>
  <c r="J91" i="4"/>
  <c r="E103" i="4"/>
  <c r="H95" i="4"/>
  <c r="Q106" i="1"/>
  <c r="J106" i="1"/>
  <c r="Q67" i="1"/>
  <c r="J67" i="1"/>
  <c r="Q91" i="1"/>
  <c r="J91" i="1"/>
  <c r="Q101" i="1"/>
  <c r="J101" i="1"/>
  <c r="F95" i="1"/>
  <c r="G95" i="1" s="1"/>
  <c r="H67" i="1"/>
  <c r="B20" i="1"/>
  <c r="C9" i="1"/>
  <c r="C10" i="1"/>
  <c r="H91" i="1"/>
  <c r="H106" i="1"/>
  <c r="D103" i="1"/>
  <c r="C103" i="1"/>
  <c r="E103" i="1"/>
  <c r="F45" i="1"/>
  <c r="G45" i="1" s="1"/>
  <c r="F112" i="1"/>
  <c r="G112" i="1" s="1"/>
  <c r="F64" i="1"/>
  <c r="G64" i="1" s="1"/>
  <c r="J64" i="1" s="1"/>
  <c r="Q104" i="1"/>
  <c r="H104" i="1"/>
  <c r="C72" i="4" l="1"/>
  <c r="E72" i="4"/>
  <c r="H45" i="4"/>
  <c r="J112" i="4"/>
  <c r="J45" i="4"/>
  <c r="J64" i="4"/>
  <c r="D20" i="4"/>
  <c r="E65" i="4" s="1"/>
  <c r="H112" i="4"/>
  <c r="F103" i="4"/>
  <c r="G103" i="4" s="1"/>
  <c r="H103" i="4" s="1"/>
  <c r="H95" i="1"/>
  <c r="J95" i="1"/>
  <c r="Q112" i="1"/>
  <c r="J112" i="1"/>
  <c r="H45" i="1"/>
  <c r="J45" i="1"/>
  <c r="Q95" i="1"/>
  <c r="F103" i="1"/>
  <c r="G103" i="1" s="1"/>
  <c r="F21" i="1"/>
  <c r="Q45" i="1"/>
  <c r="H64" i="1"/>
  <c r="D20" i="1"/>
  <c r="D22" i="1" s="1"/>
  <c r="Q64" i="1"/>
  <c r="H112" i="1"/>
  <c r="J103" i="4" l="1"/>
  <c r="F72" i="4"/>
  <c r="G72" i="4" s="1"/>
  <c r="C65" i="4"/>
  <c r="D65" i="4"/>
  <c r="Q103" i="1"/>
  <c r="J103" i="1"/>
  <c r="H103" i="1"/>
  <c r="C65" i="1"/>
  <c r="D65" i="1"/>
  <c r="E65" i="1"/>
  <c r="H72" i="4" l="1"/>
  <c r="J72" i="4"/>
  <c r="C104" i="4"/>
  <c r="E104" i="4"/>
  <c r="F65" i="4"/>
  <c r="G65" i="4" s="1"/>
  <c r="J65" i="4" s="1"/>
  <c r="F65" i="1"/>
  <c r="G65" i="1" s="1"/>
  <c r="F104" i="4" l="1"/>
  <c r="H65" i="4"/>
  <c r="C93" i="4"/>
  <c r="D93" i="4"/>
  <c r="E93" i="4"/>
  <c r="H65" i="1"/>
  <c r="J65" i="1"/>
  <c r="Q65" i="1"/>
  <c r="C93" i="1"/>
  <c r="E93" i="1"/>
  <c r="D93" i="1"/>
  <c r="F93" i="4" l="1"/>
  <c r="G93" i="4" s="1"/>
  <c r="D98" i="4" s="1"/>
  <c r="G104" i="4"/>
  <c r="C10" i="4"/>
  <c r="C9" i="4"/>
  <c r="F93" i="1"/>
  <c r="G93" i="1" s="1"/>
  <c r="E98" i="4" l="1"/>
  <c r="C98" i="4"/>
  <c r="J93" i="4"/>
  <c r="C114" i="4"/>
  <c r="D114" i="4"/>
  <c r="E114" i="4"/>
  <c r="H93" i="4"/>
  <c r="J104" i="4"/>
  <c r="H104" i="4"/>
  <c r="H93" i="1"/>
  <c r="J93" i="1"/>
  <c r="D98" i="1"/>
  <c r="E114" i="1"/>
  <c r="C114" i="1"/>
  <c r="C98" i="1"/>
  <c r="D114" i="1"/>
  <c r="Q93" i="1"/>
  <c r="E98" i="1"/>
  <c r="F98" i="4" l="1"/>
  <c r="G98" i="4" s="1"/>
  <c r="H98" i="4" s="1"/>
  <c r="F114" i="4"/>
  <c r="G114" i="4" s="1"/>
  <c r="H114" i="4" s="1"/>
  <c r="F98" i="1"/>
  <c r="G98" i="1" s="1"/>
  <c r="F114" i="1"/>
  <c r="G114" i="1" s="1"/>
  <c r="C115" i="4" l="1"/>
  <c r="E115" i="4"/>
  <c r="D115" i="4"/>
  <c r="J114" i="4"/>
  <c r="D97" i="4"/>
  <c r="C97" i="4"/>
  <c r="E97" i="4"/>
  <c r="J98" i="4"/>
  <c r="H114" i="1"/>
  <c r="J114" i="1"/>
  <c r="Q98" i="1"/>
  <c r="J98" i="1"/>
  <c r="H98" i="1"/>
  <c r="C115" i="1"/>
  <c r="D115" i="1"/>
  <c r="C97" i="1"/>
  <c r="D97" i="1"/>
  <c r="E115" i="1"/>
  <c r="E97" i="1"/>
  <c r="Q114" i="1"/>
  <c r="F97" i="4" l="1"/>
  <c r="G97" i="4" s="1"/>
  <c r="H97" i="4" s="1"/>
  <c r="F115" i="4"/>
  <c r="G115" i="4" s="1"/>
  <c r="J115" i="4" s="1"/>
  <c r="F97" i="1"/>
  <c r="G97" i="1" s="1"/>
  <c r="F115" i="1"/>
  <c r="G115" i="1" s="1"/>
  <c r="H115" i="4" l="1"/>
  <c r="J97" i="4"/>
  <c r="Q115" i="1"/>
  <c r="J115" i="1"/>
  <c r="Q97" i="1"/>
  <c r="J97" i="1"/>
  <c r="H115" i="1"/>
  <c r="H97" i="1"/>
  <c r="D41" i="5"/>
  <c r="D33" i="5"/>
  <c r="D37" i="5"/>
  <c r="D30" i="5"/>
  <c r="D42" i="5"/>
  <c r="F42" i="5" s="1"/>
  <c r="G42" i="5" s="1"/>
  <c r="D34" i="5"/>
  <c r="D31" i="5"/>
  <c r="D35" i="5"/>
  <c r="D39" i="5"/>
  <c r="D32" i="5"/>
  <c r="D40" i="5"/>
  <c r="D36" i="5"/>
  <c r="F36" i="5" s="1"/>
  <c r="G36" i="5" s="1"/>
  <c r="D38" i="5"/>
  <c r="E43" i="5"/>
  <c r="F43" i="5" s="1"/>
  <c r="G43" i="5" s="1"/>
  <c r="D44" i="5"/>
  <c r="E41" i="5"/>
  <c r="F41" i="5" s="1"/>
  <c r="G41" i="5" s="1"/>
  <c r="E99" i="5"/>
  <c r="E33" i="5"/>
  <c r="E32" i="5"/>
  <c r="E31" i="5"/>
  <c r="F31" i="5" s="1"/>
  <c r="G31" i="5" s="1"/>
  <c r="E42" i="5"/>
  <c r="E36" i="5"/>
  <c r="E39" i="5"/>
  <c r="E37" i="5"/>
  <c r="E34" i="5"/>
  <c r="E40" i="5"/>
  <c r="F40" i="5" s="1"/>
  <c r="G40" i="5" s="1"/>
  <c r="E35" i="5"/>
  <c r="E38" i="5"/>
  <c r="F38" i="5" s="1"/>
  <c r="G38" i="5" s="1"/>
  <c r="E30" i="5"/>
  <c r="D99" i="5"/>
  <c r="E44" i="5"/>
  <c r="F32" i="5" l="1"/>
  <c r="G32" i="5" s="1"/>
  <c r="E77" i="5" s="1"/>
  <c r="F99" i="5"/>
  <c r="G99" i="5" s="1"/>
  <c r="Q99" i="5" s="1"/>
  <c r="F33" i="5"/>
  <c r="G33" i="5" s="1"/>
  <c r="E102" i="5" s="1"/>
  <c r="F37" i="5"/>
  <c r="G37" i="5" s="1"/>
  <c r="J37" i="5" s="1"/>
  <c r="F39" i="5"/>
  <c r="G39" i="5" s="1"/>
  <c r="H39" i="5" s="1"/>
  <c r="F35" i="5"/>
  <c r="G35" i="5" s="1"/>
  <c r="Q35" i="5" s="1"/>
  <c r="F44" i="5"/>
  <c r="G44" i="5" s="1"/>
  <c r="C21" i="5" s="1"/>
  <c r="F30" i="5"/>
  <c r="G30" i="5" s="1"/>
  <c r="D56" i="5" s="1"/>
  <c r="F34" i="5"/>
  <c r="G34" i="5" s="1"/>
  <c r="Q34" i="5" s="1"/>
  <c r="J40" i="5"/>
  <c r="H40" i="5"/>
  <c r="D73" i="5"/>
  <c r="Q40" i="5"/>
  <c r="J38" i="5"/>
  <c r="H21" i="5"/>
  <c r="H22" i="5" s="1"/>
  <c r="Q38" i="5"/>
  <c r="H38" i="5"/>
  <c r="J43" i="5"/>
  <c r="C20" i="5"/>
  <c r="Q43" i="5"/>
  <c r="H43" i="5"/>
  <c r="D50" i="5"/>
  <c r="Q42" i="5"/>
  <c r="E50" i="5"/>
  <c r="J42" i="5"/>
  <c r="H42" i="5"/>
  <c r="C50" i="5"/>
  <c r="D62" i="5"/>
  <c r="E62" i="5"/>
  <c r="Q33" i="5"/>
  <c r="J33" i="5"/>
  <c r="H37" i="5"/>
  <c r="D53" i="5"/>
  <c r="C54" i="5"/>
  <c r="D54" i="5"/>
  <c r="E54" i="5"/>
  <c r="H36" i="5"/>
  <c r="J36" i="5"/>
  <c r="Q36" i="5"/>
  <c r="E53" i="5"/>
  <c r="C53" i="5"/>
  <c r="Q41" i="5"/>
  <c r="H41" i="5"/>
  <c r="G21" i="5"/>
  <c r="G22" i="5" s="1"/>
  <c r="J41" i="5"/>
  <c r="H31" i="5"/>
  <c r="E66" i="5"/>
  <c r="Q31" i="5"/>
  <c r="C66" i="5"/>
  <c r="D66" i="5"/>
  <c r="J31" i="5"/>
  <c r="E75" i="5" l="1"/>
  <c r="C63" i="5"/>
  <c r="C111" i="5"/>
  <c r="E63" i="5"/>
  <c r="C75" i="5"/>
  <c r="Q39" i="5"/>
  <c r="J39" i="5"/>
  <c r="D63" i="5"/>
  <c r="F63" i="5" s="1"/>
  <c r="G63" i="5" s="1"/>
  <c r="C77" i="5"/>
  <c r="D77" i="5"/>
  <c r="J32" i="5"/>
  <c r="H32" i="5"/>
  <c r="E58" i="5"/>
  <c r="Q32" i="5"/>
  <c r="C58" i="5"/>
  <c r="D58" i="5"/>
  <c r="J30" i="5"/>
  <c r="C102" i="5"/>
  <c r="C62" i="5"/>
  <c r="F62" i="5" s="1"/>
  <c r="G62" i="5" s="1"/>
  <c r="D75" i="5"/>
  <c r="F75" i="5" s="1"/>
  <c r="G75" i="5" s="1"/>
  <c r="H75" i="5" s="1"/>
  <c r="E56" i="5"/>
  <c r="H33" i="5"/>
  <c r="C76" i="5"/>
  <c r="E76" i="5"/>
  <c r="Q44" i="5"/>
  <c r="J44" i="5"/>
  <c r="Q37" i="5"/>
  <c r="I21" i="5"/>
  <c r="I22" i="5" s="1"/>
  <c r="Q30" i="5"/>
  <c r="C56" i="5"/>
  <c r="H30" i="5"/>
  <c r="C51" i="5"/>
  <c r="D102" i="5"/>
  <c r="C57" i="5"/>
  <c r="D57" i="5"/>
  <c r="E51" i="5"/>
  <c r="J34" i="5"/>
  <c r="E57" i="5"/>
  <c r="C100" i="5"/>
  <c r="H34" i="5"/>
  <c r="H35" i="5"/>
  <c r="C73" i="5"/>
  <c r="H99" i="5"/>
  <c r="E100" i="5"/>
  <c r="J99" i="5"/>
  <c r="D100" i="5"/>
  <c r="H44" i="5"/>
  <c r="D51" i="5"/>
  <c r="D76" i="5"/>
  <c r="J35" i="5"/>
  <c r="E73" i="5"/>
  <c r="F54" i="5"/>
  <c r="G54" i="5" s="1"/>
  <c r="F66" i="5"/>
  <c r="G66" i="5" s="1"/>
  <c r="F53" i="5"/>
  <c r="G53" i="5" s="1"/>
  <c r="H53" i="5" s="1"/>
  <c r="F50" i="5"/>
  <c r="G50" i="5" s="1"/>
  <c r="F76" i="5" l="1"/>
  <c r="G76" i="5" s="1"/>
  <c r="F58" i="5"/>
  <c r="G58" i="5" s="1"/>
  <c r="F77" i="5"/>
  <c r="G77" i="5" s="1"/>
  <c r="H77" i="5" s="1"/>
  <c r="F102" i="5"/>
  <c r="G102" i="5" s="1"/>
  <c r="H102" i="5" s="1"/>
  <c r="F56" i="5"/>
  <c r="G56" i="5" s="1"/>
  <c r="H56" i="5" s="1"/>
  <c r="F57" i="5"/>
  <c r="G57" i="5" s="1"/>
  <c r="D110" i="5" s="1"/>
  <c r="E111" i="5"/>
  <c r="D111" i="5"/>
  <c r="F111" i="5" s="1"/>
  <c r="G111" i="5" s="1"/>
  <c r="F51" i="5"/>
  <c r="G51" i="5" s="1"/>
  <c r="H51" i="5" s="1"/>
  <c r="F73" i="5"/>
  <c r="G73" i="5" s="1"/>
  <c r="H73" i="5" s="1"/>
  <c r="F100" i="5"/>
  <c r="G100" i="5" s="1"/>
  <c r="H100" i="5" s="1"/>
  <c r="E64" i="5"/>
  <c r="Q62" i="5"/>
  <c r="C64" i="5"/>
  <c r="J62" i="5"/>
  <c r="D64" i="5"/>
  <c r="E70" i="5"/>
  <c r="J66" i="5"/>
  <c r="Q66" i="5"/>
  <c r="B21" i="5"/>
  <c r="B22" i="5" s="1"/>
  <c r="Q63" i="5"/>
  <c r="J63" i="5"/>
  <c r="D21" i="5"/>
  <c r="D22" i="5" s="1"/>
  <c r="H63" i="5"/>
  <c r="J54" i="5"/>
  <c r="Q54" i="5"/>
  <c r="H66" i="5"/>
  <c r="D112" i="5"/>
  <c r="H54" i="5"/>
  <c r="Q58" i="5"/>
  <c r="J58" i="5"/>
  <c r="C112" i="5"/>
  <c r="E112" i="5"/>
  <c r="Q102" i="5"/>
  <c r="C55" i="5"/>
  <c r="D55" i="5"/>
  <c r="J50" i="5"/>
  <c r="Q50" i="5"/>
  <c r="E55" i="5"/>
  <c r="H50" i="5"/>
  <c r="Q77" i="5"/>
  <c r="I20" i="5"/>
  <c r="J77" i="5"/>
  <c r="H20" i="5"/>
  <c r="J76" i="5"/>
  <c r="Q76" i="5"/>
  <c r="J75" i="5"/>
  <c r="G20" i="5"/>
  <c r="Q75" i="5"/>
  <c r="C60" i="5"/>
  <c r="E60" i="5"/>
  <c r="J53" i="5"/>
  <c r="Q53" i="5"/>
  <c r="H76" i="5"/>
  <c r="H58" i="5"/>
  <c r="H62" i="5"/>
  <c r="C110" i="5" l="1"/>
  <c r="D69" i="5"/>
  <c r="E110" i="5"/>
  <c r="E69" i="5"/>
  <c r="J102" i="5"/>
  <c r="D70" i="5"/>
  <c r="D59" i="5"/>
  <c r="C69" i="5"/>
  <c r="F69" i="5" s="1"/>
  <c r="G69" i="5" s="1"/>
  <c r="H69" i="5" s="1"/>
  <c r="E59" i="5"/>
  <c r="H57" i="5"/>
  <c r="Q57" i="5"/>
  <c r="C59" i="5"/>
  <c r="F59" i="5" s="1"/>
  <c r="G59" i="5" s="1"/>
  <c r="D60" i="5"/>
  <c r="F60" i="5" s="1"/>
  <c r="G60" i="5" s="1"/>
  <c r="Q56" i="5"/>
  <c r="J56" i="5"/>
  <c r="J57" i="5"/>
  <c r="C70" i="5"/>
  <c r="E52" i="5"/>
  <c r="C105" i="5"/>
  <c r="D78" i="5"/>
  <c r="C74" i="5"/>
  <c r="D52" i="5"/>
  <c r="C52" i="5"/>
  <c r="D101" i="5"/>
  <c r="E101" i="5"/>
  <c r="J51" i="5"/>
  <c r="Q51" i="5"/>
  <c r="E105" i="5"/>
  <c r="H111" i="5"/>
  <c r="J111" i="5"/>
  <c r="Q111" i="5"/>
  <c r="J100" i="5"/>
  <c r="C101" i="5"/>
  <c r="Q100" i="5"/>
  <c r="D105" i="5"/>
  <c r="D74" i="5"/>
  <c r="E78" i="5"/>
  <c r="J73" i="5"/>
  <c r="E74" i="5"/>
  <c r="C78" i="5"/>
  <c r="Q73" i="5"/>
  <c r="F55" i="5"/>
  <c r="G55" i="5" s="1"/>
  <c r="C65" i="5"/>
  <c r="D65" i="5"/>
  <c r="E65" i="5"/>
  <c r="D68" i="5"/>
  <c r="E68" i="5"/>
  <c r="C68" i="5"/>
  <c r="F64" i="5"/>
  <c r="G64" i="5" s="1"/>
  <c r="F112" i="5"/>
  <c r="G112" i="5" s="1"/>
  <c r="F110" i="5"/>
  <c r="G110" i="5" s="1"/>
  <c r="F70" i="5" l="1"/>
  <c r="G70" i="5" s="1"/>
  <c r="H59" i="5"/>
  <c r="F52" i="5"/>
  <c r="G52" i="5" s="1"/>
  <c r="F105" i="5"/>
  <c r="G105" i="5" s="1"/>
  <c r="F74" i="5"/>
  <c r="G74" i="5" s="1"/>
  <c r="Q74" i="5" s="1"/>
  <c r="F101" i="5"/>
  <c r="G101" i="5" s="1"/>
  <c r="F78" i="5"/>
  <c r="G78" i="5" s="1"/>
  <c r="J20" i="5" s="1"/>
  <c r="H74" i="5"/>
  <c r="J64" i="5"/>
  <c r="Q64" i="5"/>
  <c r="D20" i="5"/>
  <c r="J78" i="5"/>
  <c r="H64" i="5"/>
  <c r="F68" i="5"/>
  <c r="G68" i="5" s="1"/>
  <c r="H68" i="5" s="1"/>
  <c r="J110" i="5"/>
  <c r="Q110" i="5"/>
  <c r="Q70" i="5"/>
  <c r="J70" i="5"/>
  <c r="E21" i="5"/>
  <c r="E22" i="5" s="1"/>
  <c r="Q59" i="5"/>
  <c r="C113" i="5"/>
  <c r="D113" i="5"/>
  <c r="J59" i="5"/>
  <c r="Q112" i="5"/>
  <c r="J112" i="5"/>
  <c r="C96" i="5"/>
  <c r="J55" i="5"/>
  <c r="Q55" i="5"/>
  <c r="D96" i="5"/>
  <c r="H55" i="5"/>
  <c r="Q105" i="5"/>
  <c r="J105" i="5"/>
  <c r="H110" i="5"/>
  <c r="H70" i="5"/>
  <c r="H112" i="5"/>
  <c r="C61" i="5"/>
  <c r="Q60" i="5"/>
  <c r="J60" i="5"/>
  <c r="D61" i="5"/>
  <c r="E61" i="5"/>
  <c r="F65" i="5"/>
  <c r="G65" i="5" s="1"/>
  <c r="H65" i="5" s="1"/>
  <c r="Q69" i="5"/>
  <c r="E20" i="5"/>
  <c r="J69" i="5"/>
  <c r="J52" i="5"/>
  <c r="Q52" i="5"/>
  <c r="C94" i="5"/>
  <c r="D94" i="5"/>
  <c r="E94" i="5"/>
  <c r="H52" i="5"/>
  <c r="E96" i="5"/>
  <c r="H105" i="5"/>
  <c r="H78" i="5"/>
  <c r="H60" i="5"/>
  <c r="E113" i="5" l="1"/>
  <c r="Q78" i="5"/>
  <c r="J74" i="5"/>
  <c r="C16" i="5"/>
  <c r="Q65" i="5"/>
  <c r="J65" i="5"/>
  <c r="F94" i="5"/>
  <c r="G94" i="5" s="1"/>
  <c r="H94" i="5" s="1"/>
  <c r="E93" i="5"/>
  <c r="D93" i="5"/>
  <c r="C93" i="5"/>
  <c r="F113" i="5"/>
  <c r="G113" i="5" s="1"/>
  <c r="D71" i="5"/>
  <c r="C71" i="5"/>
  <c r="E71" i="5"/>
  <c r="F61" i="5"/>
  <c r="G61" i="5" s="1"/>
  <c r="H61" i="5" s="1"/>
  <c r="Q68" i="5"/>
  <c r="J68" i="5"/>
  <c r="C92" i="5"/>
  <c r="D92" i="5"/>
  <c r="E92" i="5"/>
  <c r="F96" i="5"/>
  <c r="G96" i="5" s="1"/>
  <c r="J101" i="5"/>
  <c r="Q101" i="5"/>
  <c r="H101" i="5"/>
  <c r="F71" i="5" l="1"/>
  <c r="G71" i="5" s="1"/>
  <c r="H71" i="5" s="1"/>
  <c r="Q96" i="5"/>
  <c r="J96" i="5"/>
  <c r="F93" i="5"/>
  <c r="G93" i="5" s="1"/>
  <c r="H93" i="5" s="1"/>
  <c r="F92" i="5"/>
  <c r="G92" i="5" s="1"/>
  <c r="H96" i="5"/>
  <c r="J94" i="5"/>
  <c r="D95" i="5"/>
  <c r="E95" i="5"/>
  <c r="Q94" i="5"/>
  <c r="J113" i="5"/>
  <c r="Q113" i="5"/>
  <c r="H113" i="5"/>
  <c r="J61" i="5"/>
  <c r="E91" i="5"/>
  <c r="D67" i="5"/>
  <c r="D91" i="5"/>
  <c r="E67" i="5"/>
  <c r="Q61" i="5"/>
  <c r="C67" i="5"/>
  <c r="C91" i="5"/>
  <c r="E106" i="5"/>
  <c r="C106" i="5"/>
  <c r="D106" i="5"/>
  <c r="C95" i="5" l="1"/>
  <c r="F95" i="5" s="1"/>
  <c r="G95" i="5" s="1"/>
  <c r="H95" i="5" s="1"/>
  <c r="C45" i="5"/>
  <c r="E45" i="5"/>
  <c r="Q92" i="5"/>
  <c r="J92" i="5"/>
  <c r="F106" i="5"/>
  <c r="G106" i="5" s="1"/>
  <c r="D114" i="5"/>
  <c r="E114" i="5"/>
  <c r="C114" i="5"/>
  <c r="J93" i="5"/>
  <c r="Q93" i="5"/>
  <c r="H92" i="5"/>
  <c r="F91" i="5"/>
  <c r="G91" i="5" s="1"/>
  <c r="H91" i="5" s="1"/>
  <c r="F67" i="5"/>
  <c r="G67" i="5" s="1"/>
  <c r="H67" i="5" s="1"/>
  <c r="Q71" i="5"/>
  <c r="J71" i="5"/>
  <c r="Q106" i="5" l="1"/>
  <c r="J106" i="5"/>
  <c r="J91" i="5"/>
  <c r="Q91" i="5"/>
  <c r="C103" i="5"/>
  <c r="E103" i="5"/>
  <c r="D103" i="5"/>
  <c r="F114" i="5"/>
  <c r="G114" i="5" s="1"/>
  <c r="H114" i="5" s="1"/>
  <c r="H106" i="5"/>
  <c r="J67" i="5"/>
  <c r="Q67" i="5"/>
  <c r="B20" i="5"/>
  <c r="Q95" i="5"/>
  <c r="J95" i="5"/>
  <c r="F45" i="5"/>
  <c r="G45" i="5" s="1"/>
  <c r="J45" i="5" l="1"/>
  <c r="F21" i="5"/>
  <c r="F22" i="5" s="1"/>
  <c r="Q45" i="5"/>
  <c r="H45" i="5"/>
  <c r="C97" i="5"/>
  <c r="J114" i="5"/>
  <c r="E97" i="5"/>
  <c r="Q114" i="5"/>
  <c r="D97" i="5"/>
  <c r="F103" i="5"/>
  <c r="G103" i="5" s="1"/>
  <c r="H103" i="5" s="1"/>
  <c r="C72" i="5" l="1"/>
  <c r="E72" i="5"/>
  <c r="F97" i="5"/>
  <c r="G97" i="5" s="1"/>
  <c r="H97" i="5" s="1"/>
  <c r="Q103" i="5"/>
  <c r="J103" i="5"/>
  <c r="C98" i="5"/>
  <c r="E98" i="5"/>
  <c r="D98" i="5"/>
  <c r="F98" i="5" l="1"/>
  <c r="G98" i="5" s="1"/>
  <c r="H98" i="5" s="1"/>
  <c r="J97" i="5"/>
  <c r="Q97" i="5"/>
  <c r="F72" i="5"/>
  <c r="G72" i="5" s="1"/>
  <c r="H72" i="5" s="1"/>
  <c r="E104" i="5" l="1"/>
  <c r="J72" i="5"/>
  <c r="Q72" i="5"/>
  <c r="C104" i="5"/>
  <c r="E115" i="5"/>
  <c r="C115" i="5"/>
  <c r="D115" i="5"/>
  <c r="J98" i="5"/>
  <c r="Q98" i="5"/>
  <c r="F115" i="5" l="1"/>
  <c r="G115" i="5" s="1"/>
  <c r="F104" i="5"/>
  <c r="Q115" i="5" l="1"/>
  <c r="J115" i="5"/>
  <c r="C10" i="5"/>
  <c r="C9" i="5"/>
  <c r="G104" i="5"/>
  <c r="H115" i="5"/>
  <c r="Q104" i="5" l="1"/>
  <c r="J104" i="5"/>
  <c r="H104" i="5"/>
  <c r="E72" i="7"/>
  <c r="F72" i="7" s="1"/>
  <c r="G72" i="7" s="1"/>
  <c r="D31" i="7"/>
  <c r="D44" i="7"/>
  <c r="D34" i="7"/>
  <c r="D37" i="7"/>
  <c r="D41" i="7"/>
  <c r="D40" i="7"/>
  <c r="F40" i="7" s="1"/>
  <c r="G40" i="7" s="1"/>
  <c r="D39" i="7"/>
  <c r="D35" i="7"/>
  <c r="D36" i="7"/>
  <c r="D33" i="7"/>
  <c r="D30" i="7"/>
  <c r="E43" i="7"/>
  <c r="F43" i="7" s="1"/>
  <c r="G43" i="7" s="1"/>
  <c r="D38" i="7"/>
  <c r="D32" i="7"/>
  <c r="D42" i="7"/>
  <c r="E34" i="7"/>
  <c r="E31" i="7"/>
  <c r="F31" i="7" s="1"/>
  <c r="G31" i="7" s="1"/>
  <c r="E39" i="7"/>
  <c r="E32" i="7"/>
  <c r="E40" i="7"/>
  <c r="E33" i="7"/>
  <c r="F33" i="7" s="1"/>
  <c r="G33" i="7" s="1"/>
  <c r="E41" i="7"/>
  <c r="E38" i="7"/>
  <c r="E35" i="7"/>
  <c r="E36" i="7"/>
  <c r="E37" i="7"/>
  <c r="E30" i="7"/>
  <c r="E42" i="7"/>
  <c r="F42" i="7" s="1"/>
  <c r="G42" i="7" s="1"/>
  <c r="E44" i="7"/>
  <c r="F44" i="7" s="1"/>
  <c r="G44" i="7" s="1"/>
  <c r="D99" i="7"/>
  <c r="E99" i="7"/>
  <c r="F36" i="7" l="1"/>
  <c r="G36" i="7" s="1"/>
  <c r="F39" i="7"/>
  <c r="G39" i="7" s="1"/>
  <c r="H39" i="7" s="1"/>
  <c r="F35" i="7"/>
  <c r="G35" i="7" s="1"/>
  <c r="D111" i="7" s="1"/>
  <c r="F41" i="7"/>
  <c r="G41" i="7" s="1"/>
  <c r="H41" i="7" s="1"/>
  <c r="F99" i="7"/>
  <c r="G99" i="7" s="1"/>
  <c r="H99" i="7" s="1"/>
  <c r="F34" i="7"/>
  <c r="G34" i="7" s="1"/>
  <c r="J34" i="7" s="1"/>
  <c r="F38" i="7"/>
  <c r="G38" i="7" s="1"/>
  <c r="H38" i="7" s="1"/>
  <c r="F30" i="7"/>
  <c r="G30" i="7" s="1"/>
  <c r="H30" i="7" s="1"/>
  <c r="F37" i="7"/>
  <c r="G37" i="7" s="1"/>
  <c r="I21" i="7" s="1"/>
  <c r="I22" i="7" s="1"/>
  <c r="F32" i="7"/>
  <c r="G32" i="7" s="1"/>
  <c r="D58" i="7" s="1"/>
  <c r="C53" i="7"/>
  <c r="E53" i="7"/>
  <c r="D53" i="7"/>
  <c r="D54" i="7"/>
  <c r="C54" i="7"/>
  <c r="J36" i="7"/>
  <c r="H36" i="7"/>
  <c r="E54" i="7"/>
  <c r="D66" i="7"/>
  <c r="C66" i="7"/>
  <c r="E66" i="7"/>
  <c r="J31" i="7"/>
  <c r="H31" i="7"/>
  <c r="J72" i="7"/>
  <c r="H72" i="7"/>
  <c r="J43" i="7"/>
  <c r="H43" i="7"/>
  <c r="C20" i="7"/>
  <c r="J44" i="7"/>
  <c r="H44" i="7"/>
  <c r="C21" i="7"/>
  <c r="D102" i="7"/>
  <c r="C102" i="7"/>
  <c r="H33" i="7"/>
  <c r="J33" i="7"/>
  <c r="D62" i="7"/>
  <c r="C62" i="7"/>
  <c r="E62" i="7"/>
  <c r="E102" i="7"/>
  <c r="H40" i="7"/>
  <c r="J40" i="7"/>
  <c r="E73" i="7"/>
  <c r="J42" i="7"/>
  <c r="E50" i="7"/>
  <c r="H42" i="7"/>
  <c r="C50" i="7"/>
  <c r="D50" i="7"/>
  <c r="E63" i="7"/>
  <c r="D63" i="7"/>
  <c r="H35" i="7"/>
  <c r="J39" i="7"/>
  <c r="H21" i="7"/>
  <c r="E76" i="7"/>
  <c r="D73" i="7" l="1"/>
  <c r="G21" i="7"/>
  <c r="G22" i="7" s="1"/>
  <c r="E111" i="7"/>
  <c r="F111" i="7" s="1"/>
  <c r="G111" i="7" s="1"/>
  <c r="J111" i="7" s="1"/>
  <c r="C75" i="7"/>
  <c r="C76" i="7"/>
  <c r="C111" i="7"/>
  <c r="C73" i="7"/>
  <c r="J41" i="7"/>
  <c r="E75" i="7"/>
  <c r="J35" i="7"/>
  <c r="C63" i="7"/>
  <c r="F63" i="7" s="1"/>
  <c r="G63" i="7" s="1"/>
  <c r="H63" i="7" s="1"/>
  <c r="D75" i="7"/>
  <c r="F75" i="7" s="1"/>
  <c r="G75" i="7" s="1"/>
  <c r="H75" i="7" s="1"/>
  <c r="D76" i="7"/>
  <c r="D51" i="7"/>
  <c r="C57" i="7"/>
  <c r="H22" i="7"/>
  <c r="C100" i="7" s="1"/>
  <c r="E56" i="7"/>
  <c r="J38" i="7"/>
  <c r="J30" i="7"/>
  <c r="J99" i="7"/>
  <c r="E58" i="7"/>
  <c r="J37" i="7"/>
  <c r="C77" i="7"/>
  <c r="H37" i="7"/>
  <c r="C56" i="7"/>
  <c r="E57" i="7"/>
  <c r="C51" i="7"/>
  <c r="D56" i="7"/>
  <c r="E51" i="7"/>
  <c r="H34" i="7"/>
  <c r="H32" i="7"/>
  <c r="D57" i="7"/>
  <c r="D77" i="7"/>
  <c r="J32" i="7"/>
  <c r="D100" i="7"/>
  <c r="F76" i="7"/>
  <c r="G76" i="7" s="1"/>
  <c r="H20" i="7" s="1"/>
  <c r="E77" i="7"/>
  <c r="C58" i="7"/>
  <c r="F53" i="7"/>
  <c r="G53" i="7" s="1"/>
  <c r="J53" i="7" s="1"/>
  <c r="F62" i="7"/>
  <c r="G62" i="7" s="1"/>
  <c r="F102" i="7"/>
  <c r="G102" i="7" s="1"/>
  <c r="J102" i="7" s="1"/>
  <c r="F73" i="7"/>
  <c r="G73" i="7" s="1"/>
  <c r="H73" i="7" s="1"/>
  <c r="F54" i="7"/>
  <c r="G54" i="7" s="1"/>
  <c r="F50" i="7"/>
  <c r="G50" i="7" s="1"/>
  <c r="F66" i="7"/>
  <c r="G66" i="7" s="1"/>
  <c r="H66" i="7" s="1"/>
  <c r="E100" i="7" l="1"/>
  <c r="D112" i="7"/>
  <c r="F56" i="7"/>
  <c r="G56" i="7" s="1"/>
  <c r="C60" i="7" s="1"/>
  <c r="J76" i="7"/>
  <c r="H76" i="7"/>
  <c r="F58" i="7"/>
  <c r="G58" i="7" s="1"/>
  <c r="J58" i="7" s="1"/>
  <c r="F100" i="7"/>
  <c r="G100" i="7" s="1"/>
  <c r="H100" i="7" s="1"/>
  <c r="F57" i="7"/>
  <c r="G57" i="7" s="1"/>
  <c r="D110" i="7" s="1"/>
  <c r="G110" i="7" s="1"/>
  <c r="F51" i="7"/>
  <c r="G51" i="7" s="1"/>
  <c r="H51" i="7" s="1"/>
  <c r="F77" i="7"/>
  <c r="G77" i="7" s="1"/>
  <c r="H77" i="7" s="1"/>
  <c r="E112" i="7"/>
  <c r="H102" i="7"/>
  <c r="H111" i="7"/>
  <c r="G20" i="7"/>
  <c r="J75" i="7"/>
  <c r="J54" i="7"/>
  <c r="H53" i="7"/>
  <c r="C78" i="7"/>
  <c r="E78" i="7"/>
  <c r="J73" i="7"/>
  <c r="D78" i="7"/>
  <c r="C74" i="7"/>
  <c r="E64" i="7"/>
  <c r="J62" i="7"/>
  <c r="D64" i="7"/>
  <c r="C64" i="7"/>
  <c r="C112" i="7"/>
  <c r="E55" i="7"/>
  <c r="C55" i="7"/>
  <c r="D55" i="7"/>
  <c r="J50" i="7"/>
  <c r="H62" i="7"/>
  <c r="E60" i="7"/>
  <c r="D60" i="7"/>
  <c r="D74" i="7"/>
  <c r="J66" i="7"/>
  <c r="B21" i="7"/>
  <c r="B22" i="7" s="1"/>
  <c r="H50" i="7"/>
  <c r="H54" i="7"/>
  <c r="J63" i="7"/>
  <c r="D21" i="7"/>
  <c r="D22" i="7" s="1"/>
  <c r="E74" i="7"/>
  <c r="J56" i="7" l="1"/>
  <c r="H56" i="7"/>
  <c r="D52" i="7"/>
  <c r="J51" i="7"/>
  <c r="I20" i="7"/>
  <c r="D105" i="7"/>
  <c r="H58" i="7"/>
  <c r="J77" i="7"/>
  <c r="E110" i="7"/>
  <c r="E70" i="7"/>
  <c r="C101" i="7"/>
  <c r="E69" i="7"/>
  <c r="D70" i="7"/>
  <c r="C70" i="7"/>
  <c r="D59" i="7"/>
  <c r="E59" i="7"/>
  <c r="J57" i="7"/>
  <c r="E101" i="7"/>
  <c r="J100" i="7"/>
  <c r="D69" i="7"/>
  <c r="E105" i="7"/>
  <c r="C59" i="7"/>
  <c r="C105" i="7"/>
  <c r="D101" i="7"/>
  <c r="E52" i="7"/>
  <c r="C110" i="7"/>
  <c r="F110" i="7" s="1"/>
  <c r="C69" i="7"/>
  <c r="H57" i="7"/>
  <c r="C52" i="7"/>
  <c r="C68" i="7"/>
  <c r="E68" i="7"/>
  <c r="D68" i="7"/>
  <c r="F78" i="7"/>
  <c r="G78" i="7" s="1"/>
  <c r="H78" i="7" s="1"/>
  <c r="F64" i="7"/>
  <c r="G64" i="7" s="1"/>
  <c r="H64" i="7" s="1"/>
  <c r="F55" i="7"/>
  <c r="G55" i="7" s="1"/>
  <c r="J55" i="7" s="1"/>
  <c r="F112" i="7"/>
  <c r="G112" i="7" s="1"/>
  <c r="J112" i="7" s="1"/>
  <c r="F74" i="7"/>
  <c r="G74" i="7" s="1"/>
  <c r="J74" i="7" s="1"/>
  <c r="C65" i="7"/>
  <c r="E65" i="7"/>
  <c r="D65" i="7"/>
  <c r="J110" i="7"/>
  <c r="F60" i="7"/>
  <c r="G60" i="7" s="1"/>
  <c r="H60" i="7" s="1"/>
  <c r="F70" i="7" l="1"/>
  <c r="G70" i="7" s="1"/>
  <c r="H70" i="7" s="1"/>
  <c r="F52" i="7"/>
  <c r="G52" i="7" s="1"/>
  <c r="C94" i="7" s="1"/>
  <c r="F69" i="7"/>
  <c r="G69" i="7" s="1"/>
  <c r="H69" i="7" s="1"/>
  <c r="F101" i="7"/>
  <c r="C16" i="7" s="1"/>
  <c r="F105" i="7"/>
  <c r="G105" i="7" s="1"/>
  <c r="J105" i="7" s="1"/>
  <c r="F59" i="7"/>
  <c r="G59" i="7" s="1"/>
  <c r="C96" i="7" s="1"/>
  <c r="H110" i="7"/>
  <c r="H112" i="7"/>
  <c r="E96" i="7"/>
  <c r="H55" i="7"/>
  <c r="D96" i="7"/>
  <c r="F96" i="7" s="1"/>
  <c r="G96" i="7" s="1"/>
  <c r="H74" i="7"/>
  <c r="J52" i="7"/>
  <c r="D94" i="7"/>
  <c r="E94" i="7"/>
  <c r="J70" i="7"/>
  <c r="J60" i="7"/>
  <c r="D61" i="7"/>
  <c r="E61" i="7"/>
  <c r="C61" i="7"/>
  <c r="J64" i="7"/>
  <c r="D20" i="7"/>
  <c r="F68" i="7"/>
  <c r="G68" i="7" s="1"/>
  <c r="J78" i="7"/>
  <c r="J20" i="7"/>
  <c r="F65" i="7"/>
  <c r="G65" i="7" s="1"/>
  <c r="J65" i="7" s="1"/>
  <c r="H52" i="7" l="1"/>
  <c r="E21" i="7"/>
  <c r="E22" i="7" s="1"/>
  <c r="D71" i="7" s="1"/>
  <c r="J69" i="7"/>
  <c r="E20" i="7"/>
  <c r="G101" i="7"/>
  <c r="E113" i="7"/>
  <c r="J59" i="7"/>
  <c r="H105" i="7"/>
  <c r="C113" i="7"/>
  <c r="H59" i="7"/>
  <c r="D113" i="7"/>
  <c r="H65" i="7"/>
  <c r="E93" i="7"/>
  <c r="F94" i="7"/>
  <c r="G94" i="7" s="1"/>
  <c r="D93" i="7"/>
  <c r="J96" i="7"/>
  <c r="C104" i="7"/>
  <c r="E104" i="7"/>
  <c r="J101" i="7"/>
  <c r="H101" i="7"/>
  <c r="C93" i="7"/>
  <c r="J68" i="7"/>
  <c r="D92" i="7"/>
  <c r="C92" i="7"/>
  <c r="E92" i="7"/>
  <c r="H68" i="7"/>
  <c r="F61" i="7"/>
  <c r="G61" i="7" s="1"/>
  <c r="H61" i="7" s="1"/>
  <c r="H96" i="7"/>
  <c r="C71" i="7" l="1"/>
  <c r="F71" i="7" s="1"/>
  <c r="G71" i="7" s="1"/>
  <c r="J71" i="7" s="1"/>
  <c r="E71" i="7"/>
  <c r="F113" i="7"/>
  <c r="G113" i="7" s="1"/>
  <c r="H113" i="7" s="1"/>
  <c r="J94" i="7"/>
  <c r="F92" i="7"/>
  <c r="G92" i="7" s="1"/>
  <c r="H92" i="7" s="1"/>
  <c r="H94" i="7"/>
  <c r="D91" i="7"/>
  <c r="C91" i="7"/>
  <c r="E67" i="7"/>
  <c r="C67" i="7"/>
  <c r="D67" i="7"/>
  <c r="E91" i="7"/>
  <c r="J61" i="7"/>
  <c r="D106" i="7"/>
  <c r="E106" i="7"/>
  <c r="C106" i="7"/>
  <c r="F104" i="7"/>
  <c r="F93" i="7"/>
  <c r="G93" i="7" s="1"/>
  <c r="J113" i="7" l="1"/>
  <c r="F91" i="7"/>
  <c r="G91" i="7" s="1"/>
  <c r="H91" i="7" s="1"/>
  <c r="D95" i="7"/>
  <c r="F106" i="7"/>
  <c r="G106" i="7" s="1"/>
  <c r="J106" i="7" s="1"/>
  <c r="H71" i="7"/>
  <c r="E95" i="7"/>
  <c r="C114" i="7"/>
  <c r="D114" i="7"/>
  <c r="E114" i="7"/>
  <c r="J93" i="7"/>
  <c r="C95" i="7"/>
  <c r="C45" i="7"/>
  <c r="E45" i="7"/>
  <c r="J92" i="7"/>
  <c r="H93" i="7"/>
  <c r="C9" i="7"/>
  <c r="G104" i="7"/>
  <c r="C10" i="7"/>
  <c r="F67" i="7"/>
  <c r="G67" i="7" s="1"/>
  <c r="J67" i="7" l="1"/>
  <c r="B20" i="7"/>
  <c r="F95" i="7"/>
  <c r="G95" i="7" s="1"/>
  <c r="H106" i="7"/>
  <c r="H67" i="7"/>
  <c r="J104" i="7"/>
  <c r="H104" i="7"/>
  <c r="F114" i="7"/>
  <c r="G114" i="7" s="1"/>
  <c r="F45" i="7"/>
  <c r="G45" i="7" s="1"/>
  <c r="J91" i="7"/>
  <c r="E103" i="7"/>
  <c r="D103" i="7"/>
  <c r="C103" i="7"/>
  <c r="C97" i="7" l="1"/>
  <c r="E97" i="7"/>
  <c r="D97" i="7"/>
  <c r="J114" i="7"/>
  <c r="C115" i="7"/>
  <c r="D115" i="7"/>
  <c r="E115" i="7"/>
  <c r="F21" i="7"/>
  <c r="J45" i="7"/>
  <c r="H114" i="7"/>
  <c r="F103" i="7"/>
  <c r="G103" i="7" s="1"/>
  <c r="J103" i="7" s="1"/>
  <c r="J95" i="7"/>
  <c r="H45" i="7"/>
  <c r="H95" i="7"/>
  <c r="H103" i="7" l="1"/>
  <c r="D98" i="7"/>
  <c r="F115" i="7"/>
  <c r="G115" i="7" s="1"/>
  <c r="J115" i="7" s="1"/>
  <c r="E98" i="7"/>
  <c r="C98" i="7"/>
  <c r="F97" i="7"/>
  <c r="G97" i="7" s="1"/>
  <c r="J97" i="7" s="1"/>
  <c r="H115" i="7" l="1"/>
  <c r="H97" i="7"/>
  <c r="F98" i="7"/>
  <c r="G98" i="7" s="1"/>
  <c r="J98" i="7" s="1"/>
  <c r="H98" i="7" l="1"/>
  <c r="C30" i="6"/>
  <c r="C37" i="6"/>
  <c r="C99" i="6"/>
  <c r="C42" i="6"/>
  <c r="C40" i="6"/>
  <c r="C33" i="6"/>
  <c r="C44" i="6"/>
  <c r="C41" i="6"/>
  <c r="C31" i="6"/>
  <c r="C32" i="6"/>
  <c r="C39" i="6"/>
  <c r="C38" i="6"/>
  <c r="C34" i="6"/>
  <c r="C36" i="6"/>
  <c r="C35" i="6"/>
  <c r="C72" i="6"/>
  <c r="D44" i="6"/>
  <c r="D35" i="6"/>
  <c r="D30" i="6"/>
  <c r="F30" i="6" s="1"/>
  <c r="G30" i="6" s="1"/>
  <c r="D34" i="6"/>
  <c r="D40" i="6"/>
  <c r="D42" i="6"/>
  <c r="D37" i="6"/>
  <c r="D41" i="6"/>
  <c r="D38" i="6"/>
  <c r="D32" i="6"/>
  <c r="E72" i="6"/>
  <c r="F72" i="6" s="1"/>
  <c r="G72" i="6" s="1"/>
  <c r="D31" i="6"/>
  <c r="E43" i="6"/>
  <c r="F43" i="6" s="1"/>
  <c r="G43" i="6" s="1"/>
  <c r="D39" i="6"/>
  <c r="D33" i="6"/>
  <c r="D36" i="6"/>
  <c r="E99" i="6"/>
  <c r="E36" i="6"/>
  <c r="E33" i="6"/>
  <c r="E40" i="6"/>
  <c r="E30" i="6"/>
  <c r="E38" i="6"/>
  <c r="E42" i="6"/>
  <c r="E39" i="6"/>
  <c r="E35" i="6"/>
  <c r="E34" i="6"/>
  <c r="E44" i="6"/>
  <c r="F44" i="6" s="1"/>
  <c r="G44" i="6" s="1"/>
  <c r="H44" i="6" s="1"/>
  <c r="E37" i="6"/>
  <c r="E31" i="6"/>
  <c r="E32" i="6"/>
  <c r="D99" i="6"/>
  <c r="E41" i="6"/>
  <c r="F35" i="6" l="1"/>
  <c r="G35" i="6" s="1"/>
  <c r="F31" i="6"/>
  <c r="G31" i="6" s="1"/>
  <c r="D66" i="6" s="1"/>
  <c r="F38" i="6"/>
  <c r="G38" i="6" s="1"/>
  <c r="J38" i="6" s="1"/>
  <c r="F99" i="6"/>
  <c r="G99" i="6" s="1"/>
  <c r="H99" i="6" s="1"/>
  <c r="F42" i="6"/>
  <c r="G42" i="6" s="1"/>
  <c r="J42" i="6" s="1"/>
  <c r="F33" i="6"/>
  <c r="G33" i="6" s="1"/>
  <c r="E102" i="6" s="1"/>
  <c r="F36" i="6"/>
  <c r="G36" i="6" s="1"/>
  <c r="F34" i="6"/>
  <c r="G34" i="6" s="1"/>
  <c r="J34" i="6" s="1"/>
  <c r="F41" i="6"/>
  <c r="G41" i="6" s="1"/>
  <c r="H41" i="6" s="1"/>
  <c r="F39" i="6"/>
  <c r="G39" i="6" s="1"/>
  <c r="E63" i="6" s="1"/>
  <c r="F37" i="6"/>
  <c r="G37" i="6" s="1"/>
  <c r="I21" i="6" s="1"/>
  <c r="I22" i="6" s="1"/>
  <c r="F32" i="6"/>
  <c r="G32" i="6" s="1"/>
  <c r="D58" i="6" s="1"/>
  <c r="F40" i="6"/>
  <c r="G40" i="6" s="1"/>
  <c r="D73" i="6" s="1"/>
  <c r="H72" i="6"/>
  <c r="J72" i="6"/>
  <c r="J43" i="6"/>
  <c r="C20" i="6"/>
  <c r="H43" i="6"/>
  <c r="J99" i="6"/>
  <c r="J30" i="6"/>
  <c r="E51" i="6"/>
  <c r="C56" i="6"/>
  <c r="D56" i="6"/>
  <c r="D57" i="6"/>
  <c r="H30" i="6"/>
  <c r="D51" i="6"/>
  <c r="C57" i="6"/>
  <c r="E56" i="6"/>
  <c r="C51" i="6"/>
  <c r="D76" i="6"/>
  <c r="H35" i="6"/>
  <c r="C111" i="6"/>
  <c r="E111" i="6"/>
  <c r="C76" i="6"/>
  <c r="D111" i="6"/>
  <c r="J35" i="6"/>
  <c r="E76" i="6"/>
  <c r="E66" i="6"/>
  <c r="J31" i="6"/>
  <c r="H21" i="6"/>
  <c r="H22" i="6" s="1"/>
  <c r="C21" i="6"/>
  <c r="E50" i="6"/>
  <c r="H31" i="6"/>
  <c r="J44" i="6"/>
  <c r="C66" i="6"/>
  <c r="E57" i="6" l="1"/>
  <c r="E73" i="6"/>
  <c r="H40" i="6"/>
  <c r="E53" i="6"/>
  <c r="H34" i="6"/>
  <c r="E62" i="6"/>
  <c r="H36" i="6"/>
  <c r="C54" i="6"/>
  <c r="D50" i="6"/>
  <c r="J36" i="6"/>
  <c r="H39" i="6"/>
  <c r="E54" i="6"/>
  <c r="D54" i="6"/>
  <c r="D63" i="6"/>
  <c r="C53" i="6"/>
  <c r="D62" i="6"/>
  <c r="C62" i="6"/>
  <c r="C50" i="6"/>
  <c r="C102" i="6"/>
  <c r="H38" i="6"/>
  <c r="H33" i="6"/>
  <c r="D102" i="6"/>
  <c r="H42" i="6"/>
  <c r="J33" i="6"/>
  <c r="C73" i="6"/>
  <c r="F73" i="6" s="1"/>
  <c r="G73" i="6" s="1"/>
  <c r="E75" i="6"/>
  <c r="H37" i="6"/>
  <c r="C63" i="6"/>
  <c r="H32" i="6"/>
  <c r="G21" i="6"/>
  <c r="G22" i="6" s="1"/>
  <c r="J37" i="6"/>
  <c r="J39" i="6"/>
  <c r="D53" i="6"/>
  <c r="J40" i="6"/>
  <c r="J32" i="6"/>
  <c r="C77" i="6"/>
  <c r="D75" i="6"/>
  <c r="E58" i="6"/>
  <c r="J41" i="6"/>
  <c r="C75" i="6"/>
  <c r="D77" i="6"/>
  <c r="C58" i="6"/>
  <c r="E77" i="6"/>
  <c r="F56" i="6"/>
  <c r="G56" i="6" s="1"/>
  <c r="H56" i="6" s="1"/>
  <c r="F51" i="6"/>
  <c r="G51" i="6" s="1"/>
  <c r="F57" i="6"/>
  <c r="G57" i="6" s="1"/>
  <c r="H57" i="6" s="1"/>
  <c r="C100" i="6"/>
  <c r="E100" i="6"/>
  <c r="F111" i="6"/>
  <c r="G111" i="6" s="1"/>
  <c r="J111" i="6" s="1"/>
  <c r="D100" i="6"/>
  <c r="F66" i="6"/>
  <c r="G66" i="6" s="1"/>
  <c r="H66" i="6" s="1"/>
  <c r="F76" i="6"/>
  <c r="G76" i="6" s="1"/>
  <c r="H76" i="6" s="1"/>
  <c r="H73" i="6" l="1"/>
  <c r="F54" i="6"/>
  <c r="G54" i="6" s="1"/>
  <c r="H54" i="6" s="1"/>
  <c r="F75" i="6"/>
  <c r="G75" i="6" s="1"/>
  <c r="G20" i="6" s="1"/>
  <c r="F63" i="6"/>
  <c r="G63" i="6" s="1"/>
  <c r="H63" i="6" s="1"/>
  <c r="F58" i="6"/>
  <c r="G58" i="6" s="1"/>
  <c r="J58" i="6" s="1"/>
  <c r="F50" i="6"/>
  <c r="G50" i="6" s="1"/>
  <c r="H50" i="6" s="1"/>
  <c r="F62" i="6"/>
  <c r="G62" i="6" s="1"/>
  <c r="C112" i="6" s="1"/>
  <c r="F53" i="6"/>
  <c r="G53" i="6" s="1"/>
  <c r="J53" i="6" s="1"/>
  <c r="F102" i="6"/>
  <c r="G102" i="6" s="1"/>
  <c r="J102" i="6" s="1"/>
  <c r="F77" i="6"/>
  <c r="G77" i="6" s="1"/>
  <c r="H77" i="6" s="1"/>
  <c r="C74" i="6"/>
  <c r="J56" i="6"/>
  <c r="D70" i="6"/>
  <c r="J57" i="6"/>
  <c r="E70" i="6"/>
  <c r="C70" i="6"/>
  <c r="H111" i="6"/>
  <c r="F100" i="6"/>
  <c r="G100" i="6" s="1"/>
  <c r="H100" i="6" s="1"/>
  <c r="D21" i="6"/>
  <c r="D22" i="6" s="1"/>
  <c r="E105" i="6"/>
  <c r="D105" i="6"/>
  <c r="C105" i="6"/>
  <c r="J51" i="6"/>
  <c r="C52" i="6"/>
  <c r="D52" i="6"/>
  <c r="E52" i="6"/>
  <c r="J73" i="6"/>
  <c r="E78" i="6"/>
  <c r="D78" i="6"/>
  <c r="C78" i="6"/>
  <c r="H20" i="6"/>
  <c r="J76" i="6"/>
  <c r="E69" i="6"/>
  <c r="J54" i="6"/>
  <c r="C69" i="6"/>
  <c r="D69" i="6"/>
  <c r="E74" i="6"/>
  <c r="B21" i="6"/>
  <c r="B22" i="6" s="1"/>
  <c r="J66" i="6"/>
  <c r="H51" i="6"/>
  <c r="D74" i="6"/>
  <c r="J75" i="6" l="1"/>
  <c r="H62" i="6"/>
  <c r="E112" i="6"/>
  <c r="J50" i="6"/>
  <c r="C60" i="6"/>
  <c r="J63" i="6"/>
  <c r="D60" i="6"/>
  <c r="H58" i="6"/>
  <c r="C110" i="6"/>
  <c r="H75" i="6"/>
  <c r="I20" i="6"/>
  <c r="C55" i="6"/>
  <c r="D110" i="6"/>
  <c r="J77" i="6"/>
  <c r="D59" i="6"/>
  <c r="D112" i="6"/>
  <c r="F112" i="6" s="1"/>
  <c r="G112" i="6" s="1"/>
  <c r="J112" i="6" s="1"/>
  <c r="E110" i="6"/>
  <c r="D55" i="6"/>
  <c r="E55" i="6"/>
  <c r="E64" i="6"/>
  <c r="J62" i="6"/>
  <c r="D64" i="6"/>
  <c r="C64" i="6"/>
  <c r="E60" i="6"/>
  <c r="F60" i="6" s="1"/>
  <c r="G60" i="6" s="1"/>
  <c r="H60" i="6" s="1"/>
  <c r="E59" i="6"/>
  <c r="H102" i="6"/>
  <c r="F74" i="6"/>
  <c r="G74" i="6" s="1"/>
  <c r="J74" i="6" s="1"/>
  <c r="H53" i="6"/>
  <c r="C59" i="6"/>
  <c r="F78" i="6"/>
  <c r="G78" i="6" s="1"/>
  <c r="H78" i="6" s="1"/>
  <c r="F52" i="6"/>
  <c r="G52" i="6" s="1"/>
  <c r="H52" i="6" s="1"/>
  <c r="C68" i="6"/>
  <c r="D68" i="6"/>
  <c r="E68" i="6"/>
  <c r="F69" i="6"/>
  <c r="G69" i="6" s="1"/>
  <c r="H69" i="6" s="1"/>
  <c r="F105" i="6"/>
  <c r="G105" i="6" s="1"/>
  <c r="J105" i="6" s="1"/>
  <c r="F70" i="6"/>
  <c r="G70" i="6" s="1"/>
  <c r="C101" i="6"/>
  <c r="J100" i="6"/>
  <c r="D101" i="6"/>
  <c r="E101" i="6"/>
  <c r="D65" i="6"/>
  <c r="C65" i="6"/>
  <c r="E65" i="6"/>
  <c r="F59" i="6" l="1"/>
  <c r="G59" i="6" s="1"/>
  <c r="C96" i="6" s="1"/>
  <c r="F55" i="6"/>
  <c r="G55" i="6" s="1"/>
  <c r="J55" i="6" s="1"/>
  <c r="F110" i="6"/>
  <c r="G110" i="6" s="1"/>
  <c r="J110" i="6" s="1"/>
  <c r="F64" i="6"/>
  <c r="G64" i="6" s="1"/>
  <c r="D20" i="6" s="1"/>
  <c r="H59" i="6"/>
  <c r="H74" i="6"/>
  <c r="H112" i="6"/>
  <c r="E96" i="6"/>
  <c r="D96" i="6"/>
  <c r="J52" i="6"/>
  <c r="E94" i="6"/>
  <c r="C94" i="6"/>
  <c r="D94" i="6"/>
  <c r="H105" i="6"/>
  <c r="J70" i="6"/>
  <c r="E21" i="6"/>
  <c r="E22" i="6" s="1"/>
  <c r="H55" i="6"/>
  <c r="H110" i="6"/>
  <c r="E20" i="6"/>
  <c r="J69" i="6"/>
  <c r="F65" i="6"/>
  <c r="G65" i="6" s="1"/>
  <c r="J65" i="6" s="1"/>
  <c r="D61" i="6"/>
  <c r="J60" i="6"/>
  <c r="C61" i="6"/>
  <c r="E61" i="6"/>
  <c r="J20" i="6"/>
  <c r="J78" i="6"/>
  <c r="E113" i="6"/>
  <c r="C113" i="6"/>
  <c r="J59" i="6"/>
  <c r="D113" i="6"/>
  <c r="F101" i="6"/>
  <c r="F68" i="6"/>
  <c r="G68" i="6" s="1"/>
  <c r="H64" i="6"/>
  <c r="H70" i="6"/>
  <c r="J64" i="6" l="1"/>
  <c r="F96" i="6"/>
  <c r="G96" i="6" s="1"/>
  <c r="H65" i="6"/>
  <c r="H16" i="6"/>
  <c r="G101" i="6"/>
  <c r="C16" i="6"/>
  <c r="F61" i="6"/>
  <c r="G61" i="6" s="1"/>
  <c r="H61" i="6" s="1"/>
  <c r="C93" i="6"/>
  <c r="F113" i="6"/>
  <c r="G113" i="6" s="1"/>
  <c r="H113" i="6" s="1"/>
  <c r="J68" i="6"/>
  <c r="E92" i="6"/>
  <c r="C92" i="6"/>
  <c r="D92" i="6"/>
  <c r="D93" i="6"/>
  <c r="F94" i="6"/>
  <c r="G94" i="6" s="1"/>
  <c r="H94" i="6" s="1"/>
  <c r="H68" i="6"/>
  <c r="E71" i="6"/>
  <c r="C71" i="6"/>
  <c r="D71" i="6"/>
  <c r="E93" i="6"/>
  <c r="F71" i="6" l="1"/>
  <c r="G71" i="6" s="1"/>
  <c r="J71" i="6" s="1"/>
  <c r="F93" i="6"/>
  <c r="G93" i="6" s="1"/>
  <c r="H93" i="6" s="1"/>
  <c r="J96" i="6"/>
  <c r="C104" i="6"/>
  <c r="E104" i="6"/>
  <c r="J113" i="6"/>
  <c r="C91" i="6"/>
  <c r="J61" i="6"/>
  <c r="C67" i="6"/>
  <c r="D67" i="6"/>
  <c r="E67" i="6"/>
  <c r="E91" i="6"/>
  <c r="D91" i="6"/>
  <c r="E106" i="6"/>
  <c r="D106" i="6"/>
  <c r="C106" i="6"/>
  <c r="J94" i="6"/>
  <c r="J101" i="6"/>
  <c r="H101" i="6"/>
  <c r="F92" i="6"/>
  <c r="G92" i="6" s="1"/>
  <c r="H92" i="6" s="1"/>
  <c r="H96" i="6"/>
  <c r="D95" i="6" l="1"/>
  <c r="C95" i="6"/>
  <c r="E95" i="6"/>
  <c r="F104" i="6"/>
  <c r="E45" i="6"/>
  <c r="C45" i="6"/>
  <c r="J92" i="6"/>
  <c r="E114" i="6"/>
  <c r="J93" i="6"/>
  <c r="C114" i="6"/>
  <c r="D114" i="6"/>
  <c r="F106" i="6"/>
  <c r="G106" i="6" s="1"/>
  <c r="J106" i="6" s="1"/>
  <c r="F91" i="6"/>
  <c r="G91" i="6" s="1"/>
  <c r="H91" i="6" s="1"/>
  <c r="F67" i="6"/>
  <c r="G67" i="6" s="1"/>
  <c r="H67" i="6" s="1"/>
  <c r="H71" i="6"/>
  <c r="F95" i="6" l="1"/>
  <c r="G95" i="6" s="1"/>
  <c r="H95" i="6" s="1"/>
  <c r="H106" i="6"/>
  <c r="J67" i="6"/>
  <c r="B20" i="6"/>
  <c r="G104" i="6"/>
  <c r="C10" i="6"/>
  <c r="C9" i="6" s="1"/>
  <c r="C11" i="6"/>
  <c r="F45" i="6"/>
  <c r="G45" i="6" s="1"/>
  <c r="H45" i="6" s="1"/>
  <c r="F114" i="6"/>
  <c r="G114" i="6" s="1"/>
  <c r="J91" i="6"/>
  <c r="D103" i="6"/>
  <c r="E103" i="6"/>
  <c r="C103" i="6"/>
  <c r="J95" i="6" l="1"/>
  <c r="D97" i="6"/>
  <c r="E97" i="6"/>
  <c r="C97" i="6"/>
  <c r="J114" i="6"/>
  <c r="C115" i="6"/>
  <c r="D115" i="6"/>
  <c r="E115" i="6"/>
  <c r="H114" i="6"/>
  <c r="J45" i="6"/>
  <c r="F21" i="6"/>
  <c r="J104" i="6"/>
  <c r="H104" i="6"/>
  <c r="F103" i="6"/>
  <c r="G103" i="6" s="1"/>
  <c r="F115" i="6" l="1"/>
  <c r="G115" i="6" s="1"/>
  <c r="J115" i="6" s="1"/>
  <c r="J103" i="6"/>
  <c r="E98" i="6"/>
  <c r="C98" i="6"/>
  <c r="D98" i="6"/>
  <c r="F97" i="6"/>
  <c r="G97" i="6" s="1"/>
  <c r="J97" i="6" s="1"/>
  <c r="H103" i="6"/>
  <c r="H115" i="6" l="1"/>
  <c r="H97" i="6"/>
  <c r="F98" i="6"/>
  <c r="G98" i="6" s="1"/>
  <c r="J98" i="6" s="1"/>
  <c r="H98" i="6" l="1"/>
</calcChain>
</file>

<file path=xl/sharedStrings.xml><?xml version="1.0" encoding="utf-8"?>
<sst xmlns="http://schemas.openxmlformats.org/spreadsheetml/2006/main" count="2613" uniqueCount="261">
  <si>
    <t>预设工厂选取</t>
    <phoneticPr fontId="2" type="noConversion"/>
  </si>
  <si>
    <t>制造台</t>
    <phoneticPr fontId="2" type="noConversion"/>
  </si>
  <si>
    <t>熔炉</t>
    <phoneticPr fontId="2" type="noConversion"/>
  </si>
  <si>
    <t>化工厂</t>
    <phoneticPr fontId="2" type="noConversion"/>
  </si>
  <si>
    <t>精炼厂</t>
    <phoneticPr fontId="2" type="noConversion"/>
  </si>
  <si>
    <t>对撞机</t>
    <phoneticPr fontId="2" type="noConversion"/>
  </si>
  <si>
    <t>研究站（堆叠）</t>
    <phoneticPr fontId="2" type="noConversion"/>
  </si>
  <si>
    <t>分馏塔（每秒转速、此时耗电）</t>
    <phoneticPr fontId="2" type="noConversion"/>
  </si>
  <si>
    <t>设备倍率</t>
    <phoneticPr fontId="2" type="noConversion"/>
  </si>
  <si>
    <t>设备耗能(MW)</t>
    <phoneticPr fontId="2" type="noConversion"/>
  </si>
  <si>
    <t>预设工厂面积</t>
    <phoneticPr fontId="2" type="noConversion"/>
  </si>
  <si>
    <t>熔炉+2带</t>
    <phoneticPr fontId="2" type="noConversion"/>
  </si>
  <si>
    <t>熔炉+4带</t>
    <phoneticPr fontId="2" type="noConversion"/>
  </si>
  <si>
    <t>制造台+2带</t>
    <phoneticPr fontId="2" type="noConversion"/>
  </si>
  <si>
    <t>制造台+3带</t>
    <phoneticPr fontId="2" type="noConversion"/>
  </si>
  <si>
    <t>制造台+4带</t>
    <phoneticPr fontId="2" type="noConversion"/>
  </si>
  <si>
    <t>制造台+5带</t>
    <phoneticPr fontId="2" type="noConversion"/>
  </si>
  <si>
    <t>化工厂+2带</t>
    <phoneticPr fontId="2" type="noConversion"/>
  </si>
  <si>
    <t>化工厂+3带</t>
    <phoneticPr fontId="2" type="noConversion"/>
  </si>
  <si>
    <t>对撞机+2带</t>
    <phoneticPr fontId="2" type="noConversion"/>
  </si>
  <si>
    <t>对撞机+3带</t>
    <phoneticPr fontId="2" type="noConversion"/>
  </si>
  <si>
    <t>对撞机+4带</t>
    <phoneticPr fontId="2" type="noConversion"/>
  </si>
  <si>
    <t>精炼厂+2带</t>
    <phoneticPr fontId="2" type="noConversion"/>
  </si>
  <si>
    <t>精炼厂+3带</t>
    <phoneticPr fontId="2" type="noConversion"/>
  </si>
  <si>
    <t>研究站+1带</t>
    <phoneticPr fontId="2" type="noConversion"/>
  </si>
  <si>
    <t>研究站+3带</t>
    <phoneticPr fontId="2" type="noConversion"/>
  </si>
  <si>
    <t>研究站+7带</t>
    <phoneticPr fontId="2" type="noConversion"/>
  </si>
  <si>
    <t>小太阳</t>
    <phoneticPr fontId="2" type="noConversion"/>
  </si>
  <si>
    <t>射线接收站</t>
    <phoneticPr fontId="2" type="noConversion"/>
  </si>
  <si>
    <t>分馏塔</t>
    <phoneticPr fontId="2" type="noConversion"/>
  </si>
  <si>
    <t>抽水机</t>
    <phoneticPr fontId="2" type="noConversion"/>
  </si>
  <si>
    <t>1MW发电占地</t>
    <phoneticPr fontId="2" type="noConversion"/>
  </si>
  <si>
    <t>你所选择的发电方式</t>
    <phoneticPr fontId="2" type="noConversion"/>
  </si>
  <si>
    <t>此配方下实际值(带产线）</t>
    <phoneticPr fontId="2" type="noConversion"/>
  </si>
  <si>
    <t>仅计算发电厂的大小</t>
    <phoneticPr fontId="2" type="noConversion"/>
  </si>
  <si>
    <t>反物质燃料棒(喷涂后)</t>
    <phoneticPr fontId="2" type="noConversion"/>
  </si>
  <si>
    <t>反物质燃料棒(未喷涂)</t>
    <phoneticPr fontId="2" type="noConversion"/>
  </si>
  <si>
    <t>1喷涂/s增产剂占地</t>
    <phoneticPr fontId="2" type="noConversion"/>
  </si>
  <si>
    <t>你选择的值</t>
    <phoneticPr fontId="2" type="noConversion"/>
  </si>
  <si>
    <t>此配方下实际值</t>
    <phoneticPr fontId="2" type="noConversion"/>
  </si>
  <si>
    <t>增产剂MK3</t>
    <phoneticPr fontId="2" type="noConversion"/>
  </si>
  <si>
    <t>配方选择</t>
    <phoneticPr fontId="2" type="noConversion"/>
  </si>
  <si>
    <t>粒子容器</t>
    <phoneticPr fontId="2" type="noConversion"/>
  </si>
  <si>
    <t>重氢</t>
    <phoneticPr fontId="2" type="noConversion"/>
  </si>
  <si>
    <t>卡西米尔晶体</t>
    <phoneticPr fontId="2" type="noConversion"/>
  </si>
  <si>
    <t>光子合并器</t>
    <phoneticPr fontId="2" type="noConversion"/>
  </si>
  <si>
    <t>高能光子</t>
    <phoneticPr fontId="2" type="noConversion"/>
  </si>
  <si>
    <t>碳纳米管</t>
    <phoneticPr fontId="2" type="noConversion"/>
  </si>
  <si>
    <t>直接开采</t>
    <phoneticPr fontId="2" type="noConversion"/>
  </si>
  <si>
    <t>无</t>
    <phoneticPr fontId="2" type="noConversion"/>
  </si>
  <si>
    <t>无</t>
    <phoneticPr fontId="2" type="noConversion"/>
  </si>
  <si>
    <t>低效(分馏塔、无透镜)</t>
    <phoneticPr fontId="2" type="noConversion"/>
  </si>
  <si>
    <t>高效(对撞机，有透镜)</t>
    <phoneticPr fontId="2" type="noConversion"/>
  </si>
  <si>
    <t>你的选择</t>
    <phoneticPr fontId="2" type="noConversion"/>
  </si>
  <si>
    <t>产物增产决策占地表</t>
    <phoneticPr fontId="2" type="noConversion"/>
  </si>
  <si>
    <t>1个/s产出时占地</t>
    <phoneticPr fontId="2" type="noConversion"/>
  </si>
  <si>
    <t>物品名</t>
    <phoneticPr fontId="2" type="noConversion"/>
  </si>
  <si>
    <t>公式（原料；时间；产物(忽略副产物氢)）</t>
    <phoneticPr fontId="2" type="noConversion"/>
  </si>
  <si>
    <t>不使用增产剂</t>
    <phoneticPr fontId="2" type="noConversion"/>
  </si>
  <si>
    <t>增产</t>
    <phoneticPr fontId="2" type="noConversion"/>
  </si>
  <si>
    <t>加速</t>
    <phoneticPr fontId="2" type="noConversion"/>
  </si>
  <si>
    <t>最少占地</t>
    <phoneticPr fontId="2" type="noConversion"/>
  </si>
  <si>
    <t>你的选择(默认为最少占地)</t>
    <phoneticPr fontId="2" type="noConversion"/>
  </si>
  <si>
    <t>此时方案</t>
    <phoneticPr fontId="2" type="noConversion"/>
  </si>
  <si>
    <t>单球黑盒最高产出</t>
    <phoneticPr fontId="1" type="noConversion"/>
  </si>
  <si>
    <t>一级原料</t>
    <phoneticPr fontId="2" type="noConversion"/>
  </si>
  <si>
    <t>铁块</t>
    <phoneticPr fontId="2" type="noConversion"/>
  </si>
  <si>
    <t>1铁矿；1s；1铁块</t>
    <phoneticPr fontId="2" type="noConversion"/>
  </si>
  <si>
    <t>/min</t>
    <phoneticPr fontId="1" type="noConversion"/>
  </si>
  <si>
    <t>铜块</t>
    <phoneticPr fontId="2" type="noConversion"/>
  </si>
  <si>
    <t>1铜矿；1s；1铜块</t>
    <phoneticPr fontId="2" type="noConversion"/>
  </si>
  <si>
    <t>高纯硅块</t>
    <phoneticPr fontId="2" type="noConversion"/>
  </si>
  <si>
    <t>2硅矿；2s；1高纯硅块</t>
    <phoneticPr fontId="2" type="noConversion"/>
  </si>
  <si>
    <t>钛块</t>
    <phoneticPr fontId="2" type="noConversion"/>
  </si>
  <si>
    <t>2钛矿；2s；1钛块</t>
    <phoneticPr fontId="2" type="noConversion"/>
  </si>
  <si>
    <t>石材</t>
    <phoneticPr fontId="2" type="noConversion"/>
  </si>
  <si>
    <t>1石矿；1s；1石材</t>
    <phoneticPr fontId="2" type="noConversion"/>
  </si>
  <si>
    <t>高能石墨</t>
    <phoneticPr fontId="2" type="noConversion"/>
  </si>
  <si>
    <t>2煤矿；2s；1高能石墨</t>
    <phoneticPr fontId="2" type="noConversion"/>
  </si>
  <si>
    <t>玻璃</t>
    <phoneticPr fontId="2" type="noConversion"/>
  </si>
  <si>
    <t>2石矿；2s；1玻璃</t>
    <phoneticPr fontId="2" type="noConversion"/>
  </si>
  <si>
    <t>晶格硅(高效)</t>
    <phoneticPr fontId="2" type="noConversion"/>
  </si>
  <si>
    <t>1分形硅石；1.5s；2晶格硅（制造台）</t>
    <phoneticPr fontId="2" type="noConversion"/>
  </si>
  <si>
    <t>金刚石(高效)</t>
    <phoneticPr fontId="2" type="noConversion"/>
  </si>
  <si>
    <t>1金伯利；1.5s；2金刚石</t>
    <phoneticPr fontId="2" type="noConversion"/>
  </si>
  <si>
    <t>石墨烯</t>
    <phoneticPr fontId="2" type="noConversion"/>
  </si>
  <si>
    <t>2可燃冰；2s；2石墨烯，1氢</t>
    <phoneticPr fontId="2" type="noConversion"/>
  </si>
  <si>
    <t>精炼油</t>
    <phoneticPr fontId="2" type="noConversion"/>
  </si>
  <si>
    <t>2原油；4s；2精炼油，1氢</t>
    <phoneticPr fontId="2" type="noConversion"/>
  </si>
  <si>
    <t>碳纳米管（高效）</t>
    <phoneticPr fontId="2" type="noConversion"/>
  </si>
  <si>
    <t>6刺笋结晶；4s；2碳纳米管</t>
    <phoneticPr fontId="2" type="noConversion"/>
  </si>
  <si>
    <t>磁铁</t>
    <phoneticPr fontId="2" type="noConversion"/>
  </si>
  <si>
    <t>1铁矿；1.5s；1磁铁</t>
    <phoneticPr fontId="2" type="noConversion"/>
  </si>
  <si>
    <t>重氢(加速分馏塔)</t>
    <phoneticPr fontId="2" type="noConversion"/>
  </si>
  <si>
    <t>1氢；1s；1重氢</t>
    <phoneticPr fontId="2" type="noConversion"/>
  </si>
  <si>
    <t>已加速</t>
    <phoneticPr fontId="2" type="noConversion"/>
  </si>
  <si>
    <t>不可使用</t>
    <phoneticPr fontId="2" type="noConversion"/>
  </si>
  <si>
    <t>重氢(对撞机）</t>
    <phoneticPr fontId="2" type="noConversion"/>
  </si>
  <si>
    <t>10氢；2.5s；5重氢</t>
    <phoneticPr fontId="2" type="noConversion"/>
  </si>
  <si>
    <t>高能光子(默认带透镜)</t>
  </si>
  <si>
    <t>0.1引力透镜；60s；12高能光子</t>
    <phoneticPr fontId="2" type="noConversion"/>
  </si>
  <si>
    <t>高能光子(默认带透镜)</t>
    <phoneticPr fontId="2" type="noConversion"/>
  </si>
  <si>
    <t>常用二、三级原料与绿马达</t>
    <phoneticPr fontId="2" type="noConversion"/>
  </si>
  <si>
    <t>磁线圈</t>
    <phoneticPr fontId="2" type="noConversion"/>
  </si>
  <si>
    <t>2磁铁，1铜块；1s；2磁线圈</t>
    <phoneticPr fontId="2" type="noConversion"/>
  </si>
  <si>
    <t>钢材</t>
    <phoneticPr fontId="2" type="noConversion"/>
  </si>
  <si>
    <t>3铁块；3s；1钢材</t>
    <phoneticPr fontId="2" type="noConversion"/>
  </si>
  <si>
    <t>钛合金</t>
    <phoneticPr fontId="2" type="noConversion"/>
  </si>
  <si>
    <t>8硫酸，4钢材，4钛块；12s；4钛合金</t>
    <phoneticPr fontId="2" type="noConversion"/>
  </si>
  <si>
    <t>钛化玻璃</t>
    <phoneticPr fontId="2" type="noConversion"/>
  </si>
  <si>
    <t>2玻璃，2钛块，2水；5s；2钛化玻璃</t>
    <phoneticPr fontId="2" type="noConversion"/>
  </si>
  <si>
    <t>棱镜</t>
    <phoneticPr fontId="2" type="noConversion"/>
  </si>
  <si>
    <t>3玻璃；2s；2棱镜</t>
    <phoneticPr fontId="2" type="noConversion"/>
  </si>
  <si>
    <t>电浆激发器</t>
    <phoneticPr fontId="2" type="noConversion"/>
  </si>
  <si>
    <t>4磁线圈，2棱镜；2s；1电浆激发器</t>
    <phoneticPr fontId="2" type="noConversion"/>
  </si>
  <si>
    <t>齿轮</t>
    <phoneticPr fontId="2" type="noConversion"/>
  </si>
  <si>
    <t>1铁块；1s；1齿轮</t>
    <phoneticPr fontId="2" type="noConversion"/>
  </si>
  <si>
    <t>电路板</t>
    <phoneticPr fontId="2" type="noConversion"/>
  </si>
  <si>
    <t>2铁块，1铜块；1s；2电路板</t>
    <phoneticPr fontId="2" type="noConversion"/>
  </si>
  <si>
    <t>微晶元件</t>
    <phoneticPr fontId="2" type="noConversion"/>
  </si>
  <si>
    <t>2高纯硅块，1铜块；2s；1微晶元件</t>
    <phoneticPr fontId="2" type="noConversion"/>
  </si>
  <si>
    <t>处理器</t>
    <phoneticPr fontId="2" type="noConversion"/>
  </si>
  <si>
    <t>2电路板；2微晶元件；3s；1处理器</t>
    <phoneticPr fontId="2" type="noConversion"/>
  </si>
  <si>
    <t>电动机</t>
    <phoneticPr fontId="2" type="noConversion"/>
  </si>
  <si>
    <t>2铁块，1齿轮，1磁线圈；2s；1电动机</t>
    <phoneticPr fontId="2" type="noConversion"/>
  </si>
  <si>
    <t>电磁涡轮</t>
    <phoneticPr fontId="2" type="noConversion"/>
  </si>
  <si>
    <t>2电动机，2磁线圈；2s；1电磁涡轮</t>
    <phoneticPr fontId="2" type="noConversion"/>
  </si>
  <si>
    <t>1有机晶体，3钛块；4s；1钛晶石</t>
    <phoneticPr fontId="2" type="noConversion"/>
  </si>
  <si>
    <t>卡西米尔晶体（高效）</t>
    <phoneticPr fontId="2" type="noConversion"/>
  </si>
  <si>
    <t>8光栅石，2石墨烯，12氢；4s；1卡西米尔晶体</t>
    <phoneticPr fontId="2" type="noConversion"/>
  </si>
  <si>
    <t>卡西米尔晶体（低效）</t>
    <phoneticPr fontId="2" type="noConversion"/>
  </si>
  <si>
    <t>1钛晶石，2石墨烯，12氢；4s；1卡西米尔晶体</t>
    <phoneticPr fontId="2" type="noConversion"/>
  </si>
  <si>
    <t>位面过滤器</t>
    <phoneticPr fontId="2" type="noConversion"/>
  </si>
  <si>
    <t>1卡西米尔晶体，2钛化玻璃；12s；1位面过滤器</t>
    <phoneticPr fontId="2" type="noConversion"/>
  </si>
  <si>
    <t>粒子容器(高效）</t>
    <phoneticPr fontId="2" type="noConversion"/>
  </si>
  <si>
    <t>10单极磁石、2铜块；4s；1粒子容器</t>
    <phoneticPr fontId="2" type="noConversion"/>
  </si>
  <si>
    <t>粒子容器(低效）</t>
    <phoneticPr fontId="2" type="noConversion"/>
  </si>
  <si>
    <t>2电磁涡轮、2铜块、2石墨烯；4s；1粒子容器</t>
    <phoneticPr fontId="2" type="noConversion"/>
  </si>
  <si>
    <t>奇异物质</t>
    <phoneticPr fontId="2" type="noConversion"/>
  </si>
  <si>
    <t>2粒子容器，2铁块，10重氢；8s；1奇异物质</t>
    <phoneticPr fontId="2" type="noConversion"/>
  </si>
  <si>
    <t>光子合并器(低效)</t>
    <phoneticPr fontId="2" type="noConversion"/>
  </si>
  <si>
    <t>2棱镜，1电路板；3s；1光子合并器</t>
    <phoneticPr fontId="2" type="noConversion"/>
  </si>
  <si>
    <t>光子合并器(高效)</t>
    <phoneticPr fontId="2" type="noConversion"/>
  </si>
  <si>
    <t>1光栅石，1电路板；3s；1光子合并器</t>
    <phoneticPr fontId="2" type="noConversion"/>
  </si>
  <si>
    <t>太阳帆</t>
    <phoneticPr fontId="2" type="noConversion"/>
  </si>
  <si>
    <t>1石墨烯、1光子合并器；4s；2太阳帆</t>
    <phoneticPr fontId="2" type="noConversion"/>
  </si>
  <si>
    <t>反物质</t>
    <phoneticPr fontId="2" type="noConversion"/>
  </si>
  <si>
    <t>2高能光子；2s；2反物质，2氢</t>
    <phoneticPr fontId="2" type="noConversion"/>
  </si>
  <si>
    <t>塑料</t>
    <phoneticPr fontId="2" type="noConversion"/>
  </si>
  <si>
    <t>2精炼油，1高能石墨；3s；1塑料</t>
    <phoneticPr fontId="2" type="noConversion"/>
  </si>
  <si>
    <t>粒子宽带</t>
    <phoneticPr fontId="2" type="noConversion"/>
  </si>
  <si>
    <t>2碳纳米管，2晶格硅，1塑料；8s；1粒子宽带</t>
    <phoneticPr fontId="2" type="noConversion"/>
  </si>
  <si>
    <t>碳纳米管（低效）</t>
    <phoneticPr fontId="2" type="noConversion"/>
  </si>
  <si>
    <t>3石墨烯，1钛块；4s；2碳纳米管</t>
    <phoneticPr fontId="2" type="noConversion"/>
  </si>
  <si>
    <t>高级产物、消耗品与推进器</t>
    <phoneticPr fontId="2" type="noConversion"/>
  </si>
  <si>
    <t>超级磁场环</t>
    <phoneticPr fontId="2" type="noConversion"/>
  </si>
  <si>
    <t>2电磁涡轮，3磁铁，1高能石墨；3s；1超级磁场环</t>
    <phoneticPr fontId="2" type="noConversion"/>
  </si>
  <si>
    <t>引力透镜</t>
    <phoneticPr fontId="2" type="noConversion"/>
  </si>
  <si>
    <t>4金刚石，1奇异物质；6s；1引力透镜</t>
    <phoneticPr fontId="2" type="noConversion"/>
  </si>
  <si>
    <t>量子芯片</t>
    <phoneticPr fontId="2" type="noConversion"/>
  </si>
  <si>
    <t>2处理器，2位面过滤器；6s；1量子芯片</t>
    <phoneticPr fontId="2" type="noConversion"/>
  </si>
  <si>
    <t>框架材料</t>
    <phoneticPr fontId="2" type="noConversion"/>
  </si>
  <si>
    <t>4碳纳米管，1钛合金，1高纯硅块；6s；1框架材料</t>
    <phoneticPr fontId="2" type="noConversion"/>
  </si>
  <si>
    <t>戴森球组件</t>
    <phoneticPr fontId="2" type="noConversion"/>
  </si>
  <si>
    <t>3框架材料，3太阳帆，3处理器；8s；1戴森球组件</t>
    <phoneticPr fontId="2" type="noConversion"/>
  </si>
  <si>
    <t>湮灭约束球</t>
    <phoneticPr fontId="2" type="noConversion"/>
  </si>
  <si>
    <t>1粒子容器，1处理器；20s；1湮灭约束球</t>
    <phoneticPr fontId="2" type="noConversion"/>
  </si>
  <si>
    <t>空间翘曲器（高效）</t>
    <phoneticPr fontId="2" type="noConversion"/>
  </si>
  <si>
    <t>1引力矩阵；10s；8空间翘曲器</t>
    <phoneticPr fontId="2" type="noConversion"/>
  </si>
  <si>
    <t>小型运载火箭</t>
    <phoneticPr fontId="2" type="noConversion"/>
  </si>
  <si>
    <t>2戴森球组件，4氘核燃料棒，2量子芯片；6s；1小型运载火箭</t>
    <phoneticPr fontId="2" type="noConversion"/>
  </si>
  <si>
    <t>增产剂MK1</t>
    <phoneticPr fontId="2" type="noConversion"/>
  </si>
  <si>
    <t>1煤矿；0.5s；1增产剂MK1</t>
    <phoneticPr fontId="2" type="noConversion"/>
  </si>
  <si>
    <t>增产剂MK2</t>
    <phoneticPr fontId="2" type="noConversion"/>
  </si>
  <si>
    <t>2增产剂MK1，1金刚石；1s；1增产剂MK2</t>
    <phoneticPr fontId="2" type="noConversion"/>
  </si>
  <si>
    <t>2增产剂MK2，1碳纳米管；2s；1增产剂MK3</t>
    <phoneticPr fontId="2" type="noConversion"/>
  </si>
  <si>
    <t>液氢燃料棒</t>
    <phoneticPr fontId="2" type="noConversion"/>
  </si>
  <si>
    <t>1钛块，10氢；6s；2液氢燃料棒</t>
    <phoneticPr fontId="2" type="noConversion"/>
  </si>
  <si>
    <t>氘核燃料棒</t>
    <phoneticPr fontId="2" type="noConversion"/>
  </si>
  <si>
    <t>1钛合金，20重氢，1超级磁场环；12s；2氘核燃料棒</t>
    <phoneticPr fontId="2" type="noConversion"/>
  </si>
  <si>
    <t>反物质燃料棒</t>
    <phoneticPr fontId="2" type="noConversion"/>
  </si>
  <si>
    <t>12反物质+氢，1湮灭约束球，1钛合金；24s；2反物质燃料棒</t>
    <phoneticPr fontId="2" type="noConversion"/>
  </si>
  <si>
    <t>推进器</t>
    <phoneticPr fontId="2" type="noConversion"/>
  </si>
  <si>
    <t>2钢材，3铜块；4s；1推进器</t>
    <phoneticPr fontId="2" type="noConversion"/>
  </si>
  <si>
    <t>加力推进器</t>
    <phoneticPr fontId="2" type="noConversion"/>
  </si>
  <si>
    <t>5钛合金，5电磁涡轮；6s；1加力推进器</t>
    <phoneticPr fontId="2" type="noConversion"/>
  </si>
  <si>
    <t>研究站</t>
    <phoneticPr fontId="2" type="noConversion"/>
  </si>
  <si>
    <t>电磁矩阵</t>
    <phoneticPr fontId="2" type="noConversion"/>
  </si>
  <si>
    <t>1磁线圈，1电路板；3s；1电磁矩阵</t>
    <phoneticPr fontId="2" type="noConversion"/>
  </si>
  <si>
    <t>能量矩阵</t>
    <phoneticPr fontId="2" type="noConversion"/>
  </si>
  <si>
    <t>2高能石墨，2氢；6s；1能量矩阵</t>
    <phoneticPr fontId="2" type="noConversion"/>
  </si>
  <si>
    <t>结构矩阵</t>
    <phoneticPr fontId="2" type="noConversion"/>
  </si>
  <si>
    <t>1金刚石，1钛晶石；8s；1结构矩阵</t>
    <phoneticPr fontId="2" type="noConversion"/>
  </si>
  <si>
    <t>信息矩阵</t>
    <phoneticPr fontId="2" type="noConversion"/>
  </si>
  <si>
    <t>2处理器，1粒子宽带；10s；1信息矩阵</t>
    <phoneticPr fontId="2" type="noConversion"/>
  </si>
  <si>
    <t>引力矩阵</t>
    <phoneticPr fontId="2" type="noConversion"/>
  </si>
  <si>
    <t>1量子芯片，1引力透镜；24s；2引力矩阵</t>
    <phoneticPr fontId="2" type="noConversion"/>
  </si>
  <si>
    <t>宇宙矩阵</t>
    <phoneticPr fontId="2" type="noConversion"/>
  </si>
  <si>
    <t>1反物质，1各矩阵；15s；1宇宙矩阵</t>
    <phoneticPr fontId="2" type="noConversion"/>
  </si>
  <si>
    <t>仅使用虚空带</t>
    <phoneticPr fontId="2" type="noConversion"/>
  </si>
  <si>
    <t>不使用密铺技巧</t>
    <phoneticPr fontId="2" type="noConversion"/>
  </si>
  <si>
    <t>建筑偏移+无虚空带</t>
    <phoneticPr fontId="2" type="noConversion"/>
  </si>
  <si>
    <t>设备性能占用</t>
    <phoneticPr fontId="2" type="noConversion"/>
  </si>
  <si>
    <t>名称</t>
  </si>
  <si>
    <t>耗能</t>
  </si>
  <si>
    <t>倍率</t>
  </si>
  <si>
    <t>占地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</si>
  <si>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</si>
  <si>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</si>
  <si>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</si>
  <si>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</si>
  <si>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</si>
  <si>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</si>
  <si>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</si>
  <si>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</si>
  <si>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</si>
  <si>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</si>
  <si>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</si>
  <si>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</si>
  <si>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</si>
  <si>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</si>
  <si>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</si>
  <si>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</si>
  <si>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</si>
  <si>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</si>
  <si>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</si>
  <si>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</si>
  <si>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金刚石（低效）</t>
    <phoneticPr fontId="1" type="noConversion"/>
  </si>
  <si>
    <t>晶格硅(低效)</t>
    <phoneticPr fontId="2" type="noConversion"/>
  </si>
  <si>
    <t>1高能石墨；2s；1金刚石</t>
    <phoneticPr fontId="1" type="noConversion"/>
  </si>
  <si>
    <t>1高纯硅块；2s；1晶格硅</t>
    <phoneticPr fontId="1" type="noConversion"/>
  </si>
  <si>
    <t>晶格硅</t>
    <phoneticPr fontId="1" type="noConversion"/>
  </si>
  <si>
    <t>有机晶体</t>
    <phoneticPr fontId="1" type="noConversion"/>
  </si>
  <si>
    <t>金刚石</t>
    <phoneticPr fontId="1" type="noConversion"/>
  </si>
  <si>
    <t>无</t>
    <phoneticPr fontId="1" type="noConversion"/>
  </si>
  <si>
    <t>钛晶石</t>
    <phoneticPr fontId="2" type="noConversion"/>
  </si>
  <si>
    <t>有机晶体（低效）</t>
    <phoneticPr fontId="1" type="noConversion"/>
  </si>
  <si>
    <t>2塑料，1精炼油，1水；6s；1有机晶体</t>
    <phoneticPr fontId="1" type="noConversion"/>
  </si>
  <si>
    <t>耗电(MJ)</t>
    <phoneticPr fontId="1" type="noConversion"/>
  </si>
  <si>
    <t>全0</t>
    <phoneticPr fontId="2" type="noConversion"/>
  </si>
  <si>
    <t>注：最省电应该不放透镜</t>
    <phoneticPr fontId="1" type="noConversion"/>
  </si>
  <si>
    <t>注：最省电分馏应不集装不喷涂</t>
    <phoneticPr fontId="1" type="noConversion"/>
  </si>
  <si>
    <t>第一次输入参数</t>
    <phoneticPr fontId="1" type="noConversion"/>
  </si>
  <si>
    <t>第一次实际值</t>
    <phoneticPr fontId="1" type="noConversion"/>
  </si>
  <si>
    <t>第二次输入参数</t>
    <phoneticPr fontId="1" type="noConversion"/>
  </si>
  <si>
    <t>第二次实际值</t>
    <phoneticPr fontId="1" type="noConversion"/>
  </si>
  <si>
    <t>预计真实值</t>
    <phoneticPr fontId="1" type="noConversion"/>
  </si>
  <si>
    <t>极密铺情况下占地面积</t>
    <phoneticPr fontId="2" type="noConversion"/>
  </si>
  <si>
    <t>你选择的增产剂</t>
    <phoneticPr fontId="2" type="noConversion"/>
  </si>
  <si>
    <t>输入值</t>
    <phoneticPr fontId="2" type="noConversion"/>
  </si>
  <si>
    <t>耗电倍率</t>
    <phoneticPr fontId="1" type="noConversion"/>
  </si>
  <si>
    <t>增产倍率</t>
    <phoneticPr fontId="1" type="noConversion"/>
  </si>
  <si>
    <t>加速倍率</t>
    <phoneticPr fontId="1" type="noConversion"/>
  </si>
  <si>
    <t>不偏移最优铺法算上带子的占用估算54k处理器</t>
    <phoneticPr fontId="1" type="noConversion"/>
  </si>
  <si>
    <t>不偏移最优铺法算上带子的占用估算900k位面混带</t>
    <phoneticPr fontId="1" type="noConversion"/>
  </si>
  <si>
    <t>设备性能占用</t>
  </si>
  <si>
    <t>新极密铺情况下占地面积</t>
    <phoneticPr fontId="2" type="noConversion"/>
  </si>
  <si>
    <t>二级增产</t>
    <phoneticPr fontId="1" type="noConversion"/>
  </si>
  <si>
    <t>全1</t>
    <phoneticPr fontId="2" type="noConversion"/>
  </si>
  <si>
    <t>喷涂黄棒(估算)</t>
    <phoneticPr fontId="1" type="noConversion"/>
  </si>
  <si>
    <t>算增产不算光子接收站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</si>
</sst>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3"/>
      <charset val="134"/>
      <scheme val="minor"/>
    </font>
    <font>
      <sz val="15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31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3C66-A95B-49D1-8F1E-A9EA2B5E27C5}">
  <dimension ref="A1:U115"/>
  <sheetViews>
    <sheetView zoomScale="85" zoomScaleNormal="85" workbookViewId="0">
      <selection activeCell="B2" sqref="B2:G3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3</v>
      </c>
      <c r="C2" s="1">
        <v>3</v>
      </c>
      <c r="D2" s="1">
        <v>2</v>
      </c>
      <c r="E2" s="1">
        <v>1</v>
      </c>
      <c r="F2" s="1">
        <v>1</v>
      </c>
      <c r="G2" s="1">
        <v>45</v>
      </c>
      <c r="H2" s="1">
        <f>2.283152383</f>
        <v>2.283152383</v>
      </c>
    </row>
    <row r="3" spans="1:21" x14ac:dyDescent="0.2">
      <c r="A3" s="1" t="s">
        <v>9</v>
      </c>
      <c r="B3" s="1">
        <v>2.88</v>
      </c>
      <c r="C3" s="1">
        <v>2.88</v>
      </c>
      <c r="D3" s="1">
        <v>2.16</v>
      </c>
      <c r="E3" s="1">
        <v>0.96</v>
      </c>
      <c r="F3" s="1">
        <v>12</v>
      </c>
      <c r="G3" s="1">
        <f>1.92*15</f>
        <v>28.799999999999997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256</v>
      </c>
      <c r="B6" s="1">
        <v>6.96</v>
      </c>
      <c r="C6" s="1">
        <v>8.16</v>
      </c>
      <c r="D6" s="1">
        <v>10.88</v>
      </c>
      <c r="E6" s="1">
        <v>10.88</v>
      </c>
      <c r="F6" s="1">
        <v>11.52</v>
      </c>
      <c r="G6" s="1">
        <v>11.52</v>
      </c>
      <c r="H6" s="1">
        <v>26.4</v>
      </c>
      <c r="I6" s="1">
        <v>26.4</v>
      </c>
      <c r="J6" s="1">
        <v>47.5</v>
      </c>
      <c r="K6" s="1">
        <v>47.5</v>
      </c>
      <c r="L6" s="1">
        <v>52.25</v>
      </c>
      <c r="M6" s="1">
        <v>19.5</v>
      </c>
      <c r="N6" s="1">
        <v>19.5</v>
      </c>
      <c r="O6" s="1">
        <v>22.5</v>
      </c>
      <c r="P6" s="1">
        <v>22.5</v>
      </c>
      <c r="Q6" s="1">
        <v>22.5</v>
      </c>
      <c r="R6" s="1">
        <v>48.96</v>
      </c>
      <c r="S6" s="1">
        <v>54.824300000000001</v>
      </c>
      <c r="T6" s="1">
        <v>16.670000000000002</v>
      </c>
      <c r="U6" s="1">
        <v>10.5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f>0.34/2</f>
        <v>0.17</v>
      </c>
      <c r="C9" s="1">
        <f>(F104+F101/74+50*R6)/7200</f>
        <v>0.37433685035035036</v>
      </c>
      <c r="D9" s="1">
        <f>50*R6/7200</f>
        <v>0.34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0.71428903703703706</v>
      </c>
      <c r="D10" s="1">
        <f>100*R6/7200</f>
        <v>0.68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</v>
      </c>
      <c r="C16" s="1">
        <f>F101/74</f>
        <v>0.34425585585585583</v>
      </c>
      <c r="D16" s="1">
        <v>0</v>
      </c>
      <c r="E16" s="1">
        <v>0.37016936936936939</v>
      </c>
      <c r="F16" s="1">
        <v>0.37016936936936939</v>
      </c>
      <c r="G16" s="1">
        <v>0.43820049671292916</v>
      </c>
      <c r="H16" s="1">
        <f>(G16-F16)/(1-(E16-G16)/(D16-F16))+F16</f>
        <v>0.45351876379690947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82.678453333333323</v>
      </c>
      <c r="C20" s="1">
        <f>G43</f>
        <v>8.0260602343247101</v>
      </c>
      <c r="D20" s="1">
        <f>G64</f>
        <v>37.523466666666664</v>
      </c>
      <c r="E20" s="1">
        <f>G69</f>
        <v>21.325333333333333</v>
      </c>
      <c r="F20" s="1">
        <f>10*S6</f>
        <v>548.24300000000005</v>
      </c>
      <c r="G20" s="1">
        <f>G75</f>
        <v>25.267249999999997</v>
      </c>
      <c r="H20" s="1">
        <f>G76</f>
        <v>5.4559999999999995</v>
      </c>
      <c r="I20" s="1">
        <f>G77</f>
        <v>5.4559999999999995</v>
      </c>
      <c r="J20" s="1">
        <f>G78</f>
        <v>181.01968000000002</v>
      </c>
    </row>
    <row r="21" spans="1:11" x14ac:dyDescent="0.2">
      <c r="A21" s="1" t="s">
        <v>52</v>
      </c>
      <c r="B21" s="1">
        <f>G66</f>
        <v>10.797333333333333</v>
      </c>
      <c r="C21" s="1">
        <f>G44</f>
        <v>13.15</v>
      </c>
      <c r="D21" s="1">
        <f>G63</f>
        <v>22.154999999999998</v>
      </c>
      <c r="E21" s="1">
        <f>G70</f>
        <v>9.1066666666666674</v>
      </c>
      <c r="F21" s="1">
        <f>G45</f>
        <v>138.00082555555556</v>
      </c>
      <c r="G21" s="1">
        <f>G41</f>
        <v>13.658999999999999</v>
      </c>
      <c r="H21" s="1">
        <f>G35</f>
        <v>2.7280000000000002</v>
      </c>
      <c r="I21" s="1">
        <f>G37</f>
        <v>1.5130000000000001</v>
      </c>
      <c r="J21" s="1" t="s">
        <v>234</v>
      </c>
    </row>
    <row r="22" spans="1:11" x14ac:dyDescent="0.2">
      <c r="A22" s="1" t="s">
        <v>53</v>
      </c>
      <c r="B22" s="1">
        <f>B21</f>
        <v>10.797333333333333</v>
      </c>
      <c r="C22" s="1">
        <f>C19</f>
        <v>0</v>
      </c>
      <c r="D22" s="1">
        <f>D21</f>
        <v>22.154999999999998</v>
      </c>
      <c r="E22" s="1">
        <f>E21</f>
        <v>9.1066666666666674</v>
      </c>
      <c r="F22" s="1">
        <f>F19</f>
        <v>0</v>
      </c>
      <c r="G22" s="1">
        <f>G21</f>
        <v>13.658999999999999</v>
      </c>
      <c r="H22" s="1">
        <f>G38</f>
        <v>1.0230000000000001</v>
      </c>
      <c r="I22" s="1">
        <f>I21</f>
        <v>1.5130000000000001</v>
      </c>
      <c r="J22" s="1">
        <f>J19</f>
        <v>0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64</v>
      </c>
    </row>
    <row r="29" spans="1:11" ht="19.5" x14ac:dyDescent="0.2">
      <c r="A29" s="2" t="s">
        <v>65</v>
      </c>
      <c r="B29" s="2"/>
      <c r="C29" s="2"/>
      <c r="D29" s="2"/>
      <c r="E29" s="2"/>
      <c r="F29" s="2"/>
    </row>
    <row r="30" spans="1:11" x14ac:dyDescent="0.2">
      <c r="A30" s="1" t="s">
        <v>66</v>
      </c>
      <c r="B30" s="1" t="s">
        <v>67</v>
      </c>
      <c r="C30" s="1">
        <f>(B6+C3*B9)/C2</f>
        <v>2.4832000000000001</v>
      </c>
      <c r="D30" s="1">
        <f>((B6+C3*B9*2.5)/C2+B16)/1.25</f>
        <v>2.1824000000000003</v>
      </c>
      <c r="E30" s="1">
        <f>((B6+C3*B9*2.5)/C2+2*B16)/2</f>
        <v>1.3640000000000001</v>
      </c>
      <c r="F30" s="1">
        <f>MIN(C30:E30)</f>
        <v>1.3640000000000001</v>
      </c>
      <c r="G30" s="1">
        <f>F30</f>
        <v>1.3640000000000001</v>
      </c>
      <c r="H30" s="1" t="str">
        <f t="shared" ref="H30:H37" si="0">IF(C30=G30,"不使用增产剂","")&amp;IF(D30=G30,"增产","")&amp;IF(E30=G30,"加速","")</f>
        <v>加速</v>
      </c>
      <c r="I30" s="1" t="s">
        <v>66</v>
      </c>
      <c r="J30" s="1">
        <f t="shared" ref="J30:J45" si="1">60*318310/G30</f>
        <v>14001906.158357771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2.4832000000000001</v>
      </c>
      <c r="D31" s="1">
        <f>((B6+C3*B9*2.5)/C2+B16)/1.25</f>
        <v>2.1824000000000003</v>
      </c>
      <c r="E31" s="1">
        <f>((B6+C3*B9*2.5)/C2+2*B16)/2</f>
        <v>1.3640000000000001</v>
      </c>
      <c r="F31" s="1">
        <f t="shared" ref="F31:F44" si="2">MIN(C31:E31)</f>
        <v>1.3640000000000001</v>
      </c>
      <c r="G31" s="1">
        <f t="shared" ref="G31:G44" si="3">F31</f>
        <v>1.3640000000000001</v>
      </c>
      <c r="H31" s="1" t="str">
        <f t="shared" si="0"/>
        <v>加速</v>
      </c>
      <c r="I31" s="1" t="s">
        <v>69</v>
      </c>
      <c r="J31" s="1">
        <f t="shared" si="1"/>
        <v>14001906.158357771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4.9664000000000001</v>
      </c>
      <c r="D32" s="1">
        <f>(2*(B6+C3*B9*2.5)/C2+2*B16)/1.25</f>
        <v>4.3648000000000007</v>
      </c>
      <c r="E32" s="1">
        <f>(2*(B6+C3*B9*2.5)/C2+4*B16)/2</f>
        <v>2.7280000000000002</v>
      </c>
      <c r="F32" s="1">
        <f t="shared" si="2"/>
        <v>2.7280000000000002</v>
      </c>
      <c r="G32" s="1">
        <f t="shared" si="3"/>
        <v>2.7280000000000002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1"/>
        <v>7000953.0791788856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4.9664000000000001</v>
      </c>
      <c r="D33" s="1">
        <f>(2*(B6+C3*B9*2.5)/C2+2*B16)/1.25</f>
        <v>4.3648000000000007</v>
      </c>
      <c r="E33" s="1">
        <f>(2*(B6+C3*B9*2.5)/C2+4*B16)/2</f>
        <v>2.7280000000000002</v>
      </c>
      <c r="F33" s="1">
        <f t="shared" si="2"/>
        <v>2.7280000000000002</v>
      </c>
      <c r="G33" s="1">
        <f t="shared" si="3"/>
        <v>2.7280000000000002</v>
      </c>
      <c r="H33" s="1" t="str">
        <f t="shared" si="0"/>
        <v>加速</v>
      </c>
      <c r="I33" s="1" t="s">
        <v>73</v>
      </c>
      <c r="J33" s="1">
        <f t="shared" si="1"/>
        <v>7000953.0791788856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2.4832000000000001</v>
      </c>
      <c r="D34" s="1">
        <f>((B6+C3*B9*2.5)/C2+B16)/1.25</f>
        <v>2.1824000000000003</v>
      </c>
      <c r="E34" s="1">
        <f>((B6+C3*B9*2.5)/C2+2*B16)/2</f>
        <v>1.3640000000000001</v>
      </c>
      <c r="F34" s="1">
        <f t="shared" si="2"/>
        <v>1.3640000000000001</v>
      </c>
      <c r="G34" s="1">
        <f t="shared" si="3"/>
        <v>1.3640000000000001</v>
      </c>
      <c r="H34" s="1" t="str">
        <f t="shared" si="0"/>
        <v>加速</v>
      </c>
      <c r="I34" s="1" t="s">
        <v>75</v>
      </c>
      <c r="J34" s="1">
        <f t="shared" si="1"/>
        <v>14001906.158357771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4.9664000000000001</v>
      </c>
      <c r="D35" s="1">
        <f>(2*(B6+C3*B9*2.5)/C2+2*B16)/1.25</f>
        <v>4.3648000000000007</v>
      </c>
      <c r="E35" s="1">
        <f>(2*(B6+C3*B9*2.5)/C2+4*B16)/2</f>
        <v>2.7280000000000002</v>
      </c>
      <c r="F35" s="1">
        <f t="shared" si="2"/>
        <v>2.7280000000000002</v>
      </c>
      <c r="G35" s="1">
        <f t="shared" si="3"/>
        <v>2.7280000000000002</v>
      </c>
      <c r="H35" s="1" t="str">
        <f t="shared" si="0"/>
        <v>加速</v>
      </c>
      <c r="I35" s="1" t="s">
        <v>77</v>
      </c>
      <c r="J35" s="1">
        <f t="shared" si="1"/>
        <v>7000953.0791788856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4.9664000000000001</v>
      </c>
      <c r="D36" s="1">
        <f>(2*(B6+C3*B9*2.5)/C2+2*B16)/1.25</f>
        <v>4.3648000000000007</v>
      </c>
      <c r="E36" s="1">
        <f>(2*(B6+C3*B9*2.5)/C2+4*B16)/2</f>
        <v>2.7280000000000002</v>
      </c>
      <c r="F36" s="1">
        <f t="shared" si="2"/>
        <v>2.7280000000000002</v>
      </c>
      <c r="G36" s="1">
        <f t="shared" si="3"/>
        <v>2.7280000000000002</v>
      </c>
      <c r="H36" s="1" t="str">
        <f t="shared" si="0"/>
        <v>加速</v>
      </c>
      <c r="I36" s="1" t="s">
        <v>79</v>
      </c>
      <c r="J36" s="1">
        <f t="shared" si="1"/>
        <v>7000953.0791788856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2.8424</v>
      </c>
      <c r="D37" s="1">
        <f>(1.5*(D6+B3*B9*2.5)/B2+B16)/2.5</f>
        <v>2.4208000000000003</v>
      </c>
      <c r="E37" s="1">
        <f>(1.5*(D6+B3*B9*2.5)/B2+2*B16)/4</f>
        <v>1.5130000000000001</v>
      </c>
      <c r="F37" s="1">
        <f t="shared" si="2"/>
        <v>1.5130000000000001</v>
      </c>
      <c r="G37" s="1">
        <f t="shared" si="3"/>
        <v>1.5130000000000001</v>
      </c>
      <c r="H37" s="1" t="str">
        <f t="shared" si="0"/>
        <v>加速</v>
      </c>
      <c r="I37" s="1" t="s">
        <v>81</v>
      </c>
      <c r="J37" s="1">
        <f t="shared" si="1"/>
        <v>12623000.660938531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1.8624000000000001</v>
      </c>
      <c r="D38" s="1">
        <f>(1.5*(B6+C3*B9*2.5)/C2+B16)/2.5</f>
        <v>1.6368000000000003</v>
      </c>
      <c r="E38" s="1">
        <f>(1.5*(B6+C3*B9*2.5)/C2+2*B16)/4</f>
        <v>1.0230000000000001</v>
      </c>
      <c r="F38" s="1">
        <f t="shared" si="2"/>
        <v>1.0230000000000001</v>
      </c>
      <c r="G38" s="1">
        <f t="shared" si="3"/>
        <v>1.0230000000000001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1"/>
        <v>18669208.211143691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13.383599999999999</v>
      </c>
      <c r="D39" s="1">
        <f>(2*(I6+D3*B9*2.5)/D2+2*B16)/2.5</f>
        <v>10.927199999999999</v>
      </c>
      <c r="E39" s="1">
        <f>(2*(I6+D3*B9*2.5)/D2+4*B16)/4</f>
        <v>6.8294999999999995</v>
      </c>
      <c r="F39" s="1">
        <f t="shared" si="2"/>
        <v>6.8294999999999995</v>
      </c>
      <c r="G39" s="1">
        <f t="shared" si="3"/>
        <v>6.8294999999999995</v>
      </c>
      <c r="H39" s="1" t="str">
        <f t="shared" ref="H39:H45" si="4">IF(C39=G39,"不使用增产剂","")&amp;IF(D39=G39,"增产","")&amp;IF(E39=G39,"加速","")</f>
        <v>加速</v>
      </c>
      <c r="I39" s="1" t="s">
        <v>85</v>
      </c>
      <c r="J39" s="1">
        <f t="shared" si="1"/>
        <v>2796485.8335163631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39.3264</v>
      </c>
      <c r="D40" s="1">
        <f>((4/E2)*(N6+B9*E3*2.5)+2*B16)/2.5</f>
        <v>31.852800000000002</v>
      </c>
      <c r="E40" s="1">
        <f>((4/E2)*(N6+B9*E3*2.5)+4*B16)/4</f>
        <v>19.908000000000001</v>
      </c>
      <c r="F40" s="1">
        <f t="shared" si="2"/>
        <v>19.908000000000001</v>
      </c>
      <c r="G40" s="1">
        <f t="shared" si="3"/>
        <v>19.908000000000001</v>
      </c>
      <c r="H40" s="1" t="str">
        <f t="shared" si="4"/>
        <v>加速</v>
      </c>
      <c r="I40" s="1" t="s">
        <v>87</v>
      </c>
      <c r="J40" s="1">
        <f t="shared" si="1"/>
        <v>959342.97769740806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26.767199999999999</v>
      </c>
      <c r="D41" s="1">
        <f>(4*(I6+D3*B9*2.5)/D2+6*B16)/2.5</f>
        <v>21.854399999999998</v>
      </c>
      <c r="E41" s="1">
        <f>(4*(I6+D3*B9*2.5)/D2+12*B16)/4</f>
        <v>13.658999999999999</v>
      </c>
      <c r="F41" s="1">
        <f t="shared" si="2"/>
        <v>13.658999999999999</v>
      </c>
      <c r="G41" s="1">
        <f t="shared" si="3"/>
        <v>13.658999999999999</v>
      </c>
      <c r="H41" s="1" t="str">
        <f t="shared" si="4"/>
        <v>加速</v>
      </c>
      <c r="I41" s="1" t="s">
        <v>89</v>
      </c>
      <c r="J41" s="1">
        <f t="shared" si="1"/>
        <v>1398242.9167581815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3.7248000000000001</v>
      </c>
      <c r="D42" s="1">
        <f>(1.5*(B6+C3*B9*2.5)/C2+B16)/1.25</f>
        <v>3.2736000000000005</v>
      </c>
      <c r="E42" s="1">
        <f>(1.5*(B6+C3*B9*2.5)/C2+2*B16)/2</f>
        <v>2.0460000000000003</v>
      </c>
      <c r="F42" s="1">
        <f t="shared" si="2"/>
        <v>2.0460000000000003</v>
      </c>
      <c r="G42" s="1">
        <f t="shared" si="3"/>
        <v>2.0460000000000003</v>
      </c>
      <c r="H42" s="1" t="str">
        <f t="shared" si="4"/>
        <v>加速</v>
      </c>
      <c r="I42" s="1" t="s">
        <v>91</v>
      </c>
      <c r="J42" s="1">
        <f t="shared" si="1"/>
        <v>9334604.1055718455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8.0260602343247101</v>
      </c>
      <c r="F43" s="1">
        <f t="shared" si="2"/>
        <v>8.0260602343247101</v>
      </c>
      <c r="G43" s="1">
        <f t="shared" si="3"/>
        <v>8.0260602343247101</v>
      </c>
      <c r="H43" s="1" t="str">
        <f t="shared" si="4"/>
        <v>加速</v>
      </c>
      <c r="I43" s="1" t="s">
        <v>93</v>
      </c>
      <c r="J43" s="1">
        <f t="shared" si="1"/>
        <v>2379573.4697232684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24.77</v>
      </c>
      <c r="D44" s="1">
        <f>(2.5*(J6+F3*B9*2.5)/F2+10*B16)/6.25</f>
        <v>21.04</v>
      </c>
      <c r="E44" s="1">
        <f>(2.5*(J6+F3*B9*2.5)/F2+20*B16)/10</f>
        <v>13.15</v>
      </c>
      <c r="F44" s="1">
        <f t="shared" si="2"/>
        <v>13.15</v>
      </c>
      <c r="G44" s="1">
        <f t="shared" si="3"/>
        <v>13.15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1"/>
        <v>1452365.0190114067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276.00165111111113</v>
      </c>
      <c r="D45" s="1" t="s">
        <v>96</v>
      </c>
      <c r="E45" s="1">
        <f>((0.1*G92)+60*S6+0.1*B16)/24</f>
        <v>138.00082555555556</v>
      </c>
      <c r="F45" s="1">
        <f>MIN(C45:E45)</f>
        <v>138.00082555555556</v>
      </c>
      <c r="G45" s="1">
        <f>F45</f>
        <v>138.00082555555556</v>
      </c>
      <c r="H45" s="1" t="str">
        <f t="shared" si="4"/>
        <v>加速</v>
      </c>
      <c r="I45" s="1" t="s">
        <v>101</v>
      </c>
      <c r="J45" s="1">
        <f t="shared" si="1"/>
        <v>138394.82425640561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4.622933333333334</v>
      </c>
      <c r="D50" s="1">
        <f>((2*G42+G31)+(E6+B3*B9*2.5)/B2+3*B16)/2.5</f>
        <v>3.7962666666666669</v>
      </c>
      <c r="E50" s="1">
        <f>(2*(2*G42+G31)+(E6+2.5*B3*B9)/B2+6*B16)/4</f>
        <v>3.7366666666666672</v>
      </c>
      <c r="F50" s="1">
        <f t="shared" ref="F50:F78" si="5">MIN(C50:E50)</f>
        <v>3.7366666666666672</v>
      </c>
      <c r="G50" s="1">
        <f t="shared" ref="G50:G78" si="6">F50</f>
        <v>3.7366666666666672</v>
      </c>
      <c r="H50" s="1" t="str">
        <f t="shared" ref="H50:H78" si="7">IF(C50=G50,"不使用增产剂","")&amp;IF(D50=G50,"增产","")&amp;IF(E50=G50,"加速","")</f>
        <v>加速</v>
      </c>
      <c r="I50" s="1" t="s">
        <v>103</v>
      </c>
      <c r="J50" s="1">
        <f t="shared" ref="J50:J78" si="8">60*318310/G50</f>
        <v>5111132.9170383578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11.541600000000001</v>
      </c>
      <c r="D51" s="1">
        <f>((3*G30)+3*(B6+C3*B9*2.5)/C2+3*B16)/1.25</f>
        <v>9.820800000000002</v>
      </c>
      <c r="E51" s="1">
        <f>(2*(3*G30)+3*(B6+C3*B9*2.5)/C2+6*B16)/2</f>
        <v>8.1840000000000011</v>
      </c>
      <c r="F51" s="1">
        <f t="shared" si="5"/>
        <v>8.1840000000000011</v>
      </c>
      <c r="G51" s="1">
        <f t="shared" si="6"/>
        <v>8.1840000000000011</v>
      </c>
      <c r="H51" s="1" t="str">
        <f t="shared" si="7"/>
        <v>加速</v>
      </c>
      <c r="I51" s="1" t="s">
        <v>105</v>
      </c>
      <c r="J51" s="1">
        <f t="shared" si="8"/>
        <v>2333651.0263929614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19.561599999999999</v>
      </c>
      <c r="D52" s="1">
        <f>((4*G33+4*G51)+(12/C2)*(C6+C3*B9*2.5)+16*B16)/5</f>
        <v>16.236799999999999</v>
      </c>
      <c r="E52" s="1">
        <f>(2*(4*G33+4*G51)+(12/C2)*(C6+C3*B9*2.5)+32*B16)/8</f>
        <v>15.604000000000001</v>
      </c>
      <c r="F52" s="1">
        <f t="shared" si="5"/>
        <v>15.604000000000001</v>
      </c>
      <c r="G52" s="1">
        <f t="shared" si="6"/>
        <v>15.604000000000001</v>
      </c>
      <c r="H52" s="1" t="str">
        <f t="shared" si="7"/>
        <v>加速</v>
      </c>
      <c r="I52" s="1" t="s">
        <v>107</v>
      </c>
      <c r="J52" s="1">
        <f t="shared" si="8"/>
        <v>1223955.3960522942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15.463999999999999</v>
      </c>
      <c r="D53" s="1">
        <f>((2*G36+2*G33)+(5/B2)*(F6+2.5*B3*B9)+6*B16)/2.5</f>
        <v>12.860800000000001</v>
      </c>
      <c r="E53" s="1">
        <f>(2*(2*G36+2*G33)+(5/B2)*(F6+2.5*B3*B9)+12*B16)/4</f>
        <v>10.766000000000002</v>
      </c>
      <c r="F53" s="1">
        <f t="shared" si="5"/>
        <v>10.766000000000002</v>
      </c>
      <c r="G53" s="1">
        <f t="shared" si="6"/>
        <v>10.766000000000002</v>
      </c>
      <c r="H53" s="1" t="str">
        <f t="shared" si="7"/>
        <v>加速</v>
      </c>
      <c r="I53" s="1" t="s">
        <v>109</v>
      </c>
      <c r="J53" s="1">
        <f t="shared" si="8"/>
        <v>1773973.6206576256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7.8818666666666672</v>
      </c>
      <c r="D54" s="1">
        <f>((3*G36)+(2/B2)*(D6+B3*B9*2.5)+3*B16)/2.5</f>
        <v>6.5013333333333332</v>
      </c>
      <c r="E54" s="1">
        <f>((6*G36)+(2/B2)*(D6+B3*B9*2.5)+6*B16)/4</f>
        <v>6.1093333333333337</v>
      </c>
      <c r="F54" s="1">
        <f t="shared" si="5"/>
        <v>6.1093333333333337</v>
      </c>
      <c r="G54" s="1">
        <f t="shared" si="6"/>
        <v>6.1093333333333337</v>
      </c>
      <c r="H54" s="1" t="str">
        <f t="shared" si="7"/>
        <v>加速</v>
      </c>
      <c r="I54" s="1" t="s">
        <v>111</v>
      </c>
      <c r="J54" s="1">
        <f t="shared" si="8"/>
        <v>3126134.8756001745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34.745066666666673</v>
      </c>
      <c r="D55" s="1">
        <f>((4*G50+2*G54)+(2/B2)*(E6+2.5*B3*B9)+6*B16)/1.25</f>
        <v>28.187733333333334</v>
      </c>
      <c r="E55" s="1">
        <f>(2*(4*G50+2*G54)+(2/B2)*(E6+2.5*B3*B9)+12*B16)/2</f>
        <v>31.200000000000003</v>
      </c>
      <c r="F55" s="1">
        <f t="shared" si="5"/>
        <v>28.187733333333334</v>
      </c>
      <c r="G55" s="1">
        <f t="shared" si="6"/>
        <v>28.187733333333334</v>
      </c>
      <c r="H55" s="1" t="str">
        <f t="shared" si="7"/>
        <v>增产</v>
      </c>
      <c r="I55" s="1" t="s">
        <v>113</v>
      </c>
      <c r="J55" s="1">
        <f t="shared" si="8"/>
        <v>677550.04540982365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5.1538666666666666</v>
      </c>
      <c r="D56" s="1">
        <f>(G30+(1/B2)*(D6+2.5*B3*B9)+B16)/1.25</f>
        <v>4.3189333333333328</v>
      </c>
      <c r="E56" s="1">
        <f>(2*G30+(1/B2)*(D6+2.5*B3*B9)+2*B16)/2</f>
        <v>3.3813333333333331</v>
      </c>
      <c r="F56" s="1">
        <f t="shared" si="5"/>
        <v>3.3813333333333331</v>
      </c>
      <c r="G56" s="1">
        <f t="shared" si="6"/>
        <v>3.3813333333333331</v>
      </c>
      <c r="H56" s="1" t="str">
        <f t="shared" si="7"/>
        <v>加速</v>
      </c>
      <c r="I56" s="1" t="s">
        <v>115</v>
      </c>
      <c r="J56" s="1">
        <f t="shared" si="8"/>
        <v>5648245.2681388017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3.9409333333333336</v>
      </c>
      <c r="D57" s="1">
        <f>((2*G30+G31)+(E6+B3*B9*2.5)/B2+3*B16)/2.5</f>
        <v>3.2506666666666675</v>
      </c>
      <c r="E57" s="1">
        <f>(2*(2*G30+G31)+(E6+B3*B9*2.5)/B2+6*B16)/4</f>
        <v>3.0546666666666669</v>
      </c>
      <c r="F57" s="1">
        <f t="shared" si="5"/>
        <v>3.0546666666666669</v>
      </c>
      <c r="G57" s="1">
        <f t="shared" si="6"/>
        <v>3.0546666666666669</v>
      </c>
      <c r="H57" s="1" t="str">
        <f t="shared" si="7"/>
        <v>加速</v>
      </c>
      <c r="I57" s="1" t="s">
        <v>117</v>
      </c>
      <c r="J57" s="1">
        <f t="shared" si="8"/>
        <v>6252269.7512003491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14.399733333333334</v>
      </c>
      <c r="D58" s="1">
        <f>((2*G32+G31)+2*(E6+B3*B9*2.5)/B2+3*B16)/1.25</f>
        <v>11.911466666666668</v>
      </c>
      <c r="E58" s="1">
        <f>(2*(2*G32+G31)+2*(E6+B3*B9*2.5)/B2+6*B16)/2</f>
        <v>10.854666666666667</v>
      </c>
      <c r="F58" s="1">
        <f t="shared" si="5"/>
        <v>10.854666666666667</v>
      </c>
      <c r="G58" s="1">
        <f t="shared" si="6"/>
        <v>10.854666666666667</v>
      </c>
      <c r="H58" s="1" t="str">
        <f t="shared" si="7"/>
        <v>加速</v>
      </c>
      <c r="I58" s="1" t="s">
        <v>119</v>
      </c>
      <c r="J58" s="1">
        <f t="shared" si="8"/>
        <v>1759482.864512959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39.188266666666664</v>
      </c>
      <c r="D59" s="1">
        <f>((2*G57+2*G58)+(3/B2)*(E6+B3*B9*2.5)+4*B16)/1.25</f>
        <v>31.938133333333333</v>
      </c>
      <c r="E59" s="1">
        <f>(2*(2*G57+2*G58)+(3/B2)*(E6+B3*B9*2.5)+8*B16)/2</f>
        <v>33.870666666666665</v>
      </c>
      <c r="F59" s="1">
        <f t="shared" si="5"/>
        <v>31.938133333333333</v>
      </c>
      <c r="G59" s="1">
        <f t="shared" si="6"/>
        <v>31.938133333333333</v>
      </c>
      <c r="H59" s="1" t="str">
        <f t="shared" si="7"/>
        <v>增产</v>
      </c>
      <c r="I59" s="1" t="s">
        <v>121</v>
      </c>
      <c r="J59" s="1">
        <f t="shared" si="8"/>
        <v>597987.35889386153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17.852399999999999</v>
      </c>
      <c r="D60" s="1">
        <f>((2*G30+G56+G50)+(2/B2)*(F6+2.5*B3*B9)+4*B16)/1.25</f>
        <v>14.673599999999999</v>
      </c>
      <c r="E60" s="1">
        <f>(2*(2*G30+G56+G50)+(2/B2)*(F6+2.5*B3*B9)+8*B16)/2</f>
        <v>14.093999999999999</v>
      </c>
      <c r="F60" s="1">
        <f t="shared" si="5"/>
        <v>14.093999999999999</v>
      </c>
      <c r="G60" s="1">
        <f t="shared" si="6"/>
        <v>14.093999999999999</v>
      </c>
      <c r="H60" s="1" t="str">
        <f t="shared" si="7"/>
        <v>加速</v>
      </c>
      <c r="I60" s="1" t="s">
        <v>123</v>
      </c>
      <c r="J60" s="1">
        <f t="shared" si="8"/>
        <v>1355087.2711792253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43.241066666666669</v>
      </c>
      <c r="D61" s="1">
        <f>((2*G60+2*G50)+(2/B2)*(E6+2.5*B3*B9)+4*B16)/1.25</f>
        <v>34.984533333333331</v>
      </c>
      <c r="E61" s="1">
        <f>(2*(2*G60+2*G50)+(2/B2)*(E6+2.5*B3*B9)+8*B16)/2</f>
        <v>39.695999999999998</v>
      </c>
      <c r="F61" s="1">
        <f t="shared" si="5"/>
        <v>34.984533333333331</v>
      </c>
      <c r="G61" s="1">
        <f t="shared" si="6"/>
        <v>34.984533333333331</v>
      </c>
      <c r="H61" s="1" t="str">
        <f t="shared" si="7"/>
        <v>增产</v>
      </c>
      <c r="I61" s="1" t="s">
        <v>125</v>
      </c>
      <c r="J61" s="1">
        <f t="shared" si="8"/>
        <v>545915.52838587726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23.343466666666668</v>
      </c>
      <c r="D62" s="1">
        <f>((J22+3*G33)+(4/B2)*(E6+B3*B9*2.5)+4*B16)/1.25</f>
        <v>19.458133333333333</v>
      </c>
      <c r="E62" s="1">
        <f>(2*(J22+3*G33)+(4/B2)*(E6+B3*B9*2.5)+8*B16)/2</f>
        <v>16.253333333333334</v>
      </c>
      <c r="F62" s="1">
        <f t="shared" si="5"/>
        <v>16.253333333333334</v>
      </c>
      <c r="G62" s="1">
        <f t="shared" si="6"/>
        <v>16.253333333333334</v>
      </c>
      <c r="H62" s="1" t="str">
        <f t="shared" si="7"/>
        <v>加速</v>
      </c>
      <c r="I62" s="1" t="s">
        <v>235</v>
      </c>
      <c r="J62" s="1">
        <f t="shared" si="8"/>
        <v>1175057.4241181295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29.671799999999998</v>
      </c>
      <c r="D63" s="1">
        <f>((J22+2*G39)+(4/B2)*(F6+2.5*B3*B9)+22*B16)/1.25</f>
        <v>24.520799999999998</v>
      </c>
      <c r="E63" s="1">
        <f>(2*(J22+2*G39)+(4/B2)*(F6+2.5*B3*B9)+44*B16)/2</f>
        <v>22.154999999999998</v>
      </c>
      <c r="F63" s="1">
        <f t="shared" si="5"/>
        <v>22.154999999999998</v>
      </c>
      <c r="G63" s="1">
        <f t="shared" si="6"/>
        <v>22.154999999999998</v>
      </c>
      <c r="H63" s="1" t="str">
        <f t="shared" si="7"/>
        <v>加速</v>
      </c>
      <c r="I63" s="1" t="s">
        <v>128</v>
      </c>
      <c r="J63" s="1">
        <f t="shared" si="8"/>
        <v>862044.68517264735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45.925133333333335</v>
      </c>
      <c r="D64" s="1">
        <f>((G62+2*G39)+(4/B2)*(F6+2.5*B3*B9)+18*B16)/1.25</f>
        <v>37.523466666666664</v>
      </c>
      <c r="E64" s="1">
        <f>(2*(G62+2*G39)+(4/B2)*(F6+2.5*B3*B9)+36*B16)/2</f>
        <v>38.408333333333331</v>
      </c>
      <c r="F64" s="1">
        <f t="shared" si="5"/>
        <v>37.523466666666664</v>
      </c>
      <c r="G64" s="1">
        <f t="shared" si="6"/>
        <v>37.523466666666664</v>
      </c>
      <c r="H64" s="1" t="str">
        <f t="shared" si="7"/>
        <v>增产</v>
      </c>
      <c r="I64" s="1" t="s">
        <v>130</v>
      </c>
      <c r="J64" s="1">
        <f t="shared" si="8"/>
        <v>508977.49319536932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89.165400000000005</v>
      </c>
      <c r="D65" s="1">
        <f>((D22+2*G53)+(12/B2)*(E6+2.5*B3*B9)+3*B16)/1.25</f>
        <v>73.682400000000001</v>
      </c>
      <c r="E65" s="1">
        <f>(2*(D22+2*G53)+(12/B2)*(E6+2.5*B3*B9)+6*B16)/2</f>
        <v>67.894999999999996</v>
      </c>
      <c r="F65" s="1">
        <f t="shared" si="5"/>
        <v>67.894999999999996</v>
      </c>
      <c r="G65" s="1">
        <f t="shared" si="6"/>
        <v>67.894999999999996</v>
      </c>
      <c r="H65" s="1" t="str">
        <f t="shared" si="7"/>
        <v>加速</v>
      </c>
      <c r="I65" s="1" t="s">
        <v>132</v>
      </c>
      <c r="J65" s="1">
        <f t="shared" si="8"/>
        <v>281296.11900729069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17.887466666666668</v>
      </c>
      <c r="D66" s="1">
        <f>((2*G31)+(4/B2)*(E6+2.5*B3*B9)+12*B16)/1.25</f>
        <v>15.093333333333334</v>
      </c>
      <c r="E66" s="1">
        <f>(2*(2*G31)+(4/B2)*(E6+2.5*B3*B9)+24*B16)/2</f>
        <v>10.797333333333333</v>
      </c>
      <c r="F66" s="1">
        <f t="shared" si="5"/>
        <v>10.797333333333333</v>
      </c>
      <c r="G66" s="1">
        <f t="shared" si="6"/>
        <v>10.797333333333333</v>
      </c>
      <c r="H66" s="1" t="str">
        <f t="shared" si="7"/>
        <v>加速</v>
      </c>
      <c r="I66" s="1" t="s">
        <v>134</v>
      </c>
      <c r="J66" s="1">
        <f t="shared" si="8"/>
        <v>1768825.6359594963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102.36886666666666</v>
      </c>
      <c r="D67" s="1">
        <f>((2*G61+2*G31+2*G39)+(4/B2)*(F6+2.5*B3*B9)+6*B16)/1.25</f>
        <v>82.678453333333323</v>
      </c>
      <c r="E67" s="1">
        <f>(2*(2*G61+2*G31+2*G39)+(4/B2)*(F6+2.5*B3*B9)+12*B16)/2</f>
        <v>94.852066666666659</v>
      </c>
      <c r="F67" s="1">
        <f t="shared" si="5"/>
        <v>82.678453333333323</v>
      </c>
      <c r="G67" s="1">
        <f t="shared" si="6"/>
        <v>82.678453333333323</v>
      </c>
      <c r="H67" s="1" t="str">
        <f t="shared" si="7"/>
        <v>增产</v>
      </c>
      <c r="I67" s="1" t="s">
        <v>136</v>
      </c>
      <c r="J67" s="1">
        <f t="shared" si="8"/>
        <v>230998.51569550409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458.64266666666668</v>
      </c>
      <c r="D68" s="1">
        <f>((2*B22+2*G30+10*C22)+(8/F2)*(L6+2.5*F3*B9)+14*B16)/1.25</f>
        <v>386.49813333333339</v>
      </c>
      <c r="E68" s="1">
        <f>(2*(2*B22+2*G30+10*C22)+(8/F2)*(L6+2.5*F3*B9)+28*B16)/2</f>
        <v>253.72266666666667</v>
      </c>
      <c r="F68" s="1">
        <f t="shared" si="5"/>
        <v>253.72266666666667</v>
      </c>
      <c r="G68" s="1">
        <f t="shared" si="6"/>
        <v>253.72266666666667</v>
      </c>
      <c r="H68" s="1" t="str">
        <f t="shared" si="7"/>
        <v>加速</v>
      </c>
      <c r="I68" s="1" t="s">
        <v>138</v>
      </c>
      <c r="J68" s="1">
        <f t="shared" si="8"/>
        <v>75273.527000609582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26.642933333333332</v>
      </c>
      <c r="D69" s="1">
        <f>((2*G54+G57)+(3/B2)*(E6+2.5*B3*B9)+3*B16)/1.25</f>
        <v>21.901866666666667</v>
      </c>
      <c r="E69" s="1">
        <f>(2*(2*G54+G57)+(3/B2)*(E6+2.5*B3*B9)+6*B16)/2</f>
        <v>21.325333333333333</v>
      </c>
      <c r="F69" s="1">
        <f t="shared" si="5"/>
        <v>21.325333333333333</v>
      </c>
      <c r="G69" s="1">
        <f t="shared" si="6"/>
        <v>21.325333333333333</v>
      </c>
      <c r="H69" s="1" t="str">
        <f t="shared" si="7"/>
        <v>加速</v>
      </c>
      <c r="I69" s="1" t="s">
        <v>140</v>
      </c>
      <c r="J69" s="1">
        <f t="shared" si="8"/>
        <v>895582.71851944481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14.424266666666668</v>
      </c>
      <c r="D70" s="1">
        <f>((G57)+(3/B2)*(E6+2.5*B3*B9)+2*B16)/1.25</f>
        <v>12.126933333333335</v>
      </c>
      <c r="E70" s="1">
        <f>(2*(G57)+(3/B2)*(E6+2.5*B3*B9)+4*B16)/2</f>
        <v>9.1066666666666674</v>
      </c>
      <c r="F70" s="1">
        <f t="shared" si="5"/>
        <v>9.1066666666666674</v>
      </c>
      <c r="G70" s="1">
        <f t="shared" si="6"/>
        <v>9.1066666666666674</v>
      </c>
      <c r="H70" s="1" t="str">
        <f t="shared" si="7"/>
        <v>加速</v>
      </c>
      <c r="I70" s="1" t="s">
        <v>142</v>
      </c>
      <c r="J70" s="1">
        <f t="shared" si="8"/>
        <v>2097210.8345534406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15.547816666666666</v>
      </c>
      <c r="D71" s="1">
        <f>((G39+E22)+(4/B2)*(E6+2.5*B3*B9)+2*B16)/2.5</f>
        <v>12.829933333333333</v>
      </c>
      <c r="E71" s="1">
        <f>(2*(G39+E22)+(4/B2)*(E6+2.5*B3*B9)+4*B16)/4</f>
        <v>12.002749999999999</v>
      </c>
      <c r="F71" s="1">
        <f t="shared" si="5"/>
        <v>12.002749999999999</v>
      </c>
      <c r="G71" s="1">
        <f t="shared" si="6"/>
        <v>12.002749999999999</v>
      </c>
      <c r="H71" s="1" t="str">
        <f t="shared" si="7"/>
        <v>加速</v>
      </c>
      <c r="I71" s="1" t="s">
        <v>144</v>
      </c>
      <c r="J71" s="1">
        <f t="shared" si="8"/>
        <v>1591185.3533565225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54.29</v>
      </c>
      <c r="D72" s="1" t="s">
        <v>96</v>
      </c>
      <c r="E72" s="1">
        <f>(2*(2*F22)+(2/F2)*(L6+2.5*F3*B9)+4*B16)/4</f>
        <v>28.675000000000001</v>
      </c>
      <c r="F72" s="1">
        <f t="shared" si="5"/>
        <v>28.675000000000001</v>
      </c>
      <c r="G72" s="1">
        <f t="shared" si="6"/>
        <v>28.675000000000001</v>
      </c>
      <c r="H72" s="1" t="str">
        <f t="shared" si="7"/>
        <v>加速</v>
      </c>
      <c r="I72" s="1" t="s">
        <v>146</v>
      </c>
      <c r="J72" s="1">
        <f t="shared" si="8"/>
        <v>666036.61726242374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82.694800000000001</v>
      </c>
      <c r="D73" s="1">
        <f>((2*G40+G35)+(3/D2)*(I6+2.5*D3*B9)+3*B16)/1.25</f>
        <v>66.816800000000001</v>
      </c>
      <c r="E73" s="1">
        <f>(2*(2*G40+G35)+(3/D2)*(I6+2.5*D3*B9)+6*B16)/2</f>
        <v>63.032499999999999</v>
      </c>
      <c r="F73" s="1">
        <f t="shared" si="5"/>
        <v>63.032499999999999</v>
      </c>
      <c r="G73" s="1">
        <f t="shared" si="6"/>
        <v>63.032499999999999</v>
      </c>
      <c r="H73" s="1" t="str">
        <f t="shared" si="7"/>
        <v>加速</v>
      </c>
      <c r="I73" s="1" t="s">
        <v>148</v>
      </c>
      <c r="J73" s="1">
        <f t="shared" si="8"/>
        <v>302996.07345417049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125.40209999999999</v>
      </c>
      <c r="D74" s="1">
        <f>((2*G41+2*I22+G73)+(8/B2)*(F6+2.5*B3*B9)+5*B16)/1.25</f>
        <v>101.88839999999999</v>
      </c>
      <c r="E74" s="1">
        <f>(2*(2*G41+2*I22+G73)+(8/B2)*(F6+2.5*B3*B9)+10*B16)/2</f>
        <v>110.36849999999998</v>
      </c>
      <c r="F74" s="1">
        <f t="shared" si="5"/>
        <v>101.88839999999999</v>
      </c>
      <c r="G74" s="1">
        <f t="shared" si="6"/>
        <v>101.88839999999999</v>
      </c>
      <c r="H74" s="1" t="str">
        <f t="shared" si="7"/>
        <v>增产</v>
      </c>
      <c r="I74" s="1" t="s">
        <v>150</v>
      </c>
      <c r="J74" s="1">
        <f t="shared" si="8"/>
        <v>187446.26473671195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38.375450000000001</v>
      </c>
      <c r="D75" s="1">
        <f>((3*G39+G33)+(4/D2)*(I6+2.5*D3*B9)+4*B16)/2.5</f>
        <v>31.140999999999998</v>
      </c>
      <c r="E75" s="1">
        <f>((3*G39+G33)+(2/D2)*(I6+2.5*D3*B9)+4*B16)/2</f>
        <v>25.267249999999997</v>
      </c>
      <c r="F75" s="1">
        <f t="shared" si="5"/>
        <v>25.267249999999997</v>
      </c>
      <c r="G75" s="1">
        <f t="shared" si="6"/>
        <v>25.267249999999997</v>
      </c>
      <c r="H75" s="1" t="str">
        <f t="shared" si="7"/>
        <v>加速</v>
      </c>
      <c r="I75" s="1" t="s">
        <v>152</v>
      </c>
      <c r="J75" s="1">
        <f t="shared" si="8"/>
        <v>755863.81580900191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7.6943999999999999</v>
      </c>
      <c r="D76" s="1">
        <f>((G35)+2*(B6+2.5*C3*B9)/C2+B16)/1.25</f>
        <v>6.5471999999999992</v>
      </c>
      <c r="E76" s="1">
        <f>((G35)+1*(B6+2.5*C3*B9)/C2+B16)/1</f>
        <v>5.4559999999999995</v>
      </c>
      <c r="F76" s="1">
        <f t="shared" si="5"/>
        <v>5.4559999999999995</v>
      </c>
      <c r="G76" s="1">
        <f t="shared" si="6"/>
        <v>5.4559999999999995</v>
      </c>
      <c r="H76" s="1" t="str">
        <f t="shared" si="7"/>
        <v>加速</v>
      </c>
      <c r="I76" s="1" t="s">
        <v>227</v>
      </c>
      <c r="J76" s="1">
        <f t="shared" si="8"/>
        <v>3500476.5395894432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7.6943999999999999</v>
      </c>
      <c r="D77" s="1">
        <f>((G32)+2*(B6+2.5*C3*B9)/C2+B16)/1.25</f>
        <v>6.5471999999999992</v>
      </c>
      <c r="E77" s="1">
        <f>((G32)+1*(B6+2.5*C3*B9)/C2+B16)/1</f>
        <v>5.4559999999999995</v>
      </c>
      <c r="F77" s="1">
        <f t="shared" si="5"/>
        <v>5.4559999999999995</v>
      </c>
      <c r="G77" s="1">
        <f t="shared" si="6"/>
        <v>5.4559999999999995</v>
      </c>
      <c r="H77" s="1" t="str">
        <f t="shared" si="7"/>
        <v>加速</v>
      </c>
      <c r="I77" s="1" t="s">
        <v>228</v>
      </c>
      <c r="J77" s="1">
        <f t="shared" si="8"/>
        <v>3500476.5395894432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226.27460000000002</v>
      </c>
      <c r="D78" s="1">
        <f>((2*G73+F40)+(6/D2)*(I6+D3*B9)+4*B16)/1.25</f>
        <v>181.01968000000002</v>
      </c>
      <c r="E78" s="1">
        <f>((2*G73+F40)+(3/D2)*(I6+D3*B9)+4*B16)/1</f>
        <v>186.12380000000002</v>
      </c>
      <c r="F78" s="1">
        <f t="shared" si="5"/>
        <v>181.01968000000002</v>
      </c>
      <c r="G78" s="1">
        <f t="shared" si="6"/>
        <v>181.01968000000002</v>
      </c>
      <c r="H78" s="1" t="str">
        <f t="shared" si="7"/>
        <v>增产</v>
      </c>
      <c r="I78" s="1" t="s">
        <v>236</v>
      </c>
      <c r="J78" s="1">
        <f t="shared" si="8"/>
        <v>105505.65551767629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90.844666666666654</v>
      </c>
      <c r="D91" s="1">
        <f>((2*G61+3*G42+G35)+(3/B2)*(F6+2.5*B3*B9)+6*B16)/1.25</f>
        <v>73.263253333333324</v>
      </c>
      <c r="E91" s="1">
        <f>(2*(2*G61+3*G42+G35)+(3/B2)*(F6+2.5*B3*B9)+12*B16)/2</f>
        <v>85.207066666666663</v>
      </c>
      <c r="F91" s="1">
        <f t="shared" ref="F91:F106" si="9">MIN(C91:E91)</f>
        <v>73.263253333333324</v>
      </c>
      <c r="G91" s="1">
        <f t="shared" ref="G91:G106" si="10">F91</f>
        <v>73.263253333333324</v>
      </c>
      <c r="H91" s="1" t="str">
        <f t="shared" ref="H91:H106" si="11">IF(C91=G91,"不使用增产剂","")&amp;IF(D91=G91,"增产","")&amp;IF(E91=G91,"加速","")</f>
        <v>增产</v>
      </c>
      <c r="I91" s="1" t="s">
        <v>155</v>
      </c>
      <c r="J91" s="1">
        <f t="shared" ref="J91:J106" si="12">60*318310/G91</f>
        <v>260684.57420400297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280.55386666666664</v>
      </c>
      <c r="D92" s="1">
        <f>((4*H22+G68)+(6/B2)*(E6+2.5*B3*B9)+5*B16)/1.25</f>
        <v>225.61813333333333</v>
      </c>
      <c r="E92" s="1">
        <f>(2*(4*H22+G68)+(6/B2)*(E6+2.5*B3*B9)+10*B16)/2</f>
        <v>269.91866666666664</v>
      </c>
      <c r="F92" s="1">
        <f t="shared" si="9"/>
        <v>225.61813333333333</v>
      </c>
      <c r="G92" s="1">
        <f t="shared" si="10"/>
        <v>225.61813333333333</v>
      </c>
      <c r="H92" s="1" t="str">
        <f t="shared" si="11"/>
        <v>增产</v>
      </c>
      <c r="I92" s="1" t="s">
        <v>157</v>
      </c>
      <c r="J92" s="1">
        <f t="shared" si="12"/>
        <v>84650.110865793293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222.40546666666668</v>
      </c>
      <c r="D93" s="1">
        <f>((2*G59+2*G65)+(6/B2)*(E6+2.5*B3*B9)+4*B16)/1.25</f>
        <v>179.09941333333333</v>
      </c>
      <c r="E93" s="1">
        <f>(2*(2*G59+2*G65)+(6/B2)*(E6+2.5*B3*B9)+8*B16)/2</f>
        <v>211.77026666666669</v>
      </c>
      <c r="F93" s="1">
        <f t="shared" si="9"/>
        <v>179.09941333333333</v>
      </c>
      <c r="G93" s="1">
        <f t="shared" si="10"/>
        <v>179.09941333333333</v>
      </c>
      <c r="H93" s="1" t="str">
        <f t="shared" si="11"/>
        <v>增产</v>
      </c>
      <c r="I93" s="1" t="s">
        <v>159</v>
      </c>
      <c r="J93" s="1">
        <f t="shared" si="12"/>
        <v>106636.8652166067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96.987199999999987</v>
      </c>
      <c r="D94" s="1">
        <f>((4*G41+G52+G32)+(6/B2)*(F6+2.5*B3*B9)+6*B16)/1.25</f>
        <v>78.764799999999994</v>
      </c>
      <c r="E94" s="1">
        <f>(2*(4*G41+G52+G32)+(6/B2)*(F6+2.5*B3*B9)+12*B16)/2</f>
        <v>85.711999999999989</v>
      </c>
      <c r="F94" s="1">
        <f t="shared" si="9"/>
        <v>78.764799999999994</v>
      </c>
      <c r="G94" s="1">
        <f t="shared" si="10"/>
        <v>78.764799999999994</v>
      </c>
      <c r="H94" s="1" t="str">
        <f t="shared" si="11"/>
        <v>增产</v>
      </c>
      <c r="I94" s="1" t="s">
        <v>161</v>
      </c>
      <c r="J94" s="1">
        <f t="shared" si="12"/>
        <v>242476.33460632162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400.14264999999995</v>
      </c>
      <c r="D95" s="1">
        <f>((3*G94+3*G71+3*G59)+(8/B2)*(F6+2.5*B3*B9)+9*B16)/1.25</f>
        <v>321.68083999999993</v>
      </c>
      <c r="E95" s="1">
        <f>(2*(3*G94+3*G71+3*G59)+(8/B2)*(F6+2.5*B3*B9)+18*B16)/2</f>
        <v>385.10904999999997</v>
      </c>
      <c r="F95" s="1">
        <f t="shared" si="9"/>
        <v>321.68083999999993</v>
      </c>
      <c r="G95" s="1">
        <f t="shared" si="10"/>
        <v>321.68083999999993</v>
      </c>
      <c r="H95" s="1" t="str">
        <f t="shared" si="11"/>
        <v>增产</v>
      </c>
      <c r="I95" s="1" t="s">
        <v>163</v>
      </c>
      <c r="J95" s="1">
        <f t="shared" si="12"/>
        <v>59371.269983005528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118.53280000000001</v>
      </c>
      <c r="D96" s="1">
        <f>((B22+G59)+(20/B2)*(E6+2.5*B3*B9)+2*B16)/1.25</f>
        <v>98.743040000000008</v>
      </c>
      <c r="E96" s="1">
        <f>(2*(B22+G59)+(20/B2)*(E6+2.5*B3*B9)+4*B16)/2</f>
        <v>83.082133333333331</v>
      </c>
      <c r="F96" s="1">
        <f t="shared" si="9"/>
        <v>83.082133333333331</v>
      </c>
      <c r="G96" s="1">
        <f t="shared" si="10"/>
        <v>83.082133333333331</v>
      </c>
      <c r="H96" s="1" t="str">
        <f t="shared" si="11"/>
        <v>加速</v>
      </c>
      <c r="I96" s="1" t="s">
        <v>165</v>
      </c>
      <c r="J96" s="1">
        <f t="shared" si="12"/>
        <v>229876.13863229318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25.899610666666668</v>
      </c>
      <c r="D97" s="1">
        <f>(G114+(10/B2)*(D6+2.5*B3*B9)+B16)/10</f>
        <v>20.964488533333331</v>
      </c>
      <c r="E97" s="1">
        <f>(2*G114+(10/B2)*(D6+2.5*B3*B9)+2*B16)/16</f>
        <v>23.683944</v>
      </c>
      <c r="F97" s="1">
        <f t="shared" si="9"/>
        <v>20.964488533333331</v>
      </c>
      <c r="G97" s="1">
        <f t="shared" si="10"/>
        <v>20.964488533333331</v>
      </c>
      <c r="H97" s="1" t="str">
        <f t="shared" si="11"/>
        <v>增产</v>
      </c>
      <c r="I97" s="1" t="s">
        <v>167</v>
      </c>
      <c r="J97" s="1">
        <f t="shared" si="12"/>
        <v>910997.66014484037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1249.3289119999999</v>
      </c>
      <c r="D98" s="1">
        <f>((2*G95+4*G103+2*G93)+(6/B2)*(F6+2.5*B3*B9)+8*B16)/1.25</f>
        <v>1000.6381696000001</v>
      </c>
      <c r="E98" s="1">
        <f>(2*(2*G95+4*G103+2*G93)+(6/B2)*(F6+2.5*B3*B9)+16*B16)/2</f>
        <v>1238.0537119999999</v>
      </c>
      <c r="F98" s="1">
        <f t="shared" si="9"/>
        <v>1000.6381696000001</v>
      </c>
      <c r="G98" s="1">
        <f t="shared" si="10"/>
        <v>1000.6381696000001</v>
      </c>
      <c r="H98" s="1" t="str">
        <f t="shared" si="11"/>
        <v>增产</v>
      </c>
      <c r="I98" s="1" t="s">
        <v>169</v>
      </c>
      <c r="J98" s="1">
        <f t="shared" si="12"/>
        <v>19086.419627221061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1.8949333333333334</v>
      </c>
      <c r="D99" s="1">
        <f>((0.5/B2)*(D6+2.5*B3*B9)+B16)/1.25</f>
        <v>1.6138666666666666</v>
      </c>
      <c r="E99" s="1">
        <f>((0.5/B2)*(D6+2.5*B3*B9)+2*B16)/2</f>
        <v>1.0086666666666666</v>
      </c>
      <c r="F99" s="1">
        <f t="shared" si="9"/>
        <v>1.0086666666666666</v>
      </c>
      <c r="G99" s="1">
        <f t="shared" si="10"/>
        <v>1.0086666666666666</v>
      </c>
      <c r="H99" s="1" t="str">
        <f t="shared" si="11"/>
        <v>加速</v>
      </c>
      <c r="I99" s="1" t="s">
        <v>171</v>
      </c>
      <c r="J99" s="1">
        <f t="shared" si="12"/>
        <v>18934500.9914078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6.8301999999999996</v>
      </c>
      <c r="D100" s="1">
        <f>((2*G99+H22)+(1/B2)*(E6+2.5*B3*B9)+3*B16)/1.25</f>
        <v>5.6599999999999993</v>
      </c>
      <c r="E100" s="1">
        <f>(2*(2*G99+H22)+(1/B2)*(E6+2.5*B3*B9)+6*B16)/2</f>
        <v>5.0576666666666661</v>
      </c>
      <c r="F100" s="1">
        <f t="shared" si="9"/>
        <v>5.0576666666666661</v>
      </c>
      <c r="G100" s="1">
        <f t="shared" si="10"/>
        <v>5.0576666666666661</v>
      </c>
      <c r="H100" s="1" t="str">
        <f t="shared" si="11"/>
        <v>加速</v>
      </c>
      <c r="I100" s="1" t="s">
        <v>173</v>
      </c>
      <c r="J100" s="1">
        <f t="shared" si="12"/>
        <v>3776168.193501615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31.354066666666665</v>
      </c>
      <c r="D101" s="1">
        <f>((2*G100+G22)+(2/B2)*(E6+2.5*B3*B9)+3*B16)/1.25</f>
        <v>25.474933333333333</v>
      </c>
      <c r="E101" s="1">
        <f>(2*(2*G100+G22)+(2/B2)*(E6+2.5*B3*B9)+6*B16)/2</f>
        <v>27.808999999999997</v>
      </c>
      <c r="F101" s="1">
        <f t="shared" si="9"/>
        <v>25.474933333333333</v>
      </c>
      <c r="G101" s="1">
        <f t="shared" si="10"/>
        <v>25.474933333333333</v>
      </c>
      <c r="H101" s="1" t="str">
        <f t="shared" si="11"/>
        <v>增产</v>
      </c>
      <c r="I101" s="1" t="s">
        <v>40</v>
      </c>
      <c r="J101" s="1">
        <f t="shared" si="12"/>
        <v>749701.66752153751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12.733600000000001</v>
      </c>
      <c r="D102" s="1">
        <f>(G33+(6/B2)*(E6+2.5*B3*B9)+11*B16)/2.5</f>
        <v>10.774400000000002</v>
      </c>
      <c r="E102" s="1">
        <f>(2*G33+(6/B2)*(E6+2.5*B3*B9)+22*B16)/4</f>
        <v>7.4160000000000004</v>
      </c>
      <c r="F102" s="1">
        <f t="shared" si="9"/>
        <v>7.4160000000000004</v>
      </c>
      <c r="G102" s="1">
        <f t="shared" si="10"/>
        <v>7.4160000000000004</v>
      </c>
      <c r="H102" s="1" t="str">
        <f t="shared" si="11"/>
        <v>加速</v>
      </c>
      <c r="I102" s="1" t="s">
        <v>176</v>
      </c>
      <c r="J102" s="1">
        <f t="shared" si="12"/>
        <v>2575323.6245954693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68.452826666666652</v>
      </c>
      <c r="D103" s="1">
        <f>((G52+20*C22+G91)+(12/B2)*(F6+2.5*B3*B9)+22*B16)/2.5</f>
        <v>55.937301333333338</v>
      </c>
      <c r="E103" s="1">
        <f>(2*(G52+20*C22+G91)+(12/B2)*(F6+2.5*B3*B9)+44*B16)/4</f>
        <v>57.177626666666661</v>
      </c>
      <c r="F103" s="1">
        <f t="shared" si="9"/>
        <v>55.937301333333338</v>
      </c>
      <c r="G103" s="1">
        <f t="shared" si="10"/>
        <v>55.937301333333338</v>
      </c>
      <c r="H103" s="1" t="str">
        <f t="shared" si="11"/>
        <v>增产</v>
      </c>
      <c r="I103" s="1" t="s">
        <v>178</v>
      </c>
      <c r="J103" s="1">
        <f t="shared" si="12"/>
        <v>341428.69864583621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269.43146666666667</v>
      </c>
      <c r="D104" s="1" t="s">
        <v>96</v>
      </c>
      <c r="E104" s="1">
        <f>(2*(12*G72+G96+G52)+(24/B2)*(G6+2.5*B3*B9)+52*B16)/4</f>
        <v>246.88106666666667</v>
      </c>
      <c r="F104" s="1">
        <f t="shared" si="9"/>
        <v>246.88106666666667</v>
      </c>
      <c r="G104" s="1">
        <f t="shared" si="10"/>
        <v>246.88106666666667</v>
      </c>
      <c r="H104" s="1" t="str">
        <f t="shared" si="11"/>
        <v>加速</v>
      </c>
      <c r="I104" s="1" t="s">
        <v>180</v>
      </c>
      <c r="J104" s="1">
        <f t="shared" si="12"/>
        <v>77359.516701159213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35.619466666666668</v>
      </c>
      <c r="D105" s="1">
        <f>((2*G51+3*G31)+(4/B2)*(E6+2.5*B3*B9)+5*B16)/1.25</f>
        <v>29.278933333333335</v>
      </c>
      <c r="E105" s="1">
        <f>(2*(2*G51+3*G31)+(4/B2)*(E6+2.5*B3*B9)+10*B16)/2</f>
        <v>28.529333333333334</v>
      </c>
      <c r="F105" s="1">
        <f t="shared" si="9"/>
        <v>28.529333333333334</v>
      </c>
      <c r="G105" s="1">
        <f t="shared" si="10"/>
        <v>28.529333333333334</v>
      </c>
      <c r="H105" s="1" t="str">
        <f t="shared" si="11"/>
        <v>加速</v>
      </c>
      <c r="I105" s="1" t="s">
        <v>182</v>
      </c>
      <c r="J105" s="1">
        <f t="shared" si="12"/>
        <v>669437.30429499457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275.68186666666668</v>
      </c>
      <c r="D106" s="1">
        <f>((5*G52+5*G61)+(6/B2)*(E6+2.5*B3*B9)+10*B16)/1.25</f>
        <v>221.72053333333332</v>
      </c>
      <c r="E106" s="1">
        <f>(2*(5*G52+5*G61)+(6/B2)*(E6+2.5*B3*B9)+20*B16)/2</f>
        <v>265.04666666666668</v>
      </c>
      <c r="F106" s="1">
        <f t="shared" si="9"/>
        <v>221.72053333333332</v>
      </c>
      <c r="G106" s="1">
        <f t="shared" si="10"/>
        <v>221.72053333333332</v>
      </c>
      <c r="H106" s="1" t="str">
        <f t="shared" si="11"/>
        <v>增产</v>
      </c>
      <c r="I106" s="1" t="s">
        <v>184</v>
      </c>
      <c r="J106" s="1">
        <f t="shared" si="12"/>
        <v>86138.16552248357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8.6177333333333337</v>
      </c>
      <c r="D110" s="1">
        <f>((G50+G57)+(3/G2)*(P6+2.5*G3*B9)+2*B16)/1.25</f>
        <v>7.285866666666668</v>
      </c>
      <c r="E110" s="1">
        <f>(2*(G50+G57)+(3/G2)*(P6+2.5*G3*B9)+4*B16)/2</f>
        <v>7.9493333333333345</v>
      </c>
      <c r="F110" s="1">
        <f t="shared" ref="F110:F115" si="13">MIN(C110:E110)</f>
        <v>7.285866666666668</v>
      </c>
      <c r="G110" s="1">
        <f>D110</f>
        <v>7.285866666666668</v>
      </c>
      <c r="H110" s="1" t="str">
        <f t="shared" ref="H110:H115" si="14">IF(C110=G110,"不使用增产剂","")&amp;IF(D110=G110,"增产","")&amp;IF(E110=G110,"加速","")</f>
        <v>增产</v>
      </c>
      <c r="I110" s="1" t="s">
        <v>187</v>
      </c>
      <c r="J110" s="1">
        <f t="shared" ref="J110:J115" si="15">60*318310/G110</f>
        <v>2621321.645560354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9.1088000000000005</v>
      </c>
      <c r="D111" s="1">
        <f>((2*G35)+(6/G2)*(P6+2.5*G3*B9)+4*B16)/1.25</f>
        <v>8.0704000000000011</v>
      </c>
      <c r="E111" s="1">
        <f>(2*(2*G35)+(6/G2)*(P6+2.5*G3*B9)+8*B16)/2</f>
        <v>7.7720000000000002</v>
      </c>
      <c r="F111" s="1">
        <f t="shared" si="13"/>
        <v>7.7720000000000002</v>
      </c>
      <c r="G111" s="1">
        <f t="shared" ref="G111:G115" si="16">F111</f>
        <v>7.7720000000000002</v>
      </c>
      <c r="H111" s="1" t="str">
        <f t="shared" si="14"/>
        <v>加速</v>
      </c>
      <c r="I111" s="1" t="s">
        <v>189</v>
      </c>
      <c r="J111" s="1">
        <f t="shared" si="15"/>
        <v>2457359.7529593413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22.146733333333334</v>
      </c>
      <c r="D112" s="1">
        <f>((H22+G62)+(8/G2)*(P6+2.5*G3*B9)+2*B16)/1.25</f>
        <v>18.76186666666667</v>
      </c>
      <c r="E112" s="1">
        <f>(2*(H22+G62)+(8/G2)*(P6+2.5*G3*B9)+4*B16)/2</f>
        <v>20.364333333333335</v>
      </c>
      <c r="F112" s="1">
        <f t="shared" si="13"/>
        <v>18.76186666666667</v>
      </c>
      <c r="G112" s="1">
        <f t="shared" si="16"/>
        <v>18.76186666666667</v>
      </c>
      <c r="H112" s="1" t="str">
        <f t="shared" si="14"/>
        <v>增产</v>
      </c>
      <c r="I112" s="1" t="s">
        <v>191</v>
      </c>
      <c r="J112" s="1">
        <f t="shared" si="15"/>
        <v>1017947.7521781769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171.85266666666664</v>
      </c>
      <c r="D113" s="1">
        <f>((2*G59+G74)+(10/G2)*(P6+2.5*G3*B9)+3*B16)/1.25</f>
        <v>138.78773333333331</v>
      </c>
      <c r="E113" s="1">
        <f>(2*(2*G59+G74)+(10/G2)*(P6+2.5*G3*B9)+6*B16)/2</f>
        <v>169.62466666666666</v>
      </c>
      <c r="F113" s="1">
        <f t="shared" si="13"/>
        <v>138.78773333333331</v>
      </c>
      <c r="G113" s="1">
        <f t="shared" si="16"/>
        <v>138.78773333333331</v>
      </c>
      <c r="H113" s="1" t="str">
        <f t="shared" si="14"/>
        <v>增产</v>
      </c>
      <c r="I113" s="1" t="s">
        <v>193</v>
      </c>
      <c r="J113" s="1">
        <f t="shared" si="15"/>
        <v>137610.14422023852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209.66437333333332</v>
      </c>
      <c r="D114" s="1">
        <f>((G93+G92)+(24/G2)*(P6+2.5*G3*B9)+2*B16)/2.5</f>
        <v>169.29821866666666</v>
      </c>
      <c r="E114" s="1">
        <f>(2*(G93+G92)+(24/G2)*(P6+2.5*G3*B9)+4*B16)/4</f>
        <v>206.99077333333332</v>
      </c>
      <c r="F114" s="1">
        <f t="shared" si="13"/>
        <v>169.29821866666666</v>
      </c>
      <c r="G114" s="1">
        <f t="shared" si="16"/>
        <v>169.29821866666666</v>
      </c>
      <c r="H114" s="1" t="str">
        <f t="shared" si="14"/>
        <v>增产</v>
      </c>
      <c r="I114" s="1" t="s">
        <v>195</v>
      </c>
      <c r="J114" s="1">
        <f t="shared" si="15"/>
        <v>112810.40137583177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379.7126853333333</v>
      </c>
      <c r="D115" s="1">
        <f>((G110+G111+G112+G113+G114+G72)+(15/G2)*(Q6+2.5*G3*B9)+6*B16)/1.25</f>
        <v>305.72854826666662</v>
      </c>
      <c r="E115" s="1">
        <f>(2*(G110+G111+G112+G113+G114+G72)+(15/G2)*(Q6+2.5*G3*B9)+12*B16)/2</f>
        <v>376.37068533333331</v>
      </c>
      <c r="F115" s="1">
        <f t="shared" si="13"/>
        <v>305.72854826666662</v>
      </c>
      <c r="G115" s="1">
        <f t="shared" si="16"/>
        <v>305.72854826666662</v>
      </c>
      <c r="H115" s="1" t="str">
        <f t="shared" si="14"/>
        <v>增产</v>
      </c>
      <c r="I115" s="1" t="s">
        <v>197</v>
      </c>
      <c r="J115" s="1">
        <f t="shared" si="15"/>
        <v>62469.141688860422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230" priority="4" operator="equal">
      <formula>"不使用增产剂"</formula>
    </cfRule>
    <cfRule type="cellIs" dxfId="229" priority="5" operator="equal">
      <formula>"加速"</formula>
    </cfRule>
    <cfRule type="cellIs" dxfId="228" priority="6" operator="equal">
      <formula>"增产"</formula>
    </cfRule>
  </conditionalFormatting>
  <conditionalFormatting sqref="A75:B75">
    <cfRule type="cellIs" dxfId="227" priority="10" operator="equal">
      <formula>"不使用增产剂"</formula>
    </cfRule>
    <cfRule type="cellIs" dxfId="226" priority="11" operator="equal">
      <formula>"加速"</formula>
    </cfRule>
    <cfRule type="cellIs" dxfId="225" priority="12" operator="equal">
      <formula>"增产"</formula>
    </cfRule>
  </conditionalFormatting>
  <conditionalFormatting sqref="A49:F49">
    <cfRule type="cellIs" dxfId="224" priority="31" operator="equal">
      <formula>"不使用增产剂"</formula>
    </cfRule>
    <cfRule type="cellIs" dxfId="223" priority="32" operator="equal">
      <formula>"加速"</formula>
    </cfRule>
    <cfRule type="cellIs" dxfId="222" priority="33" operator="equal">
      <formula>"增产"</formula>
    </cfRule>
  </conditionalFormatting>
  <conditionalFormatting sqref="A90:F90">
    <cfRule type="cellIs" dxfId="221" priority="28" operator="equal">
      <formula>"不使用增产剂"</formula>
    </cfRule>
    <cfRule type="cellIs" dxfId="220" priority="29" operator="equal">
      <formula>"加速"</formula>
    </cfRule>
    <cfRule type="cellIs" dxfId="219" priority="30" operator="equal">
      <formula>"增产"</formula>
    </cfRule>
  </conditionalFormatting>
  <conditionalFormatting sqref="A109:F109">
    <cfRule type="cellIs" dxfId="218" priority="25" operator="equal">
      <formula>"不使用增产剂"</formula>
    </cfRule>
    <cfRule type="cellIs" dxfId="217" priority="26" operator="equal">
      <formula>"加速"</formula>
    </cfRule>
    <cfRule type="cellIs" dxfId="216" priority="27" operator="equal">
      <formula>"增产"</formula>
    </cfRule>
  </conditionalFormatting>
  <conditionalFormatting sqref="A26:H38 A39:G42 H39:H49 A43:B44 F43:G44 A45:G47 F48 A50:H74 F75:H78">
    <cfRule type="cellIs" dxfId="215" priority="34" operator="equal">
      <formula>"不使用增产剂"</formula>
    </cfRule>
    <cfRule type="cellIs" dxfId="214" priority="35" operator="equal">
      <formula>"加速"</formula>
    </cfRule>
    <cfRule type="cellIs" dxfId="213" priority="36" operator="equal">
      <formula>"增产"</formula>
    </cfRule>
  </conditionalFormatting>
  <conditionalFormatting sqref="A91:I106">
    <cfRule type="cellIs" dxfId="212" priority="16" operator="equal">
      <formula>"不使用增产剂"</formula>
    </cfRule>
    <cfRule type="cellIs" dxfId="211" priority="17" operator="equal">
      <formula>"加速"</formula>
    </cfRule>
    <cfRule type="cellIs" dxfId="210" priority="18" operator="equal">
      <formula>"增产"</formula>
    </cfRule>
  </conditionalFormatting>
  <conditionalFormatting sqref="A110:I115">
    <cfRule type="cellIs" dxfId="209" priority="13" operator="equal">
      <formula>"不使用增产剂"</formula>
    </cfRule>
    <cfRule type="cellIs" dxfId="208" priority="14" operator="equal">
      <formula>"加速"</formula>
    </cfRule>
    <cfRule type="cellIs" dxfId="207" priority="15" operator="equal">
      <formula>"增产"</formula>
    </cfRule>
  </conditionalFormatting>
  <conditionalFormatting sqref="I30:I45">
    <cfRule type="cellIs" dxfId="206" priority="22" operator="equal">
      <formula>"不使用增产剂"</formula>
    </cfRule>
    <cfRule type="cellIs" dxfId="205" priority="23" operator="equal">
      <formula>"加速"</formula>
    </cfRule>
    <cfRule type="cellIs" dxfId="204" priority="24" operator="equal">
      <formula>"增产"</formula>
    </cfRule>
  </conditionalFormatting>
  <conditionalFormatting sqref="I50:I75">
    <cfRule type="cellIs" dxfId="203" priority="7" operator="equal">
      <formula>"不使用增产剂"</formula>
    </cfRule>
    <cfRule type="cellIs" dxfId="202" priority="8" operator="equal">
      <formula>"加速"</formula>
    </cfRule>
    <cfRule type="cellIs" dxfId="201" priority="9" operator="equal">
      <formula>"增产"</formula>
    </cfRule>
  </conditionalFormatting>
  <conditionalFormatting sqref="I77">
    <cfRule type="cellIs" dxfId="200" priority="1" operator="equal">
      <formula>"不使用增产剂"</formula>
    </cfRule>
    <cfRule type="cellIs" dxfId="199" priority="2" operator="equal">
      <formula>"加速"</formula>
    </cfRule>
    <cfRule type="cellIs" dxfId="198" priority="3" operator="equal">
      <formula>"增产"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E7B0-AC0D-4F8F-833B-AB6E10C8C291}">
  <dimension ref="A1:U115"/>
  <sheetViews>
    <sheetView tabSelected="1" zoomScale="85" zoomScaleNormal="85" workbookViewId="0">
      <selection activeCell="A26" sqref="A26:F2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3</v>
      </c>
      <c r="C2" s="1">
        <v>3</v>
      </c>
      <c r="D2" s="1">
        <v>2</v>
      </c>
      <c r="E2" s="1">
        <v>1</v>
      </c>
      <c r="F2" s="1">
        <v>1</v>
      </c>
      <c r="G2" s="1">
        <v>45</v>
      </c>
      <c r="H2" s="1">
        <f>2.283152383</f>
        <v>2.283152383</v>
      </c>
    </row>
    <row r="3" spans="1:21" x14ac:dyDescent="0.2">
      <c r="A3" s="1" t="s">
        <v>9</v>
      </c>
      <c r="B3" s="1">
        <v>2.88</v>
      </c>
      <c r="C3" s="1">
        <v>2.88</v>
      </c>
      <c r="D3" s="1">
        <v>2.16</v>
      </c>
      <c r="E3" s="1">
        <v>0.96</v>
      </c>
      <c r="F3" s="1">
        <v>12</v>
      </c>
      <c r="G3" s="1">
        <f>1.92*15</f>
        <v>28.799999999999997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256</v>
      </c>
      <c r="B6" s="1">
        <v>6.96</v>
      </c>
      <c r="C6" s="1">
        <v>8.16</v>
      </c>
      <c r="D6" s="1">
        <v>10.88</v>
      </c>
      <c r="E6" s="1">
        <v>10.88</v>
      </c>
      <c r="F6" s="1">
        <v>11.52</v>
      </c>
      <c r="G6" s="1">
        <v>11.52</v>
      </c>
      <c r="H6" s="1">
        <v>26.4</v>
      </c>
      <c r="I6" s="1">
        <v>26.4</v>
      </c>
      <c r="J6" s="1">
        <v>47.5</v>
      </c>
      <c r="K6" s="1">
        <v>47.5</v>
      </c>
      <c r="L6" s="1">
        <v>52.25</v>
      </c>
      <c r="M6" s="1">
        <v>19.5</v>
      </c>
      <c r="N6" s="1">
        <v>19.5</v>
      </c>
      <c r="O6" s="1">
        <v>22.5</v>
      </c>
      <c r="P6" s="1">
        <v>22.5</v>
      </c>
      <c r="Q6" s="1">
        <v>22.5</v>
      </c>
      <c r="R6" s="1">
        <v>48.96</v>
      </c>
      <c r="S6" s="1">
        <v>54.824300000000001</v>
      </c>
      <c r="T6" s="1">
        <v>16.670000000000002</v>
      </c>
      <c r="U6" s="1">
        <v>10.5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259</v>
      </c>
      <c r="B9" s="1">
        <v>0.18859999999999999</v>
      </c>
      <c r="C9" s="1">
        <f>C10/2</f>
        <v>0.18861749701299976</v>
      </c>
      <c r="D9" s="1">
        <v>0.17</v>
      </c>
      <c r="E9" s="1">
        <v>0.34</v>
      </c>
      <c r="F9" s="1">
        <v>0.38934090003248278</v>
      </c>
      <c r="G9" s="1">
        <v>0.38934090003248278</v>
      </c>
      <c r="H9" s="1">
        <v>0.39020643276670125</v>
      </c>
      <c r="I9" s="1">
        <f>(H9-G9)/(1-(F9-H9)/(E9-G9))+G9</f>
        <v>0.39022188694385879</v>
      </c>
    </row>
    <row r="10" spans="1:21" x14ac:dyDescent="0.2">
      <c r="A10" s="1" t="s">
        <v>35</v>
      </c>
      <c r="C10" s="1">
        <f>(F104+F101/74+50*R6)/7200</f>
        <v>0.37723499402599953</v>
      </c>
      <c r="D10" s="1">
        <f>50*R6/7200</f>
        <v>0.34</v>
      </c>
    </row>
    <row r="11" spans="1:21" x14ac:dyDescent="0.2">
      <c r="A11" s="1" t="s">
        <v>36</v>
      </c>
      <c r="C11" s="1">
        <f>(F104+100*R6)/7200</f>
        <v>0.71717593235074817</v>
      </c>
      <c r="D11" s="1">
        <f>100*R6/7200</f>
        <v>0.68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0.42524406181015445</v>
      </c>
      <c r="C16" s="1">
        <f>F101/74</f>
        <v>0.42524406181015456</v>
      </c>
      <c r="D16" s="1">
        <v>0.42475849889624723</v>
      </c>
      <c r="E16" s="1">
        <v>0.42515482322057158</v>
      </c>
      <c r="F16" s="1">
        <v>0.42515482322057158</v>
      </c>
      <c r="G16" s="1">
        <v>0.42522766120450139</v>
      </c>
      <c r="H16" s="1">
        <f>(G16-F16)/(1-(E16-G16)/(D16-F16))+F16</f>
        <v>0.42524406181015445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102.63167268535099</v>
      </c>
      <c r="C20" s="1">
        <f>G43</f>
        <v>8.530600657606854</v>
      </c>
      <c r="D20" s="1">
        <f>G64</f>
        <v>48.090908150110373</v>
      </c>
      <c r="E20" s="1">
        <f>G69</f>
        <v>27.243174258719648</v>
      </c>
      <c r="F20" s="1">
        <f>10*S6</f>
        <v>548.24300000000005</v>
      </c>
      <c r="G20" s="1">
        <f>G75</f>
        <v>27.291053278145689</v>
      </c>
      <c r="H20" s="1">
        <f>G76</f>
        <v>6.8210121854304635</v>
      </c>
      <c r="I20" s="1">
        <f>G77</f>
        <v>6.8210121854304635</v>
      </c>
      <c r="J20" s="1">
        <f>G78</f>
        <v>187.95032413951432</v>
      </c>
    </row>
    <row r="21" spans="1:11" x14ac:dyDescent="0.2">
      <c r="A21" s="1" t="s">
        <v>52</v>
      </c>
      <c r="B21" s="1">
        <f>G66</f>
        <v>16.884670198675497</v>
      </c>
      <c r="C21" s="1">
        <f>G44</f>
        <v>14.139988123620309</v>
      </c>
      <c r="D21" s="1">
        <f>G63</f>
        <v>30.643932123620306</v>
      </c>
      <c r="E21" s="1">
        <f>G70</f>
        <v>11.285340538631347</v>
      </c>
      <c r="F21" s="1">
        <f>G45</f>
        <v>138.08448649632084</v>
      </c>
      <c r="G21" s="1">
        <f>G41</f>
        <v>14.984952185430462</v>
      </c>
      <c r="H21" s="1">
        <f>G38</f>
        <v>1.2523620309050774</v>
      </c>
      <c r="I21" s="1">
        <f>G37</f>
        <v>1.7423620309050774</v>
      </c>
      <c r="J21" s="1" t="s">
        <v>234</v>
      </c>
    </row>
    <row r="22" spans="1:11" x14ac:dyDescent="0.2">
      <c r="A22" s="1" t="s">
        <v>53</v>
      </c>
      <c r="B22" s="1">
        <f>B21</f>
        <v>16.884670198675497</v>
      </c>
      <c r="C22" s="1">
        <f>C19</f>
        <v>0</v>
      </c>
      <c r="D22" s="1">
        <f>D21</f>
        <v>30.643932123620306</v>
      </c>
      <c r="E22" s="1">
        <f>E21</f>
        <v>11.285340538631347</v>
      </c>
      <c r="F22" s="1">
        <f>F19</f>
        <v>0</v>
      </c>
      <c r="G22" s="1">
        <f>G21</f>
        <v>14.984952185430462</v>
      </c>
      <c r="H22" s="1">
        <f>H21</f>
        <v>1.2523620309050774</v>
      </c>
      <c r="I22" s="1">
        <f>I21</f>
        <v>1.7423620309050774</v>
      </c>
      <c r="J22" s="1">
        <f>J19</f>
        <v>0</v>
      </c>
    </row>
    <row r="25" spans="1:11" x14ac:dyDescent="0.2">
      <c r="C25" s="1" t="s">
        <v>260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64</v>
      </c>
    </row>
    <row r="29" spans="1:11" ht="19.5" x14ac:dyDescent="0.2">
      <c r="A29" s="2" t="s">
        <v>65</v>
      </c>
      <c r="B29" s="2"/>
      <c r="C29" s="2"/>
      <c r="D29" s="2"/>
      <c r="E29" s="2"/>
      <c r="F29" s="2"/>
    </row>
    <row r="30" spans="1:11" x14ac:dyDescent="0.2">
      <c r="A30" s="1" t="s">
        <v>66</v>
      </c>
      <c r="B30" s="1" t="s">
        <v>67</v>
      </c>
      <c r="C30" s="1">
        <f>(B6+C3*B9)/C2</f>
        <v>2.5010559999999997</v>
      </c>
      <c r="D30" s="1">
        <f>((B6+C3*B9*2.5)/C2+B16)/1.25</f>
        <v>2.558307249448124</v>
      </c>
      <c r="E30" s="1">
        <f>((B6+C3*B9*2.5)/C2+2*B16)/2</f>
        <v>1.8115640618101547</v>
      </c>
      <c r="F30" s="1">
        <f>MIN(C30:E30)</f>
        <v>1.8115640618101547</v>
      </c>
      <c r="G30" s="1">
        <f>F30</f>
        <v>1.8115640618101547</v>
      </c>
      <c r="H30" s="1" t="str">
        <f t="shared" ref="H30:H37" si="0">IF(C30=G30,"不使用增产剂","")&amp;IF(D30=G30,"增产","")&amp;IF(E30=G30,"加速","")</f>
        <v>加速</v>
      </c>
      <c r="I30" s="1" t="s">
        <v>66</v>
      </c>
      <c r="J30" s="1">
        <f t="shared" ref="J30:J45" si="1">60*318310/G30</f>
        <v>10542602.606565433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2.5010559999999997</v>
      </c>
      <c r="D31" s="1">
        <f>((B6+C3*B9*2.5)/C2+B16)/1.25</f>
        <v>2.558307249448124</v>
      </c>
      <c r="E31" s="1">
        <f>((B6+C3*B9*2.5)/C2+2*B16)/2</f>
        <v>1.8115640618101547</v>
      </c>
      <c r="F31" s="1">
        <f t="shared" ref="F31:F44" si="2">MIN(C31:E31)</f>
        <v>1.8115640618101547</v>
      </c>
      <c r="G31" s="1">
        <f t="shared" ref="G31:G44" si="3">F31</f>
        <v>1.8115640618101547</v>
      </c>
      <c r="H31" s="1" t="str">
        <f t="shared" si="0"/>
        <v>加速</v>
      </c>
      <c r="I31" s="1" t="s">
        <v>69</v>
      </c>
      <c r="J31" s="1">
        <f t="shared" si="1"/>
        <v>10542602.606565433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5.0021119999999994</v>
      </c>
      <c r="D32" s="1">
        <f>(2*(B6+C3*B9*2.5)/C2+2*B16)/1.25</f>
        <v>5.1166144988962481</v>
      </c>
      <c r="E32" s="1">
        <f>(2*(B6+C3*B9*2.5)/C2+4*B16)/2</f>
        <v>3.6231281236203094</v>
      </c>
      <c r="F32" s="1">
        <f t="shared" si="2"/>
        <v>3.6231281236203094</v>
      </c>
      <c r="G32" s="1">
        <f t="shared" si="3"/>
        <v>3.6231281236203094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1"/>
        <v>5271301.3032827163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5.0021119999999994</v>
      </c>
      <c r="D33" s="1">
        <f>(2*(B6+C3*B9*2.5)/C2+2*B16)/1.25</f>
        <v>5.1166144988962481</v>
      </c>
      <c r="E33" s="1">
        <f>(2*(B6+C3*B9*2.5)/C2+4*B16)/2</f>
        <v>3.6231281236203094</v>
      </c>
      <c r="F33" s="1">
        <f t="shared" si="2"/>
        <v>3.6231281236203094</v>
      </c>
      <c r="G33" s="1">
        <f t="shared" si="3"/>
        <v>3.6231281236203094</v>
      </c>
      <c r="H33" s="1" t="str">
        <f t="shared" si="0"/>
        <v>加速</v>
      </c>
      <c r="I33" s="1" t="s">
        <v>73</v>
      </c>
      <c r="J33" s="1">
        <f t="shared" si="1"/>
        <v>5271301.3032827163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2.5010559999999997</v>
      </c>
      <c r="D34" s="1">
        <f>((B6+C3*B9*2.5)/C2+B16)/1.25</f>
        <v>2.558307249448124</v>
      </c>
      <c r="E34" s="1">
        <f>((B6+C3*B9*2.5)/C2+2*B16)/2</f>
        <v>1.8115640618101547</v>
      </c>
      <c r="F34" s="1">
        <f t="shared" si="2"/>
        <v>1.8115640618101547</v>
      </c>
      <c r="G34" s="1">
        <f t="shared" si="3"/>
        <v>1.8115640618101547</v>
      </c>
      <c r="H34" s="1" t="str">
        <f t="shared" si="0"/>
        <v>加速</v>
      </c>
      <c r="I34" s="1" t="s">
        <v>75</v>
      </c>
      <c r="J34" s="1">
        <f t="shared" si="1"/>
        <v>10542602.606565433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5.0021119999999994</v>
      </c>
      <c r="D35" s="1">
        <f>(2*(B6+C3*B9*2.5)/C2+2*B16)/1.25</f>
        <v>5.1166144988962481</v>
      </c>
      <c r="E35" s="1">
        <f>(2*(B6+C3*B9*2.5)/C2+4*B16)/2</f>
        <v>3.6231281236203094</v>
      </c>
      <c r="F35" s="1">
        <f t="shared" si="2"/>
        <v>3.6231281236203094</v>
      </c>
      <c r="G35" s="1">
        <f t="shared" si="3"/>
        <v>3.6231281236203094</v>
      </c>
      <c r="H35" s="1" t="str">
        <f t="shared" si="0"/>
        <v>加速</v>
      </c>
      <c r="I35" s="1" t="s">
        <v>77</v>
      </c>
      <c r="J35" s="1">
        <f t="shared" si="1"/>
        <v>5271301.3032827163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5.0021119999999994</v>
      </c>
      <c r="D36" s="1">
        <f>(2*(B6+C3*B9*2.5)/C2+2*B16)/1.25</f>
        <v>5.1166144988962481</v>
      </c>
      <c r="E36" s="1">
        <f>(2*(B6+C3*B9*2.5)/C2+4*B16)/2</f>
        <v>3.6231281236203094</v>
      </c>
      <c r="F36" s="1">
        <f t="shared" si="2"/>
        <v>3.6231281236203094</v>
      </c>
      <c r="G36" s="1">
        <f t="shared" si="3"/>
        <v>3.6231281236203094</v>
      </c>
      <c r="H36" s="1" t="str">
        <f t="shared" si="0"/>
        <v>加速</v>
      </c>
      <c r="I36" s="1" t="s">
        <v>79</v>
      </c>
      <c r="J36" s="1">
        <f t="shared" si="1"/>
        <v>5271301.3032827163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2.8557919999999997</v>
      </c>
      <c r="D37" s="1">
        <f>(1.5*(D6+B3*B9*2.5)/B2+B16)/2.5</f>
        <v>2.617681624724062</v>
      </c>
      <c r="E37" s="1">
        <f>(1.5*(D6+B3*B9*2.5)/B2+2*B16)/4</f>
        <v>1.7423620309050774</v>
      </c>
      <c r="F37" s="1">
        <f t="shared" si="2"/>
        <v>1.7423620309050774</v>
      </c>
      <c r="G37" s="1">
        <f t="shared" si="3"/>
        <v>1.7423620309050774</v>
      </c>
      <c r="H37" s="1" t="str">
        <f t="shared" si="0"/>
        <v>加速</v>
      </c>
      <c r="I37" s="1" t="s">
        <v>81</v>
      </c>
      <c r="J37" s="1">
        <f t="shared" si="1"/>
        <v>10961327.015418921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1.8757919999999999</v>
      </c>
      <c r="D38" s="1">
        <f>(1.5*(B6+C3*B9*2.5)/C2+B16)/2.5</f>
        <v>1.8336816247240619</v>
      </c>
      <c r="E38" s="1">
        <f>(1.5*(B6+C3*B9*2.5)/C2+2*B16)/4</f>
        <v>1.2523620309050774</v>
      </c>
      <c r="F38" s="1">
        <f t="shared" si="2"/>
        <v>1.2523620309050774</v>
      </c>
      <c r="G38" s="1">
        <f t="shared" si="3"/>
        <v>1.2523620309050774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1"/>
        <v>15250063.103715714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13.403687999999999</v>
      </c>
      <c r="D39" s="1">
        <f>(2*(I6+D3*B9*2.5)/D2+2*B16)/2.5</f>
        <v>11.307571249448122</v>
      </c>
      <c r="E39" s="1">
        <f>(2*(I6+D3*B9*2.5)/D2+4*B16)/4</f>
        <v>7.2798540618101537</v>
      </c>
      <c r="F39" s="1">
        <f t="shared" si="2"/>
        <v>7.2798540618101537</v>
      </c>
      <c r="G39" s="1">
        <f t="shared" si="3"/>
        <v>7.2798540618101537</v>
      </c>
      <c r="H39" s="1" t="str">
        <f t="shared" ref="H39:H45" si="4">IF(C39=G39,"不使用增产剂","")&amp;IF(D39=G39,"增产","")&amp;IF(E39=G39,"加速","")</f>
        <v>加速</v>
      </c>
      <c r="I39" s="1" t="s">
        <v>85</v>
      </c>
      <c r="J39" s="1">
        <f t="shared" si="1"/>
        <v>2623486.6575403693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39.362112000000003</v>
      </c>
      <c r="D40" s="1">
        <f>((4/E2)*(N6+B9*E3*2.5)+2*B16)/2.5</f>
        <v>32.264419249448125</v>
      </c>
      <c r="E40" s="1">
        <f>((4/E2)*(N6+B9*E3*2.5)+4*B16)/4</f>
        <v>20.377884061810153</v>
      </c>
      <c r="F40" s="1">
        <f t="shared" si="2"/>
        <v>20.377884061810153</v>
      </c>
      <c r="G40" s="1">
        <f t="shared" si="3"/>
        <v>20.377884061810153</v>
      </c>
      <c r="H40" s="1" t="str">
        <f t="shared" si="4"/>
        <v>加速</v>
      </c>
      <c r="I40" s="1" t="s">
        <v>87</v>
      </c>
      <c r="J40" s="1">
        <f t="shared" si="1"/>
        <v>937221.93835582573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26.807375999999998</v>
      </c>
      <c r="D41" s="1">
        <f>(4*(I6+D3*B9*2.5)/D2+6*B16)/2.5</f>
        <v>22.95533774834437</v>
      </c>
      <c r="E41" s="1">
        <f>(4*(I6+D3*B9*2.5)/D2+12*B16)/4</f>
        <v>14.984952185430462</v>
      </c>
      <c r="F41" s="1">
        <f t="shared" si="2"/>
        <v>14.984952185430462</v>
      </c>
      <c r="G41" s="1">
        <f t="shared" si="3"/>
        <v>14.984952185430462</v>
      </c>
      <c r="H41" s="1" t="str">
        <f t="shared" si="4"/>
        <v>加速</v>
      </c>
      <c r="I41" s="1" t="s">
        <v>89</v>
      </c>
      <c r="J41" s="1">
        <f t="shared" si="1"/>
        <v>1274518.5812851072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3.7515839999999998</v>
      </c>
      <c r="D42" s="1">
        <f>(1.5*(B6+C3*B9*2.5)/C2+B16)/1.25</f>
        <v>3.6673632494481239</v>
      </c>
      <c r="E42" s="1">
        <f>(1.5*(B6+C3*B9*2.5)/C2+2*B16)/2</f>
        <v>2.5047240618101547</v>
      </c>
      <c r="F42" s="1">
        <f t="shared" si="2"/>
        <v>2.5047240618101547</v>
      </c>
      <c r="G42" s="1">
        <f t="shared" si="3"/>
        <v>2.5047240618101547</v>
      </c>
      <c r="H42" s="1" t="str">
        <f t="shared" si="4"/>
        <v>加速</v>
      </c>
      <c r="I42" s="1" t="s">
        <v>91</v>
      </c>
      <c r="J42" s="1">
        <f t="shared" si="1"/>
        <v>7625031.551857857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8.530600657606854</v>
      </c>
      <c r="F43" s="1">
        <f t="shared" si="2"/>
        <v>8.530600657606854</v>
      </c>
      <c r="G43" s="1">
        <f t="shared" si="3"/>
        <v>8.530600657606854</v>
      </c>
      <c r="H43" s="1" t="str">
        <f t="shared" si="4"/>
        <v>加速</v>
      </c>
      <c r="I43" s="1" t="s">
        <v>93</v>
      </c>
      <c r="J43" s="1">
        <f t="shared" si="1"/>
        <v>2238834.1415290041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24.881599999999999</v>
      </c>
      <c r="D44" s="1">
        <f>(2.5*(J6+F3*B9*2.5)/F2+10*B16)/6.25</f>
        <v>21.943590498896246</v>
      </c>
      <c r="E44" s="1">
        <f>(2.5*(J6+F3*B9*2.5)/F2+20*B16)/10</f>
        <v>14.139988123620309</v>
      </c>
      <c r="F44" s="1">
        <f t="shared" si="2"/>
        <v>14.139988123620309</v>
      </c>
      <c r="G44" s="1">
        <f t="shared" si="3"/>
        <v>14.139988123620309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1"/>
        <v>1350680.0594900444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276.16542929212659</v>
      </c>
      <c r="D45" s="1" t="s">
        <v>96</v>
      </c>
      <c r="E45" s="1">
        <f>((0.1*G92)+60*S6+0.1*B16)/24</f>
        <v>138.08448649632084</v>
      </c>
      <c r="F45" s="1">
        <f>MIN(C45:E45)</f>
        <v>138.08448649632084</v>
      </c>
      <c r="G45" s="1">
        <f>F45</f>
        <v>138.08448649632084</v>
      </c>
      <c r="H45" s="1" t="str">
        <f t="shared" si="4"/>
        <v>加速</v>
      </c>
      <c r="I45" s="1" t="s">
        <v>101</v>
      </c>
      <c r="J45" s="1">
        <f t="shared" si="1"/>
        <v>138310.97529199175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5.314367426048566</v>
      </c>
      <c r="D50" s="1">
        <f>((2*G42+G31)+(E6+B3*B9*2.5)/B2+3*B16)/2.5</f>
        <v>4.8704204150110382</v>
      </c>
      <c r="E50" s="1">
        <f>(2*(2*G42+G31)+(E6+2.5*B3*B9)/B2+6*B16)/4</f>
        <v>5.0681988520971304</v>
      </c>
      <c r="F50" s="1">
        <f t="shared" ref="F50:F78" si="5">MIN(C50:E50)</f>
        <v>4.8704204150110382</v>
      </c>
      <c r="G50" s="1">
        <f t="shared" ref="G50:G78" si="6">F50</f>
        <v>4.8704204150110382</v>
      </c>
      <c r="H50" s="1" t="str">
        <f t="shared" ref="H50:H78" si="7">IF(C50=G50,"不使用增产剂","")&amp;IF(D50=G50,"增产","")&amp;IF(E50=G50,"加速","")</f>
        <v>增产</v>
      </c>
      <c r="I50" s="1" t="s">
        <v>103</v>
      </c>
      <c r="J50" s="1">
        <f t="shared" ref="J50:J78" si="8">60*318310/G50</f>
        <v>3921345.2582320278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12.937860185430463</v>
      </c>
      <c r="D51" s="1">
        <f>((3*G30)+3*(B6+C3*B9*2.5)/C2+3*B16)/1.25</f>
        <v>12.022675496688743</v>
      </c>
      <c r="E51" s="1">
        <f>(2*(3*G30)+3*(B6+C3*B9*2.5)/C2+6*B16)/2</f>
        <v>10.869384370860928</v>
      </c>
      <c r="F51" s="1">
        <f t="shared" si="5"/>
        <v>10.869384370860928</v>
      </c>
      <c r="G51" s="1">
        <f t="shared" si="6"/>
        <v>10.869384370860928</v>
      </c>
      <c r="H51" s="1" t="str">
        <f t="shared" si="7"/>
        <v>加速</v>
      </c>
      <c r="I51" s="1" t="s">
        <v>105</v>
      </c>
      <c r="J51" s="1">
        <f t="shared" si="8"/>
        <v>1757100.4344275722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23.195680494481238</v>
      </c>
      <c r="D52" s="1">
        <f>((4*G33+4*G51)+(12/C2)*(C6+C3*B9*2.5)+16*B16)/5</f>
        <v>20.569126993377484</v>
      </c>
      <c r="E52" s="1">
        <f>(2*(4*G33+4*G51)+(12/C2)*(C6+C3*B9*2.5)+32*B16)/8</f>
        <v>20.952448741721856</v>
      </c>
      <c r="F52" s="1">
        <f t="shared" si="5"/>
        <v>20.569126993377484</v>
      </c>
      <c r="G52" s="1">
        <f t="shared" si="6"/>
        <v>20.569126993377484</v>
      </c>
      <c r="H52" s="1" t="str">
        <f t="shared" si="7"/>
        <v>增产</v>
      </c>
      <c r="I52" s="1" t="s">
        <v>107</v>
      </c>
      <c r="J52" s="1">
        <f t="shared" si="8"/>
        <v>928508.05025167379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17.29889624724062</v>
      </c>
      <c r="D53" s="1">
        <f>((2*G36+2*G33)+(5/B2)*(F6+2.5*B3*B9)+6*B16)/2.5</f>
        <v>15.402870746136866</v>
      </c>
      <c r="E53" s="1">
        <f>(2*(2*G36+2*G33)+(5/B2)*(F6+2.5*B3*B9)+12*B16)/4</f>
        <v>13.887788432671083</v>
      </c>
      <c r="F53" s="1">
        <f t="shared" si="5"/>
        <v>13.887788432671083</v>
      </c>
      <c r="G53" s="1">
        <f t="shared" si="6"/>
        <v>13.887788432671083</v>
      </c>
      <c r="H53" s="1" t="str">
        <f t="shared" si="7"/>
        <v>加速</v>
      </c>
      <c r="I53" s="1" t="s">
        <v>109</v>
      </c>
      <c r="J53" s="1">
        <f t="shared" si="8"/>
        <v>1375208.1616588037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9.2424148520971308</v>
      </c>
      <c r="D54" s="1">
        <f>((3*G36)+(2/B2)*(D6+B3*B9*2.5)+3*B16)/2.5</f>
        <v>8.1214919558498906</v>
      </c>
      <c r="E54" s="1">
        <f>((6*G36)+(2/B2)*(D6+B3*B9*2.5)+6*B16)/4</f>
        <v>8.1122116114790295</v>
      </c>
      <c r="F54" s="1">
        <f t="shared" si="5"/>
        <v>8.1122116114790295</v>
      </c>
      <c r="G54" s="1">
        <f t="shared" si="6"/>
        <v>8.1122116114790295</v>
      </c>
      <c r="H54" s="1" t="str">
        <f t="shared" si="7"/>
        <v>加速</v>
      </c>
      <c r="I54" s="1" t="s">
        <v>111</v>
      </c>
      <c r="J54" s="1">
        <f t="shared" si="8"/>
        <v>2354302.4904546244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43.321550216335545</v>
      </c>
      <c r="D55" s="1">
        <f>((4*G50+2*G54)+(2/B2)*(E6+2.5*B3*B9)+6*B16)/1.25</f>
        <v>37.132946069757182</v>
      </c>
      <c r="E55" s="1">
        <f>(2*(4*G50+2*G54)+(2/B2)*(E6+2.5*B3*B9)+12*B16)/2</f>
        <v>42.336875920529806</v>
      </c>
      <c r="F55" s="1">
        <f t="shared" si="5"/>
        <v>37.132946069757182</v>
      </c>
      <c r="G55" s="1">
        <f t="shared" si="6"/>
        <v>37.132946069757182</v>
      </c>
      <c r="H55" s="1" t="str">
        <f t="shared" si="7"/>
        <v>增产</v>
      </c>
      <c r="I55" s="1" t="s">
        <v>113</v>
      </c>
      <c r="J55" s="1">
        <f t="shared" si="8"/>
        <v>514330.31906818721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5.6192867284768218</v>
      </c>
      <c r="D56" s="1">
        <f>(G30+(1/B2)*(D6+2.5*B3*B9)+B16)/1.25</f>
        <v>5.052891832229581</v>
      </c>
      <c r="E56" s="1">
        <f>(2*G30+(1/B2)*(D6+2.5*B3*B9)+2*B16)/2</f>
        <v>4.2764614569536423</v>
      </c>
      <c r="F56" s="1">
        <f t="shared" si="5"/>
        <v>4.2764614569536423</v>
      </c>
      <c r="G56" s="1">
        <f t="shared" si="6"/>
        <v>4.2764614569536423</v>
      </c>
      <c r="H56" s="1" t="str">
        <f t="shared" si="7"/>
        <v>加速</v>
      </c>
      <c r="I56" s="1" t="s">
        <v>115</v>
      </c>
      <c r="J56" s="1">
        <f t="shared" si="8"/>
        <v>4465982.0256172679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4.6212074260485654</v>
      </c>
      <c r="D57" s="1">
        <f>((2*G30+G31)+(E6+B3*B9*2.5)/B2+3*B16)/2.5</f>
        <v>4.3158924150110378</v>
      </c>
      <c r="E57" s="1">
        <f>(2*(2*G30+G31)+(E6+B3*B9*2.5)/B2+6*B16)/4</f>
        <v>4.3750388520971306</v>
      </c>
      <c r="F57" s="1">
        <f t="shared" si="5"/>
        <v>4.3158924150110378</v>
      </c>
      <c r="G57" s="1">
        <f t="shared" si="6"/>
        <v>4.3158924150110378</v>
      </c>
      <c r="H57" s="1" t="str">
        <f t="shared" si="7"/>
        <v>增产</v>
      </c>
      <c r="I57" s="1" t="s">
        <v>117</v>
      </c>
      <c r="J57" s="1">
        <f t="shared" si="8"/>
        <v>4425179.8153201081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16.673265642384109</v>
      </c>
      <c r="D58" s="1">
        <f>((2*G32+G31)+2*(E6+B3*B9*2.5)/B2+3*B16)/1.25</f>
        <v>14.793732662251657</v>
      </c>
      <c r="E58" s="1">
        <f>(2*(2*G32+G31)+2*(E6+B3*B9*2.5)/B2+6*B16)/2</f>
        <v>14.412859161147903</v>
      </c>
      <c r="F58" s="1">
        <f t="shared" si="5"/>
        <v>14.412859161147903</v>
      </c>
      <c r="G58" s="1">
        <f t="shared" si="6"/>
        <v>14.412859161147903</v>
      </c>
      <c r="H58" s="1" t="str">
        <f t="shared" si="7"/>
        <v>加速</v>
      </c>
      <c r="I58" s="1" t="s">
        <v>119</v>
      </c>
      <c r="J58" s="1">
        <f t="shared" si="8"/>
        <v>1325108.3484866929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48.880671152317888</v>
      </c>
      <c r="D59" s="1">
        <f>((2*G57+2*G58)+(3/B2)*(E6+B3*B9*2.5)+4*B16)/1.25</f>
        <v>41.117119519646806</v>
      </c>
      <c r="E59" s="1">
        <f>(2*(2*G57+2*G58)+(3/B2)*(E6+B3*B9*2.5)+8*B16)/2</f>
        <v>45.277439399558503</v>
      </c>
      <c r="F59" s="1">
        <f t="shared" si="5"/>
        <v>41.117119519646806</v>
      </c>
      <c r="G59" s="1">
        <f t="shared" si="6"/>
        <v>41.117119519646806</v>
      </c>
      <c r="H59" s="1" t="str">
        <f t="shared" si="7"/>
        <v>增产</v>
      </c>
      <c r="I59" s="1" t="s">
        <v>121</v>
      </c>
      <c r="J59" s="1">
        <f t="shared" si="8"/>
        <v>464492.65471707477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20.812121995584988</v>
      </c>
      <c r="D60" s="1">
        <f>((2*G30+G56+G50)+(2/B2)*(F6+2.5*B3*B9)+4*B16)/1.25</f>
        <v>18.445012994260487</v>
      </c>
      <c r="E60" s="1">
        <f>(2*(2*G30+G56+G50)+(2/B2)*(F6+2.5*B3*B9)+8*B16)/2</f>
        <v>18.763626242825609</v>
      </c>
      <c r="F60" s="1">
        <f t="shared" si="5"/>
        <v>18.445012994260487</v>
      </c>
      <c r="G60" s="1">
        <f t="shared" si="6"/>
        <v>18.445012994260487</v>
      </c>
      <c r="H60" s="1" t="str">
        <f t="shared" si="7"/>
        <v>增产</v>
      </c>
      <c r="I60" s="1" t="s">
        <v>123</v>
      </c>
      <c r="J60" s="1">
        <f t="shared" si="8"/>
        <v>1035434.3478067968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54.246312151876388</v>
      </c>
      <c r="D61" s="1">
        <f>((2*G60+2*G50)+(2/B2)*(E6+2.5*B3*B9)+4*B16)/1.25</f>
        <v>45.192365119293605</v>
      </c>
      <c r="E61" s="1">
        <f>(2*(2*G60+2*G50)+(2/B2)*(E6+2.5*B3*B9)+8*B16)/2</f>
        <v>52.41114973245034</v>
      </c>
      <c r="F61" s="1">
        <f t="shared" si="5"/>
        <v>45.192365119293605</v>
      </c>
      <c r="G61" s="1">
        <f t="shared" si="6"/>
        <v>45.192365119293605</v>
      </c>
      <c r="H61" s="1" t="str">
        <f t="shared" si="7"/>
        <v>增产</v>
      </c>
      <c r="I61" s="1" t="s">
        <v>125</v>
      </c>
      <c r="J61" s="1">
        <f t="shared" si="8"/>
        <v>422606.7821320197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26.100275037527595</v>
      </c>
      <c r="D62" s="1">
        <f>((J22+3*G33)+(4/B2)*(E6+B3*B9*2.5)+4*B16)/1.25</f>
        <v>23.11006982781457</v>
      </c>
      <c r="E62" s="1">
        <f>(2*(J22+3*G33)+(4/B2)*(E6+B3*B9*2.5)+8*B16)/2</f>
        <v>20.728973951434881</v>
      </c>
      <c r="F62" s="1">
        <f t="shared" si="5"/>
        <v>20.728973951434881</v>
      </c>
      <c r="G62" s="1">
        <f t="shared" si="6"/>
        <v>20.728973951434881</v>
      </c>
      <c r="H62" s="1" t="str">
        <f t="shared" si="7"/>
        <v>加速</v>
      </c>
      <c r="I62" s="1" t="s">
        <v>235</v>
      </c>
      <c r="J62" s="1">
        <f t="shared" si="8"/>
        <v>921348.06309011625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30.643932123620306</v>
      </c>
      <c r="D63" s="1">
        <f>((J22+2*G39)+(4/B2)*(F6+2.5*B3*B9)+22*B16)/1.25</f>
        <v>32.868509986754965</v>
      </c>
      <c r="E63" s="1">
        <f>(2*(J22+2*G39)+(4/B2)*(F6+2.5*B3*B9)+44*B16)/2</f>
        <v>32.500357483443707</v>
      </c>
      <c r="F63" s="1">
        <f t="shared" si="5"/>
        <v>30.643932123620306</v>
      </c>
      <c r="G63" s="1">
        <f t="shared" si="6"/>
        <v>30.643932123620306</v>
      </c>
      <c r="H63" s="1" t="str">
        <f t="shared" si="7"/>
        <v>不使用增产剂</v>
      </c>
      <c r="I63" s="1" t="s">
        <v>128</v>
      </c>
      <c r="J63" s="1">
        <f t="shared" si="8"/>
        <v>623242.47172179387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51.372906075055191</v>
      </c>
      <c r="D64" s="1">
        <f>((G62+2*G39)+(4/B2)*(F6+2.5*B3*B9)+18*B16)/1.25</f>
        <v>48.090908150110373</v>
      </c>
      <c r="E64" s="1">
        <f>(2*(G62+2*G39)+(4/B2)*(F6+2.5*B3*B9)+36*B16)/2</f>
        <v>51.52835518763797</v>
      </c>
      <c r="F64" s="1">
        <f t="shared" si="5"/>
        <v>48.090908150110373</v>
      </c>
      <c r="G64" s="1">
        <f t="shared" si="6"/>
        <v>48.090908150110373</v>
      </c>
      <c r="H64" s="1" t="str">
        <f t="shared" si="7"/>
        <v>增产</v>
      </c>
      <c r="I64" s="1" t="s">
        <v>130</v>
      </c>
      <c r="J64" s="1">
        <f t="shared" si="8"/>
        <v>397135.35748557426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104.11218098896248</v>
      </c>
      <c r="D65" s="1">
        <f>((D22+2*G53)+(12/B2)*(E6+2.5*B3*B9)+3*B16)/1.25</f>
        <v>86.917536939514349</v>
      </c>
      <c r="E65" s="1">
        <f>(2*(D22+2*G53)+(12/B2)*(E6+2.5*B3*B9)+6*B16)/2</f>
        <v>84.171081174392938</v>
      </c>
      <c r="F65" s="1">
        <f t="shared" si="5"/>
        <v>84.171081174392938</v>
      </c>
      <c r="G65" s="1">
        <f t="shared" si="6"/>
        <v>84.171081174392938</v>
      </c>
      <c r="H65" s="1" t="str">
        <f t="shared" si="7"/>
        <v>加速</v>
      </c>
      <c r="I65" s="1" t="s">
        <v>132</v>
      </c>
      <c r="J65" s="1">
        <f t="shared" si="8"/>
        <v>226902.15847922716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18.854018790286975</v>
      </c>
      <c r="D66" s="1">
        <f>((2*G31)+(4/B2)*(E6+2.5*B3*B9)+12*B16)/1.25</f>
        <v>20.034626825607063</v>
      </c>
      <c r="E66" s="1">
        <f>(2*(2*G31)+(4/B2)*(E6+2.5*B3*B9)+24*B16)/2</f>
        <v>16.884670198675497</v>
      </c>
      <c r="F66" s="1">
        <f t="shared" si="5"/>
        <v>16.884670198675497</v>
      </c>
      <c r="G66" s="1">
        <f t="shared" si="6"/>
        <v>16.884670198675497</v>
      </c>
      <c r="H66" s="1" t="str">
        <f t="shared" si="7"/>
        <v>加速</v>
      </c>
      <c r="I66" s="1" t="s">
        <v>134</v>
      </c>
      <c r="J66" s="1">
        <f t="shared" si="8"/>
        <v>1131120.7015164662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124.65179048582783</v>
      </c>
      <c r="D67" s="1">
        <f>((2*G61+2*G31+2*G39)+(4/B2)*(F6+2.5*B3*B9)+6*B16)/1.25</f>
        <v>102.63167268535099</v>
      </c>
      <c r="E67" s="1">
        <f>(2*(2*G61+2*G31+2*G39)+(4/B2)*(F6+2.5*B3*B9)+12*B16)/2</f>
        <v>119.70431085668875</v>
      </c>
      <c r="F67" s="1">
        <f t="shared" si="5"/>
        <v>102.63167268535099</v>
      </c>
      <c r="G67" s="1">
        <f t="shared" si="6"/>
        <v>102.63167268535099</v>
      </c>
      <c r="H67" s="1" t="str">
        <f t="shared" si="7"/>
        <v>增产</v>
      </c>
      <c r="I67" s="1" t="s">
        <v>136</v>
      </c>
      <c r="J67" s="1">
        <f t="shared" si="8"/>
        <v>186088.75311379405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473.49806852097129</v>
      </c>
      <c r="D68" s="1">
        <f>((2*B22+2*G30+10*C22)+(8/F2)*(L6+2.5*F3*B9)+14*B16)/1.25</f>
        <v>405.28790830905075</v>
      </c>
      <c r="E68" s="1">
        <f>(2*(2*B22+2*G30+10*C22)+(8/F2)*(L6+2.5*F3*B9)+28*B16)/2</f>
        <v>274.97788538631346</v>
      </c>
      <c r="F68" s="1">
        <f t="shared" si="5"/>
        <v>274.97788538631346</v>
      </c>
      <c r="G68" s="1">
        <f t="shared" si="6"/>
        <v>274.97788538631346</v>
      </c>
      <c r="H68" s="1" t="str">
        <f t="shared" si="7"/>
        <v>加速</v>
      </c>
      <c r="I68" s="1" t="s">
        <v>138</v>
      </c>
      <c r="J68" s="1">
        <f t="shared" si="8"/>
        <v>69455.039895912298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31.963483637969098</v>
      </c>
      <c r="D69" s="1">
        <f>((2*G54+G57)+(3/B2)*(E6+2.5*B3*B9)+3*B16)/1.25</f>
        <v>27.243174258719648</v>
      </c>
      <c r="E69" s="1">
        <f>(2*(2*G54+G57)+(3/B2)*(E6+2.5*B3*B9)+6*B16)/2</f>
        <v>27.935007823399562</v>
      </c>
      <c r="F69" s="1">
        <f t="shared" si="5"/>
        <v>27.243174258719648</v>
      </c>
      <c r="G69" s="1">
        <f t="shared" si="6"/>
        <v>27.243174258719648</v>
      </c>
      <c r="H69" s="1" t="str">
        <f t="shared" si="7"/>
        <v>增产</v>
      </c>
      <c r="I69" s="1" t="s">
        <v>140</v>
      </c>
      <c r="J69" s="1">
        <f t="shared" si="8"/>
        <v>701041.65610904037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15.739060415011039</v>
      </c>
      <c r="D70" s="1">
        <f>((G57)+(3/B2)*(E6+2.5*B3*B9)+2*B16)/1.25</f>
        <v>13.923440430905078</v>
      </c>
      <c r="E70" s="1">
        <f>(2*(G57)+(3/B2)*(E6+2.5*B3*B9)+4*B16)/2</f>
        <v>11.285340538631347</v>
      </c>
      <c r="F70" s="1">
        <f t="shared" si="5"/>
        <v>11.285340538631347</v>
      </c>
      <c r="G70" s="1">
        <f t="shared" si="6"/>
        <v>11.285340538631347</v>
      </c>
      <c r="H70" s="1" t="str">
        <f t="shared" si="7"/>
        <v>加速</v>
      </c>
      <c r="I70" s="1" t="s">
        <v>142</v>
      </c>
      <c r="J70" s="1">
        <f t="shared" si="8"/>
        <v>1692337.0574970902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16.898042633554084</v>
      </c>
      <c r="D71" s="1">
        <f>((G39+E22)+(4/B2)*(E6+2.5*B3*B9)+2*B16)/2.5</f>
        <v>14.293163756291392</v>
      </c>
      <c r="E71" s="1">
        <f>(2*(G39+E22)+(4/B2)*(E6+2.5*B3*B9)+4*B16)/4</f>
        <v>13.787148028697572</v>
      </c>
      <c r="F71" s="1">
        <f t="shared" si="5"/>
        <v>13.787148028697572</v>
      </c>
      <c r="G71" s="1">
        <f t="shared" si="6"/>
        <v>13.787148028697572</v>
      </c>
      <c r="H71" s="1" t="str">
        <f t="shared" si="7"/>
        <v>加速</v>
      </c>
      <c r="I71" s="1" t="s">
        <v>144</v>
      </c>
      <c r="J71" s="1">
        <f t="shared" si="8"/>
        <v>1385246.6050445519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54.513199999999998</v>
      </c>
      <c r="D72" s="1" t="s">
        <v>96</v>
      </c>
      <c r="E72" s="1">
        <f>(2*(2*F22)+(2/F2)*(L6+2.5*F3*B9)+4*B16)/4</f>
        <v>29.379244061810155</v>
      </c>
      <c r="F72" s="1">
        <f t="shared" si="5"/>
        <v>29.379244061810155</v>
      </c>
      <c r="G72" s="1">
        <f t="shared" si="6"/>
        <v>29.379244061810155</v>
      </c>
      <c r="H72" s="1" t="str">
        <f t="shared" si="7"/>
        <v>加速</v>
      </c>
      <c r="I72" s="1" t="s">
        <v>146</v>
      </c>
      <c r="J72" s="1">
        <f t="shared" si="8"/>
        <v>650071.18494332256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84.589960247240612</v>
      </c>
      <c r="D73" s="1">
        <f>((2*G40+G35)+(3/D2)*(I6+2.5*D3*B9)+3*B16)/1.25</f>
        <v>69.425830746136853</v>
      </c>
      <c r="E73" s="1">
        <f>(2*(2*G40+G35)+(3/D2)*(I6+2.5*D3*B9)+6*B16)/2</f>
        <v>66.218458432671071</v>
      </c>
      <c r="F73" s="1">
        <f t="shared" si="5"/>
        <v>66.218458432671071</v>
      </c>
      <c r="G73" s="1">
        <f t="shared" si="6"/>
        <v>66.218458432671071</v>
      </c>
      <c r="H73" s="1" t="str">
        <f t="shared" si="7"/>
        <v>加速</v>
      </c>
      <c r="I73" s="1" t="s">
        <v>148</v>
      </c>
      <c r="J73" s="1">
        <f t="shared" si="8"/>
        <v>288418.07030918548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131.84153486534217</v>
      </c>
      <c r="D74" s="1">
        <f>((2*G41+2*I22+G73)+(8/B2)*(F6+2.5*B3*B9)+5*B16)/1.25</f>
        <v>108.91234173951435</v>
      </c>
      <c r="E74" s="1">
        <f>(2*(2*G41+2*I22+G73)+(8/B2)*(F6+2.5*B3*B9)+10*B16)/2</f>
        <v>118.96986717439292</v>
      </c>
      <c r="F74" s="1">
        <f t="shared" si="5"/>
        <v>108.91234173951435</v>
      </c>
      <c r="G74" s="1">
        <f t="shared" si="6"/>
        <v>108.91234173951435</v>
      </c>
      <c r="H74" s="1" t="str">
        <f t="shared" si="7"/>
        <v>增产</v>
      </c>
      <c r="I74" s="1" t="s">
        <v>150</v>
      </c>
      <c r="J74" s="1">
        <f t="shared" si="8"/>
        <v>175357.53703357259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39.538721154525383</v>
      </c>
      <c r="D75" s="1">
        <f>((3*G39+G33)+(4/D2)*(I6+2.5*D3*B9)+4*B16)/2.5</f>
        <v>32.800218622516553</v>
      </c>
      <c r="E75" s="1">
        <f>((3*G39+G33)+(2/D2)*(I6+2.5*D3*B9)+4*B16)/2</f>
        <v>27.291053278145689</v>
      </c>
      <c r="F75" s="1">
        <f t="shared" si="5"/>
        <v>27.291053278145689</v>
      </c>
      <c r="G75" s="1">
        <f t="shared" si="6"/>
        <v>27.291053278145689</v>
      </c>
      <c r="H75" s="1" t="str">
        <f t="shared" si="7"/>
        <v>加速</v>
      </c>
      <c r="I75" s="1" t="s">
        <v>152</v>
      </c>
      <c r="J75" s="1">
        <f t="shared" si="8"/>
        <v>699811.75901678752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8.6252401236203085</v>
      </c>
      <c r="D76" s="1">
        <f>((G35)+2*(B6+2.5*C3*B9)/C2+B16)/1.25</f>
        <v>7.6749217483443699</v>
      </c>
      <c r="E76" s="1">
        <f>((G35)+1*(B6+2.5*C3*B9)/C2+B16)/1</f>
        <v>6.8210121854304635</v>
      </c>
      <c r="F76" s="1">
        <f t="shared" si="5"/>
        <v>6.8210121854304635</v>
      </c>
      <c r="G76" s="1">
        <f t="shared" si="6"/>
        <v>6.8210121854304635</v>
      </c>
      <c r="H76" s="1" t="str">
        <f t="shared" si="7"/>
        <v>加速</v>
      </c>
      <c r="I76" s="1" t="s">
        <v>227</v>
      </c>
      <c r="J76" s="1">
        <f t="shared" si="8"/>
        <v>2799965.6767648361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8.6252401236203085</v>
      </c>
      <c r="D77" s="1">
        <f>((G32)+2*(B6+2.5*C3*B9)/C2+B16)/1.25</f>
        <v>7.6749217483443699</v>
      </c>
      <c r="E77" s="1">
        <f>((G32)+1*(B6+2.5*C3*B9)/C2+B16)/1</f>
        <v>6.8210121854304635</v>
      </c>
      <c r="F77" s="1">
        <f t="shared" si="5"/>
        <v>6.8210121854304635</v>
      </c>
      <c r="G77" s="1">
        <f t="shared" si="6"/>
        <v>6.8210121854304635</v>
      </c>
      <c r="H77" s="1" t="str">
        <f t="shared" si="7"/>
        <v>加速</v>
      </c>
      <c r="I77" s="1" t="s">
        <v>228</v>
      </c>
      <c r="J77" s="1">
        <f t="shared" si="8"/>
        <v>2799965.6767648361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233.23692892715229</v>
      </c>
      <c r="D78" s="1">
        <f>((2*G73+F40)+(6/D2)*(I6+D3*B9)+4*B16)/1.25</f>
        <v>187.95032413951432</v>
      </c>
      <c r="E78" s="1">
        <f>((2*G73+F40)+(3/D2)*(I6+D3*B9)+4*B16)/1</f>
        <v>194.72684117439292</v>
      </c>
      <c r="F78" s="1">
        <f t="shared" si="5"/>
        <v>187.95032413951432</v>
      </c>
      <c r="G78" s="1">
        <f t="shared" si="6"/>
        <v>187.95032413951432</v>
      </c>
      <c r="H78" s="1" t="str">
        <f t="shared" si="7"/>
        <v>增产</v>
      </c>
      <c r="I78" s="1" t="s">
        <v>236</v>
      </c>
      <c r="J78" s="1">
        <f t="shared" si="8"/>
        <v>101615.14797826702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113.58519854763799</v>
      </c>
      <c r="D91" s="1">
        <f>((2*G61+3*G42+G35)+(3/B2)*(F6+2.5*B3*B9)+6*B16)/1.25</f>
        <v>93.561131934799135</v>
      </c>
      <c r="E91" s="1">
        <f>(2*(2*G61+3*G42+G35)+(3/B2)*(F6+2.5*B3*B9)+12*B16)/2</f>
        <v>110.5124549184989</v>
      </c>
      <c r="F91" s="1">
        <f t="shared" ref="F91:F106" si="9">MIN(C91:E91)</f>
        <v>93.561131934799135</v>
      </c>
      <c r="G91" s="1">
        <f t="shared" ref="G91:G106" si="10">F91</f>
        <v>93.561131934799135</v>
      </c>
      <c r="H91" s="1" t="str">
        <f t="shared" ref="H91:H106" si="11">IF(C91=G91,"不使用增产剂","")&amp;IF(D91=G91,"增产","")&amp;IF(E91=G91,"加速","")</f>
        <v>增产</v>
      </c>
      <c r="I91" s="1" t="s">
        <v>155</v>
      </c>
      <c r="J91" s="1">
        <f t="shared" ref="J91:J106" si="12">60*318310/G91</f>
        <v>204129.63807780168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302.83366950993377</v>
      </c>
      <c r="D92" s="1">
        <f>((4*H22+G68)+(6/B2)*(E6+2.5*B3*B9)+5*B16)/1.25</f>
        <v>245.27151505518765</v>
      </c>
      <c r="E92" s="1">
        <f>(2*(4*H22+G68)+(6/B2)*(E6+2.5*B3*B9)+10*B16)/2</f>
        <v>294.35147381898452</v>
      </c>
      <c r="F92" s="1">
        <f t="shared" si="9"/>
        <v>245.27151505518765</v>
      </c>
      <c r="G92" s="1">
        <f t="shared" si="10"/>
        <v>245.27151505518765</v>
      </c>
      <c r="H92" s="1" t="str">
        <f t="shared" si="11"/>
        <v>增产</v>
      </c>
      <c r="I92" s="1" t="s">
        <v>157</v>
      </c>
      <c r="J92" s="1">
        <f t="shared" si="12"/>
        <v>77867.175059862508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273.4227373880795</v>
      </c>
      <c r="D93" s="1">
        <f>((2*G59+2*G65)+(6/B2)*(E6+2.5*B3*B9)+4*B16)/1.25</f>
        <v>221.40257410825606</v>
      </c>
      <c r="E93" s="1">
        <f>(2*(2*G59+2*G65)+(6/B2)*(E6+2.5*B3*B9)+8*B16)/2</f>
        <v>264.51529763532005</v>
      </c>
      <c r="F93" s="1">
        <f t="shared" si="9"/>
        <v>221.40257410825606</v>
      </c>
      <c r="G93" s="1">
        <f t="shared" si="10"/>
        <v>221.40257410825606</v>
      </c>
      <c r="H93" s="1" t="str">
        <f t="shared" si="11"/>
        <v>增产</v>
      </c>
      <c r="I93" s="1" t="s">
        <v>159</v>
      </c>
      <c r="J93" s="1">
        <f t="shared" si="12"/>
        <v>86261.869704647746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108.25839985871963</v>
      </c>
      <c r="D94" s="1">
        <f>((4*G41+G52+G32)+(6/B2)*(F6+2.5*B3*B9)+6*B16)/1.25</f>
        <v>89.951494583664442</v>
      </c>
      <c r="E94" s="1">
        <f>(2*(4*G41+G52+G32)+(6/B2)*(F6+2.5*B3*B9)+12*B16)/2</f>
        <v>99.561448229580563</v>
      </c>
      <c r="F94" s="1">
        <f t="shared" si="9"/>
        <v>89.951494583664442</v>
      </c>
      <c r="G94" s="1">
        <f t="shared" si="10"/>
        <v>89.951494583664442</v>
      </c>
      <c r="H94" s="1" t="str">
        <f t="shared" si="11"/>
        <v>增产</v>
      </c>
      <c r="I94" s="1" t="s">
        <v>161</v>
      </c>
      <c r="J94" s="1">
        <f t="shared" si="12"/>
        <v>212321.09692447938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466.73573439602649</v>
      </c>
      <c r="D95" s="1">
        <f>((3*G94+3*G71+3*G59)+(8/B2)*(F6+2.5*B3*B9)+9*B16)/1.25</f>
        <v>378.18848236185426</v>
      </c>
      <c r="E95" s="1">
        <f>(2*(3*G94+3*G71+3*G59)+(8/B2)*(F6+2.5*B3*B9)+18*B16)/2</f>
        <v>455.56504295231787</v>
      </c>
      <c r="F95" s="1">
        <f t="shared" si="9"/>
        <v>378.18848236185426</v>
      </c>
      <c r="G95" s="1">
        <f t="shared" si="10"/>
        <v>378.18848236185426</v>
      </c>
      <c r="H95" s="1" t="str">
        <f t="shared" si="11"/>
        <v>增产</v>
      </c>
      <c r="I95" s="1" t="s">
        <v>163</v>
      </c>
      <c r="J95" s="1">
        <f t="shared" si="12"/>
        <v>50500.215873116627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134.15624305165562</v>
      </c>
      <c r="D96" s="1">
        <f>((B22+G59)+(20/B2)*(E6+2.5*B3*B9)+2*B16)/1.25</f>
        <v>112.35072894022076</v>
      </c>
      <c r="E96" s="1">
        <f>(2*(B22+G59)+(20/B2)*(E6+2.5*B3*B9)+4*B16)/2</f>
        <v>99.645344508609284</v>
      </c>
      <c r="F96" s="1">
        <f t="shared" si="9"/>
        <v>99.645344508609284</v>
      </c>
      <c r="G96" s="1">
        <f t="shared" si="10"/>
        <v>99.645344508609284</v>
      </c>
      <c r="H96" s="1" t="str">
        <f t="shared" si="11"/>
        <v>加速</v>
      </c>
      <c r="I96" s="1" t="s">
        <v>165</v>
      </c>
      <c r="J96" s="1">
        <f t="shared" si="12"/>
        <v>191665.75311855032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29.097994197686532</v>
      </c>
      <c r="D97" s="1">
        <f>(G114+(10/B2)*(D6+2.5*B3*B9)+B16)/10</f>
        <v>23.592503764330242</v>
      </c>
      <c r="E97" s="1">
        <f>(2*G114+(10/B2)*(D6+2.5*B3*B9)+2*B16)/16</f>
        <v>26.941063038746137</v>
      </c>
      <c r="F97" s="1">
        <f t="shared" si="9"/>
        <v>23.592503764330242</v>
      </c>
      <c r="G97" s="1">
        <f t="shared" si="10"/>
        <v>23.592503764330242</v>
      </c>
      <c r="H97" s="1" t="str">
        <f t="shared" si="11"/>
        <v>增产</v>
      </c>
      <c r="I97" s="1" t="s">
        <v>167</v>
      </c>
      <c r="J97" s="1">
        <f t="shared" si="12"/>
        <v>809519.84540425835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1503.3041422010208</v>
      </c>
      <c r="D98" s="1">
        <f>((2*G95+4*G103+2*G93)+(6/B2)*(F6+2.5*B3*B9)+8*B16)/1.25</f>
        <v>1206.6684789564017</v>
      </c>
      <c r="E98" s="1">
        <f>(2*(2*G95+4*G103+2*G93)+(6/B2)*(F6+2.5*B3*B9)+16*B16)/2</f>
        <v>1495.457678695502</v>
      </c>
      <c r="F98" s="1">
        <f t="shared" si="9"/>
        <v>1206.6684789564017</v>
      </c>
      <c r="G98" s="1">
        <f t="shared" si="10"/>
        <v>1206.6684789564017</v>
      </c>
      <c r="H98" s="1" t="str">
        <f t="shared" si="11"/>
        <v>增产</v>
      </c>
      <c r="I98" s="1" t="s">
        <v>169</v>
      </c>
      <c r="J98" s="1">
        <f t="shared" si="12"/>
        <v>15827.545289421663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1.9038613333333334</v>
      </c>
      <c r="D99" s="1">
        <f>((0.5/B2)*(D6+2.5*B3*B9)+B16)/1.25</f>
        <v>1.9719179161147902</v>
      </c>
      <c r="E99" s="1">
        <f>((0.5/B2)*(D6+2.5*B3*B9)+2*B16)/2</f>
        <v>1.4450707284768212</v>
      </c>
      <c r="F99" s="1">
        <f t="shared" si="9"/>
        <v>1.4450707284768212</v>
      </c>
      <c r="G99" s="1">
        <f t="shared" si="10"/>
        <v>1.4450707284768212</v>
      </c>
      <c r="H99" s="1" t="str">
        <f t="shared" si="11"/>
        <v>加速</v>
      </c>
      <c r="I99" s="1" t="s">
        <v>171</v>
      </c>
      <c r="J99" s="1">
        <f t="shared" si="12"/>
        <v>13216377.318867227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7.9502261545253869</v>
      </c>
      <c r="D100" s="1">
        <f>((2*G99+H22)+(1/B2)*(E6+2.5*B3*B9)+3*B16)/1.25</f>
        <v>7.5980338719646792</v>
      </c>
      <c r="E100" s="1">
        <f>(2*(2*G99+H22)+(1/B2)*(E6+2.5*B3*B9)+6*B16)/2</f>
        <v>7.4578890066225174</v>
      </c>
      <c r="F100" s="1">
        <f t="shared" si="9"/>
        <v>7.4578890066225174</v>
      </c>
      <c r="G100" s="1">
        <f t="shared" si="10"/>
        <v>7.4578890066225174</v>
      </c>
      <c r="H100" s="1" t="str">
        <f t="shared" si="11"/>
        <v>加速</v>
      </c>
      <c r="I100" s="1" t="s">
        <v>173</v>
      </c>
      <c r="J100" s="1">
        <f t="shared" si="12"/>
        <v>2560858.7072079871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37.51617553200883</v>
      </c>
      <c r="D101" s="1">
        <f>((2*G100+G22)+(2/B2)*(E6+2.5*B3*B9)+3*B16)/1.25</f>
        <v>31.468060573951437</v>
      </c>
      <c r="E101" s="1">
        <f>(2*(2*G100+G22)+(2/B2)*(E6+2.5*B3*B9)+6*B16)/2</f>
        <v>35.255769050772628</v>
      </c>
      <c r="F101" s="1">
        <f t="shared" si="9"/>
        <v>31.468060573951437</v>
      </c>
      <c r="G101" s="1">
        <f t="shared" si="10"/>
        <v>31.468060573951437</v>
      </c>
      <c r="H101" s="1" t="str">
        <f t="shared" si="11"/>
        <v>增产</v>
      </c>
      <c r="I101" s="1" t="s">
        <v>40</v>
      </c>
      <c r="J101" s="1">
        <f t="shared" si="12"/>
        <v>606920.14860964764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13.234732061810154</v>
      </c>
      <c r="D102" s="1">
        <f>(G33+(6/B2)*(E6+2.5*B3*B9)+11*B16)/2.5</f>
        <v>13.110661121412804</v>
      </c>
      <c r="E102" s="1">
        <f>(2*G33+(6/B2)*(E6+2.5*B3*B9)+22*B16)/4</f>
        <v>10.269366401766005</v>
      </c>
      <c r="F102" s="1">
        <f t="shared" si="9"/>
        <v>10.269366401766005</v>
      </c>
      <c r="G102" s="1">
        <f t="shared" si="10"/>
        <v>10.269366401766005</v>
      </c>
      <c r="H102" s="1" t="str">
        <f t="shared" si="11"/>
        <v>加速</v>
      </c>
      <c r="I102" s="1" t="s">
        <v>176</v>
      </c>
      <c r="J102" s="1">
        <f t="shared" si="12"/>
        <v>1859764.2009068492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81.19146546408831</v>
      </c>
      <c r="D103" s="1">
        <f>((G52+20*C22+G91)+(12/B2)*(F6+2.5*B3*B9)+22*B16)/2.5</f>
        <v>69.998923315200003</v>
      </c>
      <c r="E103" s="1">
        <f>(2*(G52+20*C22+G91)+(12/B2)*(F6+2.5*B3*B9)+44*B16)/4</f>
        <v>74.620734143999996</v>
      </c>
      <c r="F103" s="1">
        <f t="shared" si="9"/>
        <v>69.998923315200003</v>
      </c>
      <c r="G103" s="1">
        <f t="shared" si="10"/>
        <v>69.998923315200003</v>
      </c>
      <c r="H103" s="1" t="str">
        <f t="shared" si="11"/>
        <v>增产</v>
      </c>
      <c r="I103" s="1" t="s">
        <v>178</v>
      </c>
      <c r="J103" s="1">
        <f t="shared" si="12"/>
        <v>272841.33948747197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284.63537212185435</v>
      </c>
      <c r="D104" s="1" t="s">
        <v>96</v>
      </c>
      <c r="E104" s="1">
        <f>(2*(12*G72+G96+G52)+(24/B2)*(G6+2.5*B3*B9)+52*B16)/4</f>
        <v>267.66671292538632</v>
      </c>
      <c r="F104" s="1">
        <f t="shared" si="9"/>
        <v>267.66671292538632</v>
      </c>
      <c r="G104" s="1">
        <f t="shared" si="10"/>
        <v>267.66671292538632</v>
      </c>
      <c r="H104" s="1" t="str">
        <f t="shared" si="11"/>
        <v>加速</v>
      </c>
      <c r="I104" s="1" t="s">
        <v>180</v>
      </c>
      <c r="J104" s="1">
        <f t="shared" si="12"/>
        <v>71352.166996289321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42.404351593818987</v>
      </c>
      <c r="D105" s="1">
        <f>((2*G51+3*G31)+(4/B2)*(E6+2.5*B3*B9)+5*B16)/1.25</f>
        <v>36.493526322295807</v>
      </c>
      <c r="E105" s="1">
        <f>(2*(2*G51+3*G31)+(4/B2)*(E6+2.5*B3*B9)+10*B16)/2</f>
        <v>37.458294569536427</v>
      </c>
      <c r="F105" s="1">
        <f t="shared" si="9"/>
        <v>36.493526322295807</v>
      </c>
      <c r="G105" s="1">
        <f t="shared" si="10"/>
        <v>36.493526322295807</v>
      </c>
      <c r="H105" s="1" t="str">
        <f t="shared" si="11"/>
        <v>增产</v>
      </c>
      <c r="I105" s="1" t="s">
        <v>182</v>
      </c>
      <c r="J105" s="1">
        <f t="shared" si="12"/>
        <v>523342.13557026593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351.65379656335546</v>
      </c>
      <c r="D106" s="1">
        <f>((5*G52+5*G61)+(6/B2)*(E6+2.5*B3*B9)+10*B16)/1.25</f>
        <v>286.0285929451656</v>
      </c>
      <c r="E106" s="1">
        <f>(2*(5*G52+5*G61)+(6/B2)*(E6+2.5*B3*B9)+20*B16)/2</f>
        <v>345.29782118145698</v>
      </c>
      <c r="F106" s="1">
        <f t="shared" si="9"/>
        <v>286.0285929451656</v>
      </c>
      <c r="G106" s="1">
        <f t="shared" si="10"/>
        <v>286.0285929451656</v>
      </c>
      <c r="H106" s="1" t="str">
        <f t="shared" si="11"/>
        <v>增产</v>
      </c>
      <c r="I106" s="1" t="s">
        <v>184</v>
      </c>
      <c r="J106" s="1">
        <f t="shared" si="12"/>
        <v>66771.646160778706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11.048424830022075</v>
      </c>
      <c r="D110" s="1">
        <f>((G50+G57)+(3/G2)*(P6+2.5*G3*B9)+2*B16)/1.25</f>
        <v>9.9536647629139061</v>
      </c>
      <c r="E110" s="1">
        <f>(2*(G50+G57)+(3/G2)*(P6+2.5*G3*B9)+4*B16)/2</f>
        <v>11.239440953642385</v>
      </c>
      <c r="F110" s="1">
        <f t="shared" ref="F110:F115" si="13">MIN(C110:E110)</f>
        <v>9.9536647629139061</v>
      </c>
      <c r="G110" s="1">
        <f t="shared" ref="G110:G115" si="14">F110</f>
        <v>9.9536647629139061</v>
      </c>
      <c r="H110" s="1" t="str">
        <f t="shared" ref="H110:H115" si="15">IF(C110=G110,"不使用增产剂","")&amp;IF(D110=G110,"增产","")&amp;IF(E110=G110,"加速","")</f>
        <v>增产</v>
      </c>
      <c r="I110" s="1" t="s">
        <v>187</v>
      </c>
      <c r="J110" s="1">
        <f t="shared" ref="J110:J115" si="16">60*318310/G110</f>
        <v>1918750.5762861297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10.970480247240619</v>
      </c>
      <c r="D111" s="1">
        <f>((2*G35)+(6/G2)*(P6+2.5*G3*B9)+4*B16)/1.25</f>
        <v>11.006233995584989</v>
      </c>
      <c r="E111" s="1">
        <f>(2*(2*G35)+(6/G2)*(P6+2.5*G3*B9)+8*B16)/2</f>
        <v>11.352512494481237</v>
      </c>
      <c r="F111" s="1">
        <f t="shared" si="13"/>
        <v>10.970480247240619</v>
      </c>
      <c r="G111" s="1">
        <f t="shared" si="14"/>
        <v>10.970480247240619</v>
      </c>
      <c r="H111" s="1" t="str">
        <f t="shared" si="15"/>
        <v>不使用增产剂</v>
      </c>
      <c r="I111" s="1" t="s">
        <v>189</v>
      </c>
      <c r="J111" s="1">
        <f t="shared" si="16"/>
        <v>1740908.2892978936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26.946967982339956</v>
      </c>
      <c r="D112" s="1">
        <f>((H22+G62)+(8/G2)*(P6+2.5*G3*B9)+2*B16)/1.25</f>
        <v>23.396723284768211</v>
      </c>
      <c r="E112" s="1">
        <f>(2*(H22+G62)+(8/G2)*(P6+2.5*G3*B9)+4*B16)/2</f>
        <v>26.038864105960265</v>
      </c>
      <c r="F112" s="1">
        <f t="shared" si="13"/>
        <v>23.396723284768211</v>
      </c>
      <c r="G112" s="1">
        <f t="shared" si="14"/>
        <v>23.396723284768211</v>
      </c>
      <c r="H112" s="1" t="str">
        <f t="shared" si="15"/>
        <v>增产</v>
      </c>
      <c r="I112" s="1" t="s">
        <v>191</v>
      </c>
      <c r="J112" s="1">
        <f t="shared" si="16"/>
        <v>816293.79326093988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197.35362077880797</v>
      </c>
      <c r="D113" s="1">
        <f>((2*G59+G74)+(10/G2)*(P6+2.5*G3*B9)+3*B16)/1.25</f>
        <v>160.35193037139072</v>
      </c>
      <c r="E113" s="1">
        <f>(2*(2*G59+G74)+(10/G2)*(P6+2.5*G3*B9)+6*B16)/2</f>
        <v>196.43111296423842</v>
      </c>
      <c r="F113" s="1">
        <f t="shared" si="13"/>
        <v>160.35193037139072</v>
      </c>
      <c r="G113" s="1">
        <f t="shared" si="14"/>
        <v>160.35193037139072</v>
      </c>
      <c r="H113" s="1" t="str">
        <f t="shared" si="15"/>
        <v>增产</v>
      </c>
      <c r="I113" s="1" t="s">
        <v>193</v>
      </c>
      <c r="J113" s="1">
        <f t="shared" si="16"/>
        <v>119104.27243230423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240.78549258172185</v>
      </c>
      <c r="D114" s="1">
        <f>((G93+G92)+(24/G2)*(P6+2.5*G3*B9)+2*B16)/2.5</f>
        <v>194.70672691482559</v>
      </c>
      <c r="E114" s="1">
        <f>(2*(G93+G92)+(24/G2)*(P6+2.5*G3*B9)+4*B16)/4</f>
        <v>238.57284864353201</v>
      </c>
      <c r="F114" s="1">
        <f t="shared" si="13"/>
        <v>194.70672691482559</v>
      </c>
      <c r="G114" s="1">
        <f t="shared" si="14"/>
        <v>194.70672691482559</v>
      </c>
      <c r="H114" s="1" t="str">
        <f t="shared" si="15"/>
        <v>增产</v>
      </c>
      <c r="I114" s="1" t="s">
        <v>195</v>
      </c>
      <c r="J114" s="1">
        <f t="shared" si="16"/>
        <v>98089.060930877225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438.06932964294919</v>
      </c>
      <c r="D115" s="1">
        <f>((G110+G111+G112+G113+G114+G72)+(15/G2)*(Q6+2.5*G3*B9)+6*B16)/1.25</f>
        <v>354.66930721104808</v>
      </c>
      <c r="E115" s="1">
        <f>(2*(G110+G111+G112+G113+G114+G72)+(15/G2)*(Q6+2.5*G3*B9)+12*B16)/2</f>
        <v>437.32343401381007</v>
      </c>
      <c r="F115" s="1">
        <f t="shared" si="13"/>
        <v>354.66930721104808</v>
      </c>
      <c r="G115" s="1">
        <f t="shared" si="14"/>
        <v>354.66930721104808</v>
      </c>
      <c r="H115" s="1" t="str">
        <f t="shared" si="15"/>
        <v>增产</v>
      </c>
      <c r="I115" s="1" t="s">
        <v>197</v>
      </c>
      <c r="J115" s="1">
        <f t="shared" si="16"/>
        <v>53849.035176408048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197" priority="4" operator="equal">
      <formula>"不使用增产剂"</formula>
    </cfRule>
    <cfRule type="cellIs" dxfId="196" priority="5" operator="equal">
      <formula>"加速"</formula>
    </cfRule>
    <cfRule type="cellIs" dxfId="195" priority="6" operator="equal">
      <formula>"增产"</formula>
    </cfRule>
  </conditionalFormatting>
  <conditionalFormatting sqref="A75:B75">
    <cfRule type="cellIs" dxfId="194" priority="10" operator="equal">
      <formula>"不使用增产剂"</formula>
    </cfRule>
    <cfRule type="cellIs" dxfId="193" priority="11" operator="equal">
      <formula>"加速"</formula>
    </cfRule>
    <cfRule type="cellIs" dxfId="192" priority="12" operator="equal">
      <formula>"增产"</formula>
    </cfRule>
  </conditionalFormatting>
  <conditionalFormatting sqref="A49:F49">
    <cfRule type="cellIs" dxfId="191" priority="31" operator="equal">
      <formula>"不使用增产剂"</formula>
    </cfRule>
    <cfRule type="cellIs" dxfId="190" priority="32" operator="equal">
      <formula>"加速"</formula>
    </cfRule>
    <cfRule type="cellIs" dxfId="189" priority="33" operator="equal">
      <formula>"增产"</formula>
    </cfRule>
  </conditionalFormatting>
  <conditionalFormatting sqref="A90:F90">
    <cfRule type="cellIs" dxfId="188" priority="28" operator="equal">
      <formula>"不使用增产剂"</formula>
    </cfRule>
    <cfRule type="cellIs" dxfId="187" priority="29" operator="equal">
      <formula>"加速"</formula>
    </cfRule>
    <cfRule type="cellIs" dxfId="186" priority="30" operator="equal">
      <formula>"增产"</formula>
    </cfRule>
  </conditionalFormatting>
  <conditionalFormatting sqref="A109:F109">
    <cfRule type="cellIs" dxfId="185" priority="25" operator="equal">
      <formula>"不使用增产剂"</formula>
    </cfRule>
    <cfRule type="cellIs" dxfId="184" priority="26" operator="equal">
      <formula>"加速"</formula>
    </cfRule>
    <cfRule type="cellIs" dxfId="183" priority="27" operator="equal">
      <formula>"增产"</formula>
    </cfRule>
  </conditionalFormatting>
  <conditionalFormatting sqref="A26:H38 A39:G42 H39:H49 A43:B44 F43:G44 A45:G47 F48 A50:H74 F75:H78">
    <cfRule type="cellIs" dxfId="182" priority="34" operator="equal">
      <formula>"不使用增产剂"</formula>
    </cfRule>
    <cfRule type="cellIs" dxfId="181" priority="35" operator="equal">
      <formula>"加速"</formula>
    </cfRule>
    <cfRule type="cellIs" dxfId="180" priority="36" operator="equal">
      <formula>"增产"</formula>
    </cfRule>
  </conditionalFormatting>
  <conditionalFormatting sqref="A91:I106">
    <cfRule type="cellIs" dxfId="179" priority="16" operator="equal">
      <formula>"不使用增产剂"</formula>
    </cfRule>
    <cfRule type="cellIs" dxfId="178" priority="17" operator="equal">
      <formula>"加速"</formula>
    </cfRule>
    <cfRule type="cellIs" dxfId="177" priority="18" operator="equal">
      <formula>"增产"</formula>
    </cfRule>
  </conditionalFormatting>
  <conditionalFormatting sqref="A110:I115">
    <cfRule type="cellIs" dxfId="176" priority="13" operator="equal">
      <formula>"不使用增产剂"</formula>
    </cfRule>
    <cfRule type="cellIs" dxfId="175" priority="14" operator="equal">
      <formula>"加速"</formula>
    </cfRule>
    <cfRule type="cellIs" dxfId="174" priority="15" operator="equal">
      <formula>"增产"</formula>
    </cfRule>
  </conditionalFormatting>
  <conditionalFormatting sqref="I30:I45">
    <cfRule type="cellIs" dxfId="173" priority="22" operator="equal">
      <formula>"不使用增产剂"</formula>
    </cfRule>
    <cfRule type="cellIs" dxfId="172" priority="23" operator="equal">
      <formula>"加速"</formula>
    </cfRule>
    <cfRule type="cellIs" dxfId="171" priority="24" operator="equal">
      <formula>"增产"</formula>
    </cfRule>
  </conditionalFormatting>
  <conditionalFormatting sqref="I50:I75">
    <cfRule type="cellIs" dxfId="170" priority="7" operator="equal">
      <formula>"不使用增产剂"</formula>
    </cfRule>
    <cfRule type="cellIs" dxfId="169" priority="8" operator="equal">
      <formula>"加速"</formula>
    </cfRule>
    <cfRule type="cellIs" dxfId="168" priority="9" operator="equal">
      <formula>"增产"</formula>
    </cfRule>
  </conditionalFormatting>
  <conditionalFormatting sqref="I77">
    <cfRule type="cellIs" dxfId="167" priority="1" operator="equal">
      <formula>"不使用增产剂"</formula>
    </cfRule>
    <cfRule type="cellIs" dxfId="166" priority="2" operator="equal">
      <formula>"加速"</formula>
    </cfRule>
    <cfRule type="cellIs" dxfId="165" priority="3" operator="equal">
      <formula>"增产"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EA3A-EFDA-42DD-8F65-17001B066866}">
  <dimension ref="A1:U115"/>
  <sheetViews>
    <sheetView zoomScale="85" zoomScaleNormal="85" workbookViewId="0">
      <selection activeCell="E16" sqref="E1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6.12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3</v>
      </c>
      <c r="C2" s="1">
        <v>3</v>
      </c>
      <c r="D2" s="1">
        <v>2</v>
      </c>
      <c r="E2" s="1">
        <v>1</v>
      </c>
      <c r="F2" s="1">
        <v>1</v>
      </c>
      <c r="G2" s="1">
        <v>45</v>
      </c>
      <c r="H2" s="1">
        <f>2.283152383</f>
        <v>2.283152383</v>
      </c>
    </row>
    <row r="3" spans="1:21" x14ac:dyDescent="0.2">
      <c r="A3" s="1" t="s">
        <v>9</v>
      </c>
      <c r="B3" s="1">
        <v>2.88</v>
      </c>
      <c r="C3" s="1">
        <v>2.88</v>
      </c>
      <c r="D3" s="1">
        <v>2.16</v>
      </c>
      <c r="E3" s="1">
        <v>0.96</v>
      </c>
      <c r="F3" s="1">
        <v>12</v>
      </c>
      <c r="G3" s="1">
        <f>1.92*15</f>
        <v>28.799999999999997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199</v>
      </c>
      <c r="B6" s="1">
        <v>10.5</v>
      </c>
      <c r="C6" s="1">
        <v>12</v>
      </c>
      <c r="D6" s="1">
        <v>16</v>
      </c>
      <c r="E6" s="1">
        <v>16</v>
      </c>
      <c r="F6" s="1">
        <v>16</v>
      </c>
      <c r="G6" s="1">
        <v>16</v>
      </c>
      <c r="H6" s="1">
        <v>35</v>
      </c>
      <c r="I6" s="1">
        <v>35</v>
      </c>
      <c r="J6" s="1">
        <v>55</v>
      </c>
      <c r="K6" s="1">
        <v>55</v>
      </c>
      <c r="L6" s="1">
        <v>55</v>
      </c>
      <c r="M6" s="1">
        <v>21</v>
      </c>
      <c r="N6" s="1">
        <v>21</v>
      </c>
      <c r="O6" s="1">
        <v>30</v>
      </c>
      <c r="P6" s="1">
        <v>30</v>
      </c>
      <c r="Q6" s="1">
        <v>38.5</v>
      </c>
      <c r="R6" s="1">
        <v>60</v>
      </c>
      <c r="S6" s="1">
        <v>63.92</v>
      </c>
      <c r="T6" s="1">
        <v>24</v>
      </c>
      <c r="U6" s="1">
        <v>12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f>0.416666666666667/2</f>
        <v>0.20833333333333351</v>
      </c>
      <c r="C9" s="1">
        <f>(F104+F101/74+50*R6)/7200</f>
        <v>0.45706087337337337</v>
      </c>
      <c r="D9" s="1">
        <f>50*R6/7200</f>
        <v>0.41666666666666669</v>
      </c>
      <c r="E9" s="1">
        <v>0.41666700000000001</v>
      </c>
      <c r="F9" s="1">
        <v>0.47803776394065556</v>
      </c>
      <c r="G9" s="1">
        <v>0.47803776394065556</v>
      </c>
      <c r="H9" s="1">
        <v>0.47911432324702535</v>
      </c>
      <c r="I9" s="1">
        <f>(H9-G9)/(1-(F9-H9)/(E9-G9))+G9</f>
        <v>0.47913354532561753</v>
      </c>
    </row>
    <row r="10" spans="1:21" x14ac:dyDescent="0.2">
      <c r="A10" s="1" t="s">
        <v>36</v>
      </c>
      <c r="C10" s="1">
        <f>(F104+100*R6)/7200</f>
        <v>0.87366087962962968</v>
      </c>
      <c r="D10" s="1">
        <f>100*R6/7200</f>
        <v>0.83333333333333337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0</v>
      </c>
      <c r="C16" s="1">
        <f>F101/74</f>
        <v>0.47995495495495494</v>
      </c>
      <c r="D16" s="1">
        <v>0</v>
      </c>
      <c r="E16" s="1">
        <v>0.52120723603603603</v>
      </c>
      <c r="F16" s="1">
        <v>0.52120723603603603</v>
      </c>
      <c r="G16" s="1">
        <v>0.6169966740102264</v>
      </c>
      <c r="H16" s="1">
        <f>(G16-F16)/(1-(E16-G16)/(D16-F16))+F16</f>
        <v>0.63856515673289183</v>
      </c>
    </row>
    <row r="17" spans="1:11" ht="15" customHeight="1" x14ac:dyDescent="0.2"/>
    <row r="18" spans="1:11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1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1" x14ac:dyDescent="0.2">
      <c r="A20" s="1" t="s">
        <v>51</v>
      </c>
      <c r="B20" s="1">
        <f>G67</f>
        <v>116.95666666666668</v>
      </c>
      <c r="C20" s="1">
        <f>G43</f>
        <v>11.399958037937353</v>
      </c>
      <c r="D20" s="1">
        <f>G64</f>
        <v>52.05</v>
      </c>
      <c r="E20" s="1">
        <f>G69</f>
        <v>31.041666666666671</v>
      </c>
      <c r="F20" s="1">
        <f>10*S6</f>
        <v>639.20000000000005</v>
      </c>
      <c r="G20" s="1">
        <f>G75</f>
        <v>33.609375</v>
      </c>
      <c r="H20" s="1">
        <f>G76</f>
        <v>8.0000000000000018</v>
      </c>
      <c r="I20" s="1">
        <f>G77</f>
        <v>8.0000000000000018</v>
      </c>
      <c r="J20" s="1">
        <f>G78</f>
        <v>220.83</v>
      </c>
    </row>
    <row r="21" spans="1:11" x14ac:dyDescent="0.2">
      <c r="A21" s="1" t="s">
        <v>52</v>
      </c>
      <c r="B21" s="1">
        <f>G66</f>
        <v>15.666666666666668</v>
      </c>
      <c r="C21" s="1">
        <f>G44</f>
        <v>15.312500000000004</v>
      </c>
      <c r="D21" s="1">
        <f>G63</f>
        <v>29.729166666666664</v>
      </c>
      <c r="E21" s="1">
        <f>G70</f>
        <v>13.208333333333334</v>
      </c>
      <c r="F21" s="1">
        <f>G45</f>
        <v>160.87111111111111</v>
      </c>
      <c r="G21" s="1">
        <f>G41</f>
        <v>18.0625</v>
      </c>
      <c r="H21" s="1">
        <f>G38</f>
        <v>1.5000000000000002</v>
      </c>
      <c r="I21" s="1">
        <f>G37</f>
        <v>2.1875</v>
      </c>
      <c r="J21" s="1" t="s">
        <v>234</v>
      </c>
    </row>
    <row r="22" spans="1:11" x14ac:dyDescent="0.2">
      <c r="A22" s="1" t="s">
        <v>53</v>
      </c>
      <c r="B22" s="1">
        <f>B21</f>
        <v>15.666666666666668</v>
      </c>
      <c r="C22" s="1">
        <f>C19</f>
        <v>0</v>
      </c>
      <c r="D22" s="1">
        <f t="shared" ref="D22:I22" si="0">D21</f>
        <v>29.729166666666664</v>
      </c>
      <c r="E22" s="1">
        <f t="shared" si="0"/>
        <v>13.208333333333334</v>
      </c>
      <c r="F22" s="1">
        <f>0</f>
        <v>0</v>
      </c>
      <c r="G22" s="1">
        <f t="shared" si="0"/>
        <v>18.0625</v>
      </c>
      <c r="H22" s="1">
        <f t="shared" si="0"/>
        <v>1.5000000000000002</v>
      </c>
      <c r="I22" s="1">
        <f t="shared" si="0"/>
        <v>2.1875</v>
      </c>
      <c r="J22" s="1">
        <f>J19</f>
        <v>0</v>
      </c>
    </row>
    <row r="26" spans="1:11" ht="25.5" x14ac:dyDescent="0.2">
      <c r="A26" s="3" t="s">
        <v>54</v>
      </c>
      <c r="B26" s="3"/>
      <c r="C26" s="3"/>
      <c r="D26" s="3"/>
      <c r="E26" s="3"/>
      <c r="F26" s="3"/>
    </row>
    <row r="27" spans="1:11" x14ac:dyDescent="0.2">
      <c r="C27" s="4" t="s">
        <v>55</v>
      </c>
      <c r="D27" s="4"/>
      <c r="E27" s="4"/>
      <c r="F27" s="4"/>
      <c r="G27" s="4"/>
    </row>
    <row r="28" spans="1:11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</row>
    <row r="29" spans="1:11" ht="19.5" x14ac:dyDescent="0.2">
      <c r="A29" s="2" t="s">
        <v>65</v>
      </c>
      <c r="B29" s="2"/>
      <c r="C29" s="2"/>
      <c r="D29" s="2"/>
      <c r="E29" s="2"/>
      <c r="F29" s="2"/>
      <c r="J29" s="1" t="s">
        <v>64</v>
      </c>
    </row>
    <row r="30" spans="1:11" x14ac:dyDescent="0.2">
      <c r="A30" s="1" t="s">
        <v>66</v>
      </c>
      <c r="B30" s="1" t="s">
        <v>67</v>
      </c>
      <c r="C30" s="1">
        <f>(B6+C3*B9)/C2</f>
        <v>3.7000000000000006</v>
      </c>
      <c r="D30" s="1">
        <f>((B6+C3*B9*2.5)/C2+B16)/1.25</f>
        <v>3.2000000000000006</v>
      </c>
      <c r="E30" s="1">
        <f>((B6+C3*B9*2.5)/C2+2*B16)/2</f>
        <v>2.0000000000000004</v>
      </c>
      <c r="F30" s="1">
        <f>MIN(C30:E30)</f>
        <v>2.0000000000000004</v>
      </c>
      <c r="G30" s="1">
        <f>F30</f>
        <v>2.0000000000000004</v>
      </c>
      <c r="H30" s="1" t="str">
        <f t="shared" ref="H30:H37" si="1">IF(C30=G30,"不使用增产剂","")&amp;IF(D30=G30,"增产","")&amp;IF(E30=G30,"加速","")</f>
        <v>加速</v>
      </c>
      <c r="I30" s="1" t="s">
        <v>66</v>
      </c>
      <c r="J30" s="1">
        <f t="shared" ref="J30:J45" si="2">60*318310/G30</f>
        <v>9549299.9999999981</v>
      </c>
      <c r="K30" s="1" t="s">
        <v>68</v>
      </c>
    </row>
    <row r="31" spans="1:11" x14ac:dyDescent="0.2">
      <c r="A31" s="1" t="s">
        <v>69</v>
      </c>
      <c r="B31" s="1" t="s">
        <v>70</v>
      </c>
      <c r="C31" s="1">
        <f>(B6+C3*B9)/C2</f>
        <v>3.7000000000000006</v>
      </c>
      <c r="D31" s="1">
        <f>((B6+C3*B9*2.5)/C2+B16)/1.25</f>
        <v>3.2000000000000006</v>
      </c>
      <c r="E31" s="1">
        <f>((B6+C3*B9*2.5)/C2+2*B16)/2</f>
        <v>2.0000000000000004</v>
      </c>
      <c r="F31" s="1">
        <f t="shared" ref="F31:F44" si="3">MIN(C31:E31)</f>
        <v>2.0000000000000004</v>
      </c>
      <c r="G31" s="1">
        <f t="shared" ref="G31:G44" si="4">F31</f>
        <v>2.0000000000000004</v>
      </c>
      <c r="H31" s="1" t="str">
        <f t="shared" si="1"/>
        <v>加速</v>
      </c>
      <c r="I31" s="1" t="s">
        <v>69</v>
      </c>
      <c r="J31" s="1">
        <f t="shared" si="2"/>
        <v>9549299.9999999981</v>
      </c>
      <c r="K31" s="1" t="s">
        <v>68</v>
      </c>
    </row>
    <row r="32" spans="1:11" x14ac:dyDescent="0.2">
      <c r="A32" s="1" t="s">
        <v>71</v>
      </c>
      <c r="B32" s="1" t="s">
        <v>72</v>
      </c>
      <c r="C32" s="1">
        <f>2*(B6+C3*B9)/C2</f>
        <v>7.4000000000000012</v>
      </c>
      <c r="D32" s="1">
        <f>(2*(B6+C3*B9*2.5)/C2+2*B16)/1.25</f>
        <v>6.4000000000000012</v>
      </c>
      <c r="E32" s="1">
        <f>(2*(B6+C3*B9*2.5)/C2+4*B16)/2</f>
        <v>4.0000000000000009</v>
      </c>
      <c r="F32" s="1">
        <f t="shared" si="3"/>
        <v>4.0000000000000009</v>
      </c>
      <c r="G32" s="1">
        <f t="shared" si="4"/>
        <v>4.0000000000000009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2"/>
        <v>4774649.9999999991</v>
      </c>
      <c r="K32" s="1" t="s">
        <v>68</v>
      </c>
    </row>
    <row r="33" spans="1:11" x14ac:dyDescent="0.2">
      <c r="A33" s="1" t="s">
        <v>73</v>
      </c>
      <c r="B33" s="1" t="s">
        <v>74</v>
      </c>
      <c r="C33" s="1">
        <f>2*(B6+C3*B9)/C2</f>
        <v>7.4000000000000012</v>
      </c>
      <c r="D33" s="1">
        <f>(2*(B6+C3*B9*2.5)/C2+2*B16)/1.25</f>
        <v>6.4000000000000012</v>
      </c>
      <c r="E33" s="1">
        <f>(2*(B6+C3*B9*2.5)/C2+4*B16)/2</f>
        <v>4.0000000000000009</v>
      </c>
      <c r="F33" s="1">
        <f t="shared" si="3"/>
        <v>4.0000000000000009</v>
      </c>
      <c r="G33" s="1">
        <f t="shared" si="4"/>
        <v>4.0000000000000009</v>
      </c>
      <c r="H33" s="1" t="str">
        <f t="shared" si="1"/>
        <v>加速</v>
      </c>
      <c r="I33" s="1" t="s">
        <v>73</v>
      </c>
      <c r="J33" s="1">
        <f t="shared" si="2"/>
        <v>4774649.9999999991</v>
      </c>
      <c r="K33" s="1" t="s">
        <v>68</v>
      </c>
    </row>
    <row r="34" spans="1:11" x14ac:dyDescent="0.2">
      <c r="A34" s="1" t="s">
        <v>75</v>
      </c>
      <c r="B34" s="1" t="s">
        <v>76</v>
      </c>
      <c r="C34" s="1">
        <f>(B6+C3*B9)/C2</f>
        <v>3.7000000000000006</v>
      </c>
      <c r="D34" s="1">
        <f>((B6+C3*B9*2.5)/C2+B16)/1.25</f>
        <v>3.2000000000000006</v>
      </c>
      <c r="E34" s="1">
        <f>((B6+C3*B9*2.5)/C2+2*B16)/2</f>
        <v>2.0000000000000004</v>
      </c>
      <c r="F34" s="1">
        <f t="shared" si="3"/>
        <v>2.0000000000000004</v>
      </c>
      <c r="G34" s="1">
        <f t="shared" si="4"/>
        <v>2.0000000000000004</v>
      </c>
      <c r="H34" s="1" t="str">
        <f t="shared" si="1"/>
        <v>加速</v>
      </c>
      <c r="I34" s="1" t="s">
        <v>75</v>
      </c>
      <c r="J34" s="1">
        <f t="shared" si="2"/>
        <v>9549299.9999999981</v>
      </c>
      <c r="K34" s="1" t="s">
        <v>68</v>
      </c>
    </row>
    <row r="35" spans="1:11" x14ac:dyDescent="0.2">
      <c r="A35" s="1" t="s">
        <v>77</v>
      </c>
      <c r="B35" s="1" t="s">
        <v>78</v>
      </c>
      <c r="C35" s="1">
        <f>2*(B6+C3*B9)/C2</f>
        <v>7.4000000000000012</v>
      </c>
      <c r="D35" s="1">
        <f>(2*(B6+C3*B9*2.5)/C2+2*B16)/1.25</f>
        <v>6.4000000000000012</v>
      </c>
      <c r="E35" s="1">
        <f>(2*(B6+C3*B9*2.5)/C2+4*B16)/2</f>
        <v>4.0000000000000009</v>
      </c>
      <c r="F35" s="1">
        <f t="shared" si="3"/>
        <v>4.0000000000000009</v>
      </c>
      <c r="G35" s="1">
        <f t="shared" si="4"/>
        <v>4.0000000000000009</v>
      </c>
      <c r="H35" s="1" t="str">
        <f t="shared" si="1"/>
        <v>加速</v>
      </c>
      <c r="I35" s="1" t="s">
        <v>77</v>
      </c>
      <c r="J35" s="1">
        <f t="shared" si="2"/>
        <v>4774649.9999999991</v>
      </c>
      <c r="K35" s="1" t="s">
        <v>68</v>
      </c>
    </row>
    <row r="36" spans="1:11" x14ac:dyDescent="0.2">
      <c r="A36" s="1" t="s">
        <v>79</v>
      </c>
      <c r="B36" s="1" t="s">
        <v>80</v>
      </c>
      <c r="C36" s="1">
        <f>2*(B6+C3*B9)/C2</f>
        <v>7.4000000000000012</v>
      </c>
      <c r="D36" s="1">
        <f>(2*(B6+C3*B9*2.5)/C2+2*B16)/1.25</f>
        <v>6.4000000000000012</v>
      </c>
      <c r="E36" s="1">
        <f>(2*(B6+C3*B9*2.5)/C2+4*B16)/2</f>
        <v>4.0000000000000009</v>
      </c>
      <c r="F36" s="1">
        <f t="shared" si="3"/>
        <v>4.0000000000000009</v>
      </c>
      <c r="G36" s="1">
        <f t="shared" si="4"/>
        <v>4.0000000000000009</v>
      </c>
      <c r="H36" s="1" t="str">
        <f t="shared" si="1"/>
        <v>加速</v>
      </c>
      <c r="I36" s="1" t="s">
        <v>79</v>
      </c>
      <c r="J36" s="1">
        <f t="shared" si="2"/>
        <v>4774649.9999999991</v>
      </c>
      <c r="K36" s="1" t="s">
        <v>68</v>
      </c>
    </row>
    <row r="37" spans="1:11" x14ac:dyDescent="0.2">
      <c r="A37" s="1" t="s">
        <v>81</v>
      </c>
      <c r="B37" s="1" t="s">
        <v>82</v>
      </c>
      <c r="C37" s="1">
        <f>1.5*(D6+B3*B9)/(2*B2)</f>
        <v>4.1500000000000004</v>
      </c>
      <c r="D37" s="1">
        <f>(1.5*(D6+B3*B9*2.5)/B2+B16)/2.5</f>
        <v>3.5</v>
      </c>
      <c r="E37" s="1">
        <f>(1.5*(D6+B3*B9*2.5)/B2+2*B16)/4</f>
        <v>2.1875</v>
      </c>
      <c r="F37" s="1">
        <f t="shared" si="3"/>
        <v>2.1875</v>
      </c>
      <c r="G37" s="1">
        <f t="shared" si="4"/>
        <v>2.1875</v>
      </c>
      <c r="H37" s="1" t="str">
        <f t="shared" si="1"/>
        <v>加速</v>
      </c>
      <c r="I37" s="1" t="s">
        <v>81</v>
      </c>
      <c r="J37" s="1">
        <f t="shared" si="2"/>
        <v>8730788.5714285709</v>
      </c>
      <c r="K37" s="1" t="s">
        <v>68</v>
      </c>
    </row>
    <row r="38" spans="1:11" x14ac:dyDescent="0.2">
      <c r="A38" s="1" t="s">
        <v>83</v>
      </c>
      <c r="B38" s="1" t="s">
        <v>84</v>
      </c>
      <c r="C38" s="1">
        <f>1.5*(B6+C3*B9)/(2*C2)</f>
        <v>2.7750000000000004</v>
      </c>
      <c r="D38" s="1">
        <f>(1.5*(B6+C3*B9*2.5)/C2+B16)/2.5</f>
        <v>2.4000000000000004</v>
      </c>
      <c r="E38" s="1">
        <f>(1.5*(B6+C3*B9*2.5)/C2+2*B16)/4</f>
        <v>1.5000000000000002</v>
      </c>
      <c r="F38" s="1">
        <f t="shared" si="3"/>
        <v>1.5000000000000002</v>
      </c>
      <c r="G38" s="1">
        <f t="shared" si="4"/>
        <v>1.5000000000000002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2"/>
        <v>12732399.999999998</v>
      </c>
      <c r="K38" s="1" t="s">
        <v>68</v>
      </c>
    </row>
    <row r="39" spans="1:11" x14ac:dyDescent="0.2">
      <c r="A39" s="1" t="s">
        <v>85</v>
      </c>
      <c r="B39" s="1" t="s">
        <v>86</v>
      </c>
      <c r="C39" s="1">
        <f>2*(I6+D3*B9)/(2*D2)</f>
        <v>17.725000000000001</v>
      </c>
      <c r="D39" s="1">
        <f>(2*(I6+D3*B9*2.5)/D2+2*B16)/2.5</f>
        <v>14.45</v>
      </c>
      <c r="E39" s="1">
        <f>(2*(I6+D3*B9*2.5)/D2+4*B16)/4</f>
        <v>9.03125</v>
      </c>
      <c r="F39" s="1">
        <f t="shared" si="3"/>
        <v>9.03125</v>
      </c>
      <c r="G39" s="1">
        <f t="shared" si="4"/>
        <v>9.03125</v>
      </c>
      <c r="H39" s="1" t="str">
        <f t="shared" ref="H39:H45" si="5">IF(C39=G39,"不使用增产剂","")&amp;IF(D39=G39,"增产","")&amp;IF(E39=G39,"加速","")</f>
        <v>加速</v>
      </c>
      <c r="I39" s="1" t="s">
        <v>85</v>
      </c>
      <c r="J39" s="1">
        <f t="shared" si="2"/>
        <v>2114723.8754325258</v>
      </c>
      <c r="K39" s="1" t="s">
        <v>68</v>
      </c>
    </row>
    <row r="40" spans="1:11" x14ac:dyDescent="0.2">
      <c r="A40" s="1" t="s">
        <v>87</v>
      </c>
      <c r="B40" s="1" t="s">
        <v>88</v>
      </c>
      <c r="C40" s="1">
        <f>(4/E2)*(N6+B9*E3)/2</f>
        <v>42.4</v>
      </c>
      <c r="D40" s="1">
        <f>((4/E2)*(N6+B9*E3*2.5)+2*B16)/2.5</f>
        <v>34.4</v>
      </c>
      <c r="E40" s="1">
        <f>((4/E2)*(N6+B9*E3*2.5)+4*B16)/4</f>
        <v>21.5</v>
      </c>
      <c r="F40" s="1">
        <f t="shared" si="3"/>
        <v>21.5</v>
      </c>
      <c r="G40" s="1">
        <f>F40</f>
        <v>21.5</v>
      </c>
      <c r="H40" s="1" t="str">
        <f t="shared" si="5"/>
        <v>加速</v>
      </c>
      <c r="I40" s="1" t="s">
        <v>87</v>
      </c>
      <c r="J40" s="1">
        <f t="shared" si="2"/>
        <v>888306.97674418602</v>
      </c>
      <c r="K40" s="1" t="s">
        <v>68</v>
      </c>
    </row>
    <row r="41" spans="1:11" x14ac:dyDescent="0.2">
      <c r="A41" s="1" t="s">
        <v>89</v>
      </c>
      <c r="B41" s="1" t="s">
        <v>90</v>
      </c>
      <c r="C41" s="1">
        <f>4*(I6+D3*B9)/(2*D2)</f>
        <v>35.450000000000003</v>
      </c>
      <c r="D41" s="1">
        <f>(4*(I6+D3*B9*2.5)/D2+6*B16)/2.5</f>
        <v>28.9</v>
      </c>
      <c r="E41" s="1">
        <f>(4*(I6+D3*B9*2.5)/D2+12*B16)/4</f>
        <v>18.0625</v>
      </c>
      <c r="F41" s="1">
        <f t="shared" si="3"/>
        <v>18.0625</v>
      </c>
      <c r="G41" s="1">
        <f t="shared" si="4"/>
        <v>18.0625</v>
      </c>
      <c r="H41" s="1" t="str">
        <f t="shared" si="5"/>
        <v>加速</v>
      </c>
      <c r="I41" s="1" t="s">
        <v>89</v>
      </c>
      <c r="J41" s="1">
        <f t="shared" si="2"/>
        <v>1057361.9377162629</v>
      </c>
      <c r="K41" s="1" t="s">
        <v>68</v>
      </c>
    </row>
    <row r="42" spans="1:11" x14ac:dyDescent="0.2">
      <c r="A42" s="1" t="s">
        <v>91</v>
      </c>
      <c r="B42" s="1" t="s">
        <v>92</v>
      </c>
      <c r="C42" s="1">
        <f>1.5*(B6+C3*B9)/C2</f>
        <v>5.5500000000000007</v>
      </c>
      <c r="D42" s="1">
        <f>(1.5*(B6+C3*B9*2.5)/C2+B16)/1.25</f>
        <v>4.8000000000000007</v>
      </c>
      <c r="E42" s="1">
        <f>(1.5*(B6+C3*B9*2.5)/C2+2*B16)/2</f>
        <v>3.0000000000000004</v>
      </c>
      <c r="F42" s="1">
        <f t="shared" si="3"/>
        <v>3.0000000000000004</v>
      </c>
      <c r="G42" s="1">
        <f t="shared" si="4"/>
        <v>3.0000000000000004</v>
      </c>
      <c r="H42" s="1" t="str">
        <f t="shared" si="5"/>
        <v>加速</v>
      </c>
      <c r="I42" s="1" t="s">
        <v>91</v>
      </c>
      <c r="J42" s="1">
        <f t="shared" si="2"/>
        <v>6366199.9999999991</v>
      </c>
      <c r="K42" s="1" t="s">
        <v>68</v>
      </c>
    </row>
    <row r="43" spans="1:11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11.399958037937353</v>
      </c>
      <c r="F43" s="1">
        <f t="shared" si="3"/>
        <v>11.399958037937353</v>
      </c>
      <c r="G43" s="1">
        <f t="shared" si="4"/>
        <v>11.399958037937353</v>
      </c>
      <c r="H43" s="1" t="str">
        <f t="shared" si="5"/>
        <v>加速</v>
      </c>
      <c r="I43" s="1" t="s">
        <v>93</v>
      </c>
      <c r="J43" s="1">
        <f t="shared" si="2"/>
        <v>1675321.95613727</v>
      </c>
      <c r="K43" s="1" t="s">
        <v>68</v>
      </c>
    </row>
    <row r="44" spans="1:11" x14ac:dyDescent="0.2">
      <c r="A44" s="1" t="s">
        <v>97</v>
      </c>
      <c r="B44" s="1" t="s">
        <v>98</v>
      </c>
      <c r="C44" s="1">
        <f>2.5*(J6+F3*B9)/F2/5</f>
        <v>28.75</v>
      </c>
      <c r="D44" s="1">
        <f>(2.5*(J6+F3*B9*2.5)/F2+10*B16)/6.25</f>
        <v>24.500000000000004</v>
      </c>
      <c r="E44" s="1">
        <f>(2.5*(J6+F3*B9*2.5)/F2+20*B16)/10</f>
        <v>15.312500000000004</v>
      </c>
      <c r="F44" s="1">
        <f t="shared" si="3"/>
        <v>15.312500000000004</v>
      </c>
      <c r="G44" s="1">
        <f t="shared" si="4"/>
        <v>15.312500000000004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2"/>
        <v>1247255.5102040814</v>
      </c>
      <c r="K44" s="1" t="s">
        <v>68</v>
      </c>
    </row>
    <row r="45" spans="1:11" x14ac:dyDescent="0.2">
      <c r="A45" s="1" t="s">
        <v>99</v>
      </c>
      <c r="B45" s="1" t="s">
        <v>100</v>
      </c>
      <c r="C45" s="1">
        <f>((0.1*G92)+60*S6)/12</f>
        <v>321.74222222222221</v>
      </c>
      <c r="D45" s="1" t="s">
        <v>96</v>
      </c>
      <c r="E45" s="1">
        <f>((0.1*G92)+60*S6+0.1*B16)/24</f>
        <v>160.87111111111111</v>
      </c>
      <c r="F45" s="1">
        <f>MIN(C45:E45)</f>
        <v>160.87111111111111</v>
      </c>
      <c r="G45" s="1">
        <f>F45</f>
        <v>160.87111111111111</v>
      </c>
      <c r="H45" s="1" t="str">
        <f t="shared" si="5"/>
        <v>加速</v>
      </c>
      <c r="I45" s="1" t="s">
        <v>101</v>
      </c>
      <c r="J45" s="1">
        <f t="shared" si="2"/>
        <v>118719.88617526799</v>
      </c>
      <c r="K45" s="1" t="s">
        <v>68</v>
      </c>
    </row>
    <row r="49" spans="1:11" ht="19.5" x14ac:dyDescent="0.2">
      <c r="A49" s="2" t="s">
        <v>102</v>
      </c>
      <c r="B49" s="2"/>
      <c r="C49" s="2"/>
      <c r="D49" s="2"/>
      <c r="E49" s="2"/>
      <c r="F49" s="2"/>
    </row>
    <row r="50" spans="1:11" x14ac:dyDescent="0.2">
      <c r="A50" s="1" t="s">
        <v>103</v>
      </c>
      <c r="B50" s="1" t="s">
        <v>104</v>
      </c>
      <c r="C50" s="1">
        <f>((2*G42+G31)+(E6+B3*B9)/B2)/2</f>
        <v>6.7666666666666675</v>
      </c>
      <c r="D50" s="1">
        <f>((2*G42+G31)+(E6+B3*B9*2.5)/B2+3*B16)/2.5</f>
        <v>5.5333333333333341</v>
      </c>
      <c r="E50" s="1">
        <f>(2*(2*G42+G31)+(E6+2.5*B3*B9)/B2+6*B16)/4</f>
        <v>5.4583333333333339</v>
      </c>
      <c r="F50" s="1">
        <f t="shared" ref="F50:F78" si="6">MIN(C50:E50)</f>
        <v>5.4583333333333339</v>
      </c>
      <c r="G50" s="1">
        <f t="shared" ref="G50:G78" si="7">F50</f>
        <v>5.4583333333333339</v>
      </c>
      <c r="H50" s="1" t="str">
        <f t="shared" ref="H50:H78" si="8">IF(C50=G50,"不使用增产剂","")&amp;IF(D50=G50,"增产","")&amp;IF(E50=G50,"加速","")</f>
        <v>加速</v>
      </c>
      <c r="I50" s="1" t="s">
        <v>103</v>
      </c>
      <c r="J50" s="1">
        <f t="shared" ref="J50:J78" si="9">60*318310/G50</f>
        <v>3498980.1526717553</v>
      </c>
      <c r="K50" s="1" t="s">
        <v>68</v>
      </c>
    </row>
    <row r="51" spans="1:11" x14ac:dyDescent="0.2">
      <c r="A51" s="1" t="s">
        <v>105</v>
      </c>
      <c r="B51" s="1" t="s">
        <v>106</v>
      </c>
      <c r="C51" s="1">
        <f>((3*G30)+3*(B6+C3*B9)/C2)/1</f>
        <v>17.100000000000001</v>
      </c>
      <c r="D51" s="1">
        <f>((3*G30)+3*(B6+C3*B9*2.5)/C2+3*B16)/1.25</f>
        <v>14.400000000000002</v>
      </c>
      <c r="E51" s="1">
        <f>(2*(3*G30)+3*(B6+C3*B9*2.5)/C2+6*B16)/2</f>
        <v>12.000000000000004</v>
      </c>
      <c r="F51" s="1">
        <f t="shared" si="6"/>
        <v>12.000000000000004</v>
      </c>
      <c r="G51" s="1">
        <f t="shared" si="7"/>
        <v>12.000000000000004</v>
      </c>
      <c r="H51" s="1" t="str">
        <f t="shared" si="8"/>
        <v>加速</v>
      </c>
      <c r="I51" s="1" t="s">
        <v>105</v>
      </c>
      <c r="J51" s="1">
        <f t="shared" si="9"/>
        <v>1591549.9999999995</v>
      </c>
      <c r="K51" s="1" t="s">
        <v>68</v>
      </c>
    </row>
    <row r="52" spans="1:11" x14ac:dyDescent="0.2">
      <c r="A52" s="1" t="s">
        <v>107</v>
      </c>
      <c r="B52" s="1" t="s">
        <v>108</v>
      </c>
      <c r="C52" s="1">
        <f>((4*G33+4*G51)+(12/C2)*(C6+C3*B9))/4</f>
        <v>28.600000000000005</v>
      </c>
      <c r="D52" s="1">
        <f>((4*G33+4*G51)+(12/C2)*(C6+C3*B9*2.5)+16*B16)/5</f>
        <v>23.600000000000005</v>
      </c>
      <c r="E52" s="1">
        <f>(2*(4*G33+4*G51)+(12/C2)*(C6+C3*B9*2.5)+32*B16)/8</f>
        <v>22.750000000000004</v>
      </c>
      <c r="F52" s="1">
        <f t="shared" si="6"/>
        <v>22.750000000000004</v>
      </c>
      <c r="G52" s="1">
        <f t="shared" si="7"/>
        <v>22.750000000000004</v>
      </c>
      <c r="H52" s="1" t="str">
        <f t="shared" si="8"/>
        <v>加速</v>
      </c>
      <c r="I52" s="1" t="s">
        <v>107</v>
      </c>
      <c r="J52" s="1">
        <f t="shared" si="9"/>
        <v>839498.90109890094</v>
      </c>
      <c r="K52" s="1" t="s">
        <v>68</v>
      </c>
    </row>
    <row r="53" spans="1:11" x14ac:dyDescent="0.2">
      <c r="A53" s="1" t="s">
        <v>109</v>
      </c>
      <c r="B53" s="1" t="s">
        <v>110</v>
      </c>
      <c r="C53" s="1">
        <f>((2*G36+2*G33)+(5/B2)*(F6+B3*B9))/2</f>
        <v>21.833333333333336</v>
      </c>
      <c r="D53" s="1">
        <f>((2*G36+2*G33)+(5/B2)*(F6+2.5*B3*B9)+6*B16)/2.5</f>
        <v>18.06666666666667</v>
      </c>
      <c r="E53" s="1">
        <f>(2*(2*G36+2*G33)+(5/B2)*(F6+2.5*B3*B9)+12*B16)/4</f>
        <v>15.291666666666668</v>
      </c>
      <c r="F53" s="1">
        <f t="shared" si="6"/>
        <v>15.291666666666668</v>
      </c>
      <c r="G53" s="1">
        <f t="shared" si="7"/>
        <v>15.291666666666668</v>
      </c>
      <c r="H53" s="1" t="str">
        <f t="shared" si="8"/>
        <v>加速</v>
      </c>
      <c r="I53" s="1" t="s">
        <v>109</v>
      </c>
      <c r="J53" s="1">
        <f t="shared" si="9"/>
        <v>1248954.7683923705</v>
      </c>
      <c r="K53" s="1" t="s">
        <v>68</v>
      </c>
    </row>
    <row r="54" spans="1:11" x14ac:dyDescent="0.2">
      <c r="A54" s="1" t="s">
        <v>111</v>
      </c>
      <c r="B54" s="1" t="s">
        <v>112</v>
      </c>
      <c r="C54" s="1">
        <f>((3*G36)+(2/B2)*(D6+B3*B9))/2</f>
        <v>11.533333333333335</v>
      </c>
      <c r="D54" s="1">
        <f>((3*G36)+(2/B2)*(D6+B3*B9*2.5)+3*B16)/2.5</f>
        <v>9.4666666666666686</v>
      </c>
      <c r="E54" s="1">
        <f>((6*G36)+(2/B2)*(D6+B3*B9*2.5)+6*B16)/4</f>
        <v>8.9166666666666679</v>
      </c>
      <c r="F54" s="1">
        <f t="shared" si="6"/>
        <v>8.9166666666666679</v>
      </c>
      <c r="G54" s="1">
        <f t="shared" si="7"/>
        <v>8.9166666666666679</v>
      </c>
      <c r="H54" s="1" t="str">
        <f t="shared" si="8"/>
        <v>加速</v>
      </c>
      <c r="I54" s="1" t="s">
        <v>111</v>
      </c>
      <c r="J54" s="1">
        <f t="shared" si="9"/>
        <v>2141899.0654205605</v>
      </c>
      <c r="K54" s="1" t="s">
        <v>68</v>
      </c>
    </row>
    <row r="55" spans="1:11" x14ac:dyDescent="0.2">
      <c r="A55" s="1" t="s">
        <v>113</v>
      </c>
      <c r="B55" s="1" t="s">
        <v>114</v>
      </c>
      <c r="C55" s="1">
        <f>((4*G50+2*G54)+(2/B2)*(E6+B3*B9))/1</f>
        <v>50.733333333333334</v>
      </c>
      <c r="D55" s="1">
        <f>((4*G50+2*G54)+(2/B2)*(E6+2.5*B3*B9)+6*B16)/1.25</f>
        <v>41.06666666666667</v>
      </c>
      <c r="E55" s="1">
        <f>(2*(4*G50+2*G54)+(2/B2)*(E6+2.5*B3*B9)+12*B16)/2</f>
        <v>45.500000000000007</v>
      </c>
      <c r="F55" s="1">
        <f t="shared" si="6"/>
        <v>41.06666666666667</v>
      </c>
      <c r="G55" s="1">
        <f t="shared" si="7"/>
        <v>41.06666666666667</v>
      </c>
      <c r="H55" s="1" t="str">
        <f t="shared" si="8"/>
        <v>增产</v>
      </c>
      <c r="I55" s="1" t="s">
        <v>113</v>
      </c>
      <c r="J55" s="1">
        <f t="shared" si="9"/>
        <v>465063.31168831163</v>
      </c>
      <c r="K55" s="1" t="s">
        <v>68</v>
      </c>
    </row>
    <row r="56" spans="1:11" x14ac:dyDescent="0.2">
      <c r="A56" s="1" t="s">
        <v>115</v>
      </c>
      <c r="B56" s="1" t="s">
        <v>116</v>
      </c>
      <c r="C56" s="1">
        <f>(G30+(1/B2)*(D6+B3*B9))</f>
        <v>7.5333333333333332</v>
      </c>
      <c r="D56" s="1">
        <f>(G30+(1/B2)*(D6+2.5*B3*B9)+B16)/1.25</f>
        <v>6.2666666666666675</v>
      </c>
      <c r="E56" s="1">
        <f>(2*G30+(1/B2)*(D6+2.5*B3*B9)+2*B16)/2</f>
        <v>4.916666666666667</v>
      </c>
      <c r="F56" s="1">
        <f t="shared" si="6"/>
        <v>4.916666666666667</v>
      </c>
      <c r="G56" s="1">
        <f t="shared" si="7"/>
        <v>4.916666666666667</v>
      </c>
      <c r="H56" s="1" t="str">
        <f t="shared" si="8"/>
        <v>加速</v>
      </c>
      <c r="I56" s="1" t="s">
        <v>115</v>
      </c>
      <c r="J56" s="1">
        <f t="shared" si="9"/>
        <v>3884461.0169491521</v>
      </c>
      <c r="K56" s="1" t="s">
        <v>68</v>
      </c>
    </row>
    <row r="57" spans="1:11" x14ac:dyDescent="0.2">
      <c r="A57" s="1" t="s">
        <v>117</v>
      </c>
      <c r="B57" s="1" t="s">
        <v>118</v>
      </c>
      <c r="C57" s="1">
        <f>((2*G30+G31)+(E6+B3*B9)/B2)/2</f>
        <v>5.7666666666666675</v>
      </c>
      <c r="D57" s="1">
        <f>((2*G30+G31)+(E6+B3*B9*2.5)/B2+3*B16)/2.5</f>
        <v>4.7333333333333343</v>
      </c>
      <c r="E57" s="1">
        <f>(2*(2*G30+G31)+(E6+B3*B9*2.5)/B2+6*B16)/4</f>
        <v>4.4583333333333339</v>
      </c>
      <c r="F57" s="1">
        <f t="shared" si="6"/>
        <v>4.4583333333333339</v>
      </c>
      <c r="G57" s="1">
        <f t="shared" si="7"/>
        <v>4.4583333333333339</v>
      </c>
      <c r="H57" s="1" t="str">
        <f t="shared" si="8"/>
        <v>加速</v>
      </c>
      <c r="I57" s="1" t="s">
        <v>117</v>
      </c>
      <c r="J57" s="1">
        <f t="shared" si="9"/>
        <v>4283798.1308411211</v>
      </c>
      <c r="K57" s="1" t="s">
        <v>68</v>
      </c>
    </row>
    <row r="58" spans="1:11" x14ac:dyDescent="0.2">
      <c r="A58" s="1" t="s">
        <v>119</v>
      </c>
      <c r="B58" s="1" t="s">
        <v>120</v>
      </c>
      <c r="C58" s="1">
        <f>((2*G32+G31)+2*(E6+B3*B9)/B2)</f>
        <v>21.06666666666667</v>
      </c>
      <c r="D58" s="1">
        <f>((2*G32+G31)+2*(E6+B3*B9*2.5)/B2+3*B16)/1.25</f>
        <v>17.333333333333336</v>
      </c>
      <c r="E58" s="1">
        <f>(2*(2*G32+G31)+2*(E6+B3*B9*2.5)/B2+6*B16)/2</f>
        <v>15.833333333333336</v>
      </c>
      <c r="F58" s="1">
        <f t="shared" si="6"/>
        <v>15.833333333333336</v>
      </c>
      <c r="G58" s="1">
        <f t="shared" si="7"/>
        <v>15.833333333333336</v>
      </c>
      <c r="H58" s="1" t="str">
        <f t="shared" si="8"/>
        <v>加速</v>
      </c>
      <c r="I58" s="1" t="s">
        <v>119</v>
      </c>
      <c r="J58" s="1">
        <f t="shared" si="9"/>
        <v>1206227.3684210523</v>
      </c>
      <c r="K58" s="1" t="s">
        <v>68</v>
      </c>
    </row>
    <row r="59" spans="1:11" x14ac:dyDescent="0.2">
      <c r="A59" s="1" t="s">
        <v>121</v>
      </c>
      <c r="B59" s="1" t="s">
        <v>122</v>
      </c>
      <c r="C59" s="1">
        <f>((2*G57+2*G58)+(3/B2)*(E6+B3*B9))</f>
        <v>57.183333333333344</v>
      </c>
      <c r="D59" s="1">
        <f>((2*G57+2*G58)+(3/B2)*(E6+B3*B9*2.5)+4*B16)/1.25</f>
        <v>46.466666666666676</v>
      </c>
      <c r="E59" s="1">
        <f>(2*(2*G57+2*G58)+(3/B2)*(E6+B3*B9*2.5)+8*B16)/2</f>
        <v>49.333333333333343</v>
      </c>
      <c r="F59" s="1">
        <f t="shared" si="6"/>
        <v>46.466666666666676</v>
      </c>
      <c r="G59" s="1">
        <f t="shared" si="7"/>
        <v>46.466666666666676</v>
      </c>
      <c r="H59" s="1" t="str">
        <f t="shared" si="8"/>
        <v>增产</v>
      </c>
      <c r="I59" s="1" t="s">
        <v>121</v>
      </c>
      <c r="J59" s="1">
        <f t="shared" si="9"/>
        <v>411017.21664275456</v>
      </c>
      <c r="K59" s="1" t="s">
        <v>68</v>
      </c>
    </row>
    <row r="60" spans="1:11" x14ac:dyDescent="0.2">
      <c r="A60" s="1" t="s">
        <v>123</v>
      </c>
      <c r="B60" s="1" t="s">
        <v>124</v>
      </c>
      <c r="C60" s="1">
        <f>((2*G30+G56+G50)+(2/B2)*(F6+B3*B9))</f>
        <v>25.44166666666667</v>
      </c>
      <c r="D60" s="1">
        <f>((2*G30+G56+G50)+(2/B2)*(F6+2.5*B3*B9)+4*B16)/1.25</f>
        <v>20.833333333333336</v>
      </c>
      <c r="E60" s="1">
        <f>(2*(2*G30+G56+G50)+(2/B2)*(F6+2.5*B3*B9)+8*B16)/2</f>
        <v>20.208333333333336</v>
      </c>
      <c r="F60" s="1">
        <f t="shared" si="6"/>
        <v>20.208333333333336</v>
      </c>
      <c r="G60" s="1">
        <f t="shared" si="7"/>
        <v>20.208333333333336</v>
      </c>
      <c r="H60" s="1" t="str">
        <f t="shared" si="8"/>
        <v>加速</v>
      </c>
      <c r="I60" s="1" t="s">
        <v>123</v>
      </c>
      <c r="J60" s="1">
        <f t="shared" si="9"/>
        <v>945085.36082474212</v>
      </c>
      <c r="K60" s="1" t="s">
        <v>68</v>
      </c>
    </row>
    <row r="61" spans="1:11" x14ac:dyDescent="0.2">
      <c r="A61" s="1" t="s">
        <v>125</v>
      </c>
      <c r="B61" s="1" t="s">
        <v>126</v>
      </c>
      <c r="C61" s="1">
        <f>((2*G60+2*G50)+(2/B2)*(E6+B3*B9))</f>
        <v>62.400000000000006</v>
      </c>
      <c r="D61" s="1">
        <f>((2*G60+2*G50)+(2/B2)*(E6+2.5*B3*B9)+4*B16)/1.25</f>
        <v>50.400000000000006</v>
      </c>
      <c r="E61" s="1">
        <f>(2*(2*G60+2*G50)+(2/B2)*(E6+2.5*B3*B9)+8*B16)/2</f>
        <v>57.166666666666679</v>
      </c>
      <c r="F61" s="1">
        <f t="shared" si="6"/>
        <v>50.400000000000006</v>
      </c>
      <c r="G61" s="1">
        <f t="shared" si="7"/>
        <v>50.400000000000006</v>
      </c>
      <c r="H61" s="1" t="str">
        <f t="shared" si="8"/>
        <v>增产</v>
      </c>
      <c r="I61" s="1" t="s">
        <v>125</v>
      </c>
      <c r="J61" s="1">
        <f t="shared" si="9"/>
        <v>378940.47619047615</v>
      </c>
      <c r="K61" s="1" t="s">
        <v>68</v>
      </c>
    </row>
    <row r="62" spans="1:11" x14ac:dyDescent="0.2">
      <c r="A62" s="1" t="s">
        <v>235</v>
      </c>
      <c r="B62" s="1" t="s">
        <v>127</v>
      </c>
      <c r="C62" s="1">
        <f>((J22+3*G33)+(4/B2)*(E6+B3*B9))</f>
        <v>34.13333333333334</v>
      </c>
      <c r="D62" s="1">
        <f>((J22+3*G33)+(4/B2)*(E6+B3*B9*2.5)+4*B16)/1.25</f>
        <v>28.266666666666669</v>
      </c>
      <c r="E62" s="1">
        <f>(2*(J22+3*G33)+(4/B2)*(E6+B3*B9*2.5)+8*B16)/2</f>
        <v>23.666666666666671</v>
      </c>
      <c r="F62" s="1">
        <f t="shared" si="6"/>
        <v>23.666666666666671</v>
      </c>
      <c r="G62" s="1">
        <f t="shared" si="7"/>
        <v>23.666666666666671</v>
      </c>
      <c r="H62" s="1" t="str">
        <f t="shared" si="8"/>
        <v>加速</v>
      </c>
      <c r="I62" s="1" t="s">
        <v>235</v>
      </c>
      <c r="J62" s="1">
        <f t="shared" si="9"/>
        <v>806983.09859154909</v>
      </c>
      <c r="K62" s="1" t="s">
        <v>68</v>
      </c>
    </row>
    <row r="63" spans="1:11" x14ac:dyDescent="0.2">
      <c r="A63" s="1" t="s">
        <v>128</v>
      </c>
      <c r="B63" s="1" t="s">
        <v>129</v>
      </c>
      <c r="C63" s="1">
        <f>((2*G39)+(4/B2)*(F6+B3*B9))</f>
        <v>40.195833333333333</v>
      </c>
      <c r="D63" s="1">
        <f>((J22+2*G39)+(4/B2)*(F6+2.5*B3*B9)+22*B16)/1.25</f>
        <v>33.11666666666666</v>
      </c>
      <c r="E63" s="1">
        <f>(2*(J22+2*G39)+(4/B2)*(F6+2.5*B3*B9)+44*B16)/2</f>
        <v>29.729166666666664</v>
      </c>
      <c r="F63" s="1">
        <f t="shared" si="6"/>
        <v>29.729166666666664</v>
      </c>
      <c r="G63" s="1">
        <f t="shared" si="7"/>
        <v>29.729166666666664</v>
      </c>
      <c r="H63" s="1" t="str">
        <f t="shared" si="8"/>
        <v>加速</v>
      </c>
      <c r="I63" s="1" t="s">
        <v>128</v>
      </c>
      <c r="J63" s="1">
        <f t="shared" si="9"/>
        <v>642419.62158374221</v>
      </c>
      <c r="K63" s="1" t="s">
        <v>68</v>
      </c>
    </row>
    <row r="64" spans="1:11" x14ac:dyDescent="0.2">
      <c r="A64" s="1" t="s">
        <v>130</v>
      </c>
      <c r="B64" s="1" t="s">
        <v>131</v>
      </c>
      <c r="C64" s="1">
        <f>((G62+2*G39)+(4/B2)*(F6+B3*B9))</f>
        <v>63.862500000000004</v>
      </c>
      <c r="D64" s="1">
        <f>((G62+2*G39)+(4/B2)*(F6+2.5*B3*B9)+18*B16)/1.25</f>
        <v>52.05</v>
      </c>
      <c r="E64" s="1">
        <f>(2*(G62+2*G39)+(4/B2)*(F6+2.5*B3*B9)+36*B16)/2</f>
        <v>53.395833333333336</v>
      </c>
      <c r="F64" s="1">
        <f t="shared" si="6"/>
        <v>52.05</v>
      </c>
      <c r="G64" s="1">
        <f t="shared" si="7"/>
        <v>52.05</v>
      </c>
      <c r="H64" s="1" t="str">
        <f t="shared" si="8"/>
        <v>增产</v>
      </c>
      <c r="I64" s="1" t="s">
        <v>130</v>
      </c>
      <c r="J64" s="1">
        <f t="shared" si="9"/>
        <v>366927.95389048994</v>
      </c>
      <c r="K64" s="1" t="s">
        <v>68</v>
      </c>
    </row>
    <row r="65" spans="1:11" x14ac:dyDescent="0.2">
      <c r="A65" s="1" t="s">
        <v>132</v>
      </c>
      <c r="B65" s="1" t="s">
        <v>133</v>
      </c>
      <c r="C65" s="1">
        <f>((D22+2*G53)+(12/B2)*(E6+B3*B9))</f>
        <v>126.71250000000001</v>
      </c>
      <c r="D65" s="1">
        <f>((D22+2*G53)+(12/B2)*(E6+2.5*B3*B9)+3*B16)/1.25</f>
        <v>104.25</v>
      </c>
      <c r="E65" s="1">
        <f>(2*(D22+2*G53)+(12/B2)*(E6+2.5*B3*B9)+6*B16)/2</f>
        <v>95.3125</v>
      </c>
      <c r="F65" s="1">
        <f t="shared" si="6"/>
        <v>95.3125</v>
      </c>
      <c r="G65" s="1">
        <f t="shared" si="7"/>
        <v>95.3125</v>
      </c>
      <c r="H65" s="1" t="str">
        <f t="shared" si="8"/>
        <v>加速</v>
      </c>
      <c r="I65" s="1" t="s">
        <v>132</v>
      </c>
      <c r="J65" s="1">
        <f t="shared" si="9"/>
        <v>200378.75409836066</v>
      </c>
      <c r="K65" s="1" t="s">
        <v>68</v>
      </c>
    </row>
    <row r="66" spans="1:11" x14ac:dyDescent="0.2">
      <c r="A66" s="1" t="s">
        <v>134</v>
      </c>
      <c r="B66" s="1" t="s">
        <v>135</v>
      </c>
      <c r="C66" s="1">
        <f>((2*G31)+(4/B2)*(E6+B3*B9))</f>
        <v>26.133333333333333</v>
      </c>
      <c r="D66" s="1">
        <f>((2*G31)+(4/B2)*(E6+2.5*B3*B9)+12*B16)/1.25</f>
        <v>21.866666666666667</v>
      </c>
      <c r="E66" s="1">
        <f>(2*(2*G31)+(4/B2)*(E6+2.5*B3*B9)+24*B16)/2</f>
        <v>15.666666666666668</v>
      </c>
      <c r="F66" s="1">
        <f t="shared" si="6"/>
        <v>15.666666666666668</v>
      </c>
      <c r="G66" s="1">
        <f t="shared" si="7"/>
        <v>15.666666666666668</v>
      </c>
      <c r="H66" s="1" t="str">
        <f t="shared" si="8"/>
        <v>加速</v>
      </c>
      <c r="I66" s="1" t="s">
        <v>134</v>
      </c>
      <c r="J66" s="1">
        <f t="shared" si="9"/>
        <v>1219059.5744680851</v>
      </c>
      <c r="K66" s="1" t="s">
        <v>68</v>
      </c>
    </row>
    <row r="67" spans="1:11" x14ac:dyDescent="0.2">
      <c r="A67" s="1" t="s">
        <v>136</v>
      </c>
      <c r="B67" s="1" t="s">
        <v>137</v>
      </c>
      <c r="C67" s="1">
        <f>((2*G61+2*G31+2*G39)+(4/B2)*(F6+B3*B9))</f>
        <v>144.99583333333334</v>
      </c>
      <c r="D67" s="1">
        <f>((2*G61+2*G31+2*G39)+(4/B2)*(F6+2.5*B3*B9)+6*B16)/1.25</f>
        <v>116.95666666666668</v>
      </c>
      <c r="E67" s="1">
        <f>(2*(2*G61+2*G31+2*G39)+(4/B2)*(F6+2.5*B3*B9)+12*B16)/2</f>
        <v>134.52916666666667</v>
      </c>
      <c r="F67" s="1">
        <f t="shared" si="6"/>
        <v>116.95666666666668</v>
      </c>
      <c r="G67" s="1">
        <f t="shared" si="7"/>
        <v>116.95666666666668</v>
      </c>
      <c r="H67" s="1" t="str">
        <f t="shared" si="8"/>
        <v>增产</v>
      </c>
      <c r="I67" s="1" t="s">
        <v>136</v>
      </c>
      <c r="J67" s="1">
        <f t="shared" si="9"/>
        <v>163296.37757574028</v>
      </c>
      <c r="K67" s="1" t="s">
        <v>68</v>
      </c>
    </row>
    <row r="68" spans="1:11" x14ac:dyDescent="0.2">
      <c r="A68" s="1" t="s">
        <v>138</v>
      </c>
      <c r="B68" s="1" t="s">
        <v>139</v>
      </c>
      <c r="C68" s="1">
        <f>((2*B22+2*G30+10*C22)+(8/F2)*(L6+F3*B9))</f>
        <v>495.33333333333331</v>
      </c>
      <c r="D68" s="1">
        <f>((2*B22+2*G30+10*C22)+(8/F2)*(L6+2.5*F3*B9)+14*B16)/1.25</f>
        <v>420.26666666666671</v>
      </c>
      <c r="E68" s="1">
        <f>(2*(2*B22+2*G30+10*C22)+(8/F2)*(L6+2.5*F3*B9)+28*B16)/2</f>
        <v>280.33333333333337</v>
      </c>
      <c r="F68" s="1">
        <f t="shared" si="6"/>
        <v>280.33333333333337</v>
      </c>
      <c r="G68" s="1">
        <f t="shared" si="7"/>
        <v>280.33333333333337</v>
      </c>
      <c r="H68" s="1" t="str">
        <f t="shared" si="8"/>
        <v>加速</v>
      </c>
      <c r="I68" s="1" t="s">
        <v>138</v>
      </c>
      <c r="J68" s="1">
        <f t="shared" si="9"/>
        <v>68128.180737217583</v>
      </c>
      <c r="K68" s="1" t="s">
        <v>68</v>
      </c>
    </row>
    <row r="69" spans="1:11" x14ac:dyDescent="0.2">
      <c r="A69" s="1" t="s">
        <v>140</v>
      </c>
      <c r="B69" s="1" t="s">
        <v>141</v>
      </c>
      <c r="C69" s="1">
        <f>((2*G54+G57)+(3/B2)*(E6+B3*B9))</f>
        <v>38.891666666666673</v>
      </c>
      <c r="D69" s="1">
        <f>((2*G54+G57)+(3/B2)*(E6+2.5*B3*B9)+3*B16)/1.25</f>
        <v>31.833333333333336</v>
      </c>
      <c r="E69" s="1">
        <f>(2*(2*G54+G57)+(3/B2)*(E6+2.5*B3*B9)+6*B16)/2</f>
        <v>31.041666666666671</v>
      </c>
      <c r="F69" s="1">
        <f t="shared" si="6"/>
        <v>31.041666666666671</v>
      </c>
      <c r="G69" s="1">
        <f t="shared" si="7"/>
        <v>31.041666666666671</v>
      </c>
      <c r="H69" s="1" t="str">
        <f t="shared" si="8"/>
        <v>加速</v>
      </c>
      <c r="I69" s="1" t="s">
        <v>140</v>
      </c>
      <c r="J69" s="1">
        <f t="shared" si="9"/>
        <v>615256.9127516778</v>
      </c>
      <c r="K69" s="1" t="s">
        <v>68</v>
      </c>
    </row>
    <row r="70" spans="1:11" x14ac:dyDescent="0.2">
      <c r="A70" s="1" t="s">
        <v>142</v>
      </c>
      <c r="B70" s="1" t="s">
        <v>143</v>
      </c>
      <c r="C70" s="1">
        <f>((G57)+(3/B2)*(E6+B3*B9))</f>
        <v>21.058333333333337</v>
      </c>
      <c r="D70" s="1">
        <f>((G57)+(3/B2)*(E6+2.5*B3*B9)+2*B16)/1.25</f>
        <v>17.56666666666667</v>
      </c>
      <c r="E70" s="1">
        <f>(2*(G57)+(3/B2)*(E6+2.5*B3*B9)+4*B16)/2</f>
        <v>13.208333333333334</v>
      </c>
      <c r="F70" s="1">
        <f t="shared" si="6"/>
        <v>13.208333333333334</v>
      </c>
      <c r="G70" s="1">
        <f t="shared" si="7"/>
        <v>13.208333333333334</v>
      </c>
      <c r="H70" s="1" t="str">
        <f t="shared" si="8"/>
        <v>加速</v>
      </c>
      <c r="I70" s="1" t="s">
        <v>142</v>
      </c>
      <c r="J70" s="1">
        <f t="shared" si="9"/>
        <v>1445950.7886435331</v>
      </c>
      <c r="K70" s="1" t="s">
        <v>68</v>
      </c>
    </row>
    <row r="71" spans="1:11" x14ac:dyDescent="0.2">
      <c r="A71" s="1" t="s">
        <v>144</v>
      </c>
      <c r="B71" s="1" t="s">
        <v>145</v>
      </c>
      <c r="C71" s="1">
        <f>((G39+E22)+(4/B2)*(E6+B3*B9))/2</f>
        <v>22.186458333333334</v>
      </c>
      <c r="D71" s="1">
        <f>((G39+E22)+(4/B2)*(E6+2.5*B3*B9)+2*B16)/2.5</f>
        <v>18.229166666666668</v>
      </c>
      <c r="E71" s="1">
        <f>(2*(G39+E22)+(4/B2)*(E6+2.5*B3*B9)+4*B16)/4</f>
        <v>16.953125</v>
      </c>
      <c r="F71" s="1">
        <f t="shared" si="6"/>
        <v>16.953125</v>
      </c>
      <c r="G71" s="1">
        <f t="shared" si="7"/>
        <v>16.953125</v>
      </c>
      <c r="H71" s="1" t="str">
        <f t="shared" si="8"/>
        <v>加速</v>
      </c>
      <c r="I71" s="1" t="s">
        <v>144</v>
      </c>
      <c r="J71" s="1">
        <f t="shared" si="9"/>
        <v>1126553.3640552994</v>
      </c>
      <c r="K71" s="1" t="s">
        <v>68</v>
      </c>
    </row>
    <row r="72" spans="1:11" x14ac:dyDescent="0.2">
      <c r="A72" s="1" t="s">
        <v>146</v>
      </c>
      <c r="B72" s="1" t="s">
        <v>147</v>
      </c>
      <c r="C72" s="1">
        <f>((2*F22)+(2/F2)*(L6+F3*B9))/2</f>
        <v>57.5</v>
      </c>
      <c r="D72" s="1" t="s">
        <v>96</v>
      </c>
      <c r="E72" s="1">
        <f>(2*(2*F22)+(2/F2)*(L6+2.5*F3*B9)+4*B16)/4</f>
        <v>30.625000000000004</v>
      </c>
      <c r="F72" s="1">
        <f t="shared" si="6"/>
        <v>30.625000000000004</v>
      </c>
      <c r="G72" s="1">
        <f t="shared" si="7"/>
        <v>30.625000000000004</v>
      </c>
      <c r="H72" s="1" t="str">
        <f t="shared" si="8"/>
        <v>加速</v>
      </c>
      <c r="I72" s="1" t="s">
        <v>146</v>
      </c>
      <c r="J72" s="1">
        <f t="shared" si="9"/>
        <v>623627.75510204071</v>
      </c>
      <c r="K72" s="1" t="s">
        <v>68</v>
      </c>
    </row>
    <row r="73" spans="1:11" x14ac:dyDescent="0.2">
      <c r="A73" s="1" t="s">
        <v>148</v>
      </c>
      <c r="B73" s="1" t="s">
        <v>149</v>
      </c>
      <c r="C73" s="1">
        <f>((2*G40+G35)+(3/D2)*(I6+D3*B9))</f>
        <v>100.17500000000001</v>
      </c>
      <c r="D73" s="1">
        <f>((2*G40+G35)+(3/D2)*(I6+2.5*D3*B9)+3*B16)/1.25</f>
        <v>80.95</v>
      </c>
      <c r="E73" s="1">
        <f>(2*(2*G40+G35)+(3/D2)*(I6+2.5*D3*B9)+6*B16)/2</f>
        <v>74.09375</v>
      </c>
      <c r="F73" s="1">
        <f t="shared" si="6"/>
        <v>74.09375</v>
      </c>
      <c r="G73" s="1">
        <f t="shared" si="7"/>
        <v>74.09375</v>
      </c>
      <c r="H73" s="1" t="str">
        <f t="shared" si="8"/>
        <v>加速</v>
      </c>
      <c r="I73" s="1" t="s">
        <v>148</v>
      </c>
      <c r="J73" s="1">
        <f t="shared" si="9"/>
        <v>257762.63180092789</v>
      </c>
      <c r="K73" s="1" t="s">
        <v>68</v>
      </c>
    </row>
    <row r="74" spans="1:11" x14ac:dyDescent="0.2">
      <c r="A74" s="1" t="s">
        <v>150</v>
      </c>
      <c r="B74" s="1" t="s">
        <v>151</v>
      </c>
      <c r="C74" s="1">
        <f>((2*G41+2*I22+G73)+(8/B2)*(F6+B3*B9))</f>
        <v>158.86041666666665</v>
      </c>
      <c r="D74" s="1">
        <f>((2*G41+2*I22+G73)+(8/B2)*(F6+2.5*B3*B9)+5*B16)/1.25</f>
        <v>129.00833333333333</v>
      </c>
      <c r="E74" s="1">
        <f>(2*(2*G41+2*I22+G73)+(8/B2)*(F6+2.5*B3*B9)+10*B16)/2</f>
        <v>137.92708333333334</v>
      </c>
      <c r="F74" s="1">
        <f t="shared" si="6"/>
        <v>129.00833333333333</v>
      </c>
      <c r="G74" s="1">
        <f t="shared" si="7"/>
        <v>129.00833333333333</v>
      </c>
      <c r="H74" s="1" t="str">
        <f t="shared" si="8"/>
        <v>增产</v>
      </c>
      <c r="I74" s="1" t="s">
        <v>150</v>
      </c>
      <c r="J74" s="1">
        <f t="shared" si="9"/>
        <v>148041.59937988504</v>
      </c>
      <c r="K74" s="1" t="s">
        <v>68</v>
      </c>
    </row>
    <row r="75" spans="1:11" x14ac:dyDescent="0.2">
      <c r="A75" s="1" t="s">
        <v>152</v>
      </c>
      <c r="B75" s="1" t="s">
        <v>153</v>
      </c>
      <c r="C75" s="1">
        <f>((3*G39+G33)+(4/D2)*(I6+D3*B9))/2</f>
        <v>50.996875000000003</v>
      </c>
      <c r="D75" s="1">
        <f>((3*G39+G33)+(4/D2)*(I6+2.5*D3*B9)+4*B16)/2.5</f>
        <v>41.337499999999999</v>
      </c>
      <c r="E75" s="1">
        <f>((3*G39+G33)+(2/D2)*(I6+2.5*D3*B9)+4*B16)/2</f>
        <v>33.609375</v>
      </c>
      <c r="F75" s="1">
        <f t="shared" si="6"/>
        <v>33.609375</v>
      </c>
      <c r="G75" s="1">
        <f t="shared" si="7"/>
        <v>33.609375</v>
      </c>
      <c r="H75" s="1" t="str">
        <f t="shared" si="8"/>
        <v>加速</v>
      </c>
      <c r="I75" s="1" t="s">
        <v>152</v>
      </c>
      <c r="J75" s="1">
        <f t="shared" si="9"/>
        <v>568252.16178521619</v>
      </c>
      <c r="K75" s="1" t="s">
        <v>68</v>
      </c>
    </row>
    <row r="76" spans="1:11" x14ac:dyDescent="0.2">
      <c r="A76" s="1" t="s">
        <v>227</v>
      </c>
      <c r="B76" s="1" t="s">
        <v>229</v>
      </c>
      <c r="C76" s="1">
        <f>((G35)+2*(B6+C3*B9)/C2)/1</f>
        <v>11.400000000000002</v>
      </c>
      <c r="D76" s="1">
        <f>((G35)+2*(B6+2.5*C3*B9)/C2+B16)/1.25</f>
        <v>9.6000000000000032</v>
      </c>
      <c r="E76" s="1">
        <f>((G35)+1*(B6+2.5*C3*B9)/C2+B16)/1</f>
        <v>8.0000000000000018</v>
      </c>
      <c r="F76" s="1">
        <f t="shared" si="6"/>
        <v>8.0000000000000018</v>
      </c>
      <c r="G76" s="1">
        <f t="shared" si="7"/>
        <v>8.0000000000000018</v>
      </c>
      <c r="H76" s="1" t="str">
        <f t="shared" si="8"/>
        <v>加速</v>
      </c>
      <c r="I76" s="1" t="s">
        <v>227</v>
      </c>
      <c r="J76" s="1">
        <f t="shared" si="9"/>
        <v>2387324.9999999995</v>
      </c>
      <c r="K76" s="1" t="s">
        <v>68</v>
      </c>
    </row>
    <row r="77" spans="1:11" x14ac:dyDescent="0.2">
      <c r="A77" s="1" t="s">
        <v>228</v>
      </c>
      <c r="B77" s="1" t="s">
        <v>230</v>
      </c>
      <c r="C77" s="1">
        <f>((G32)+2*(B6+C3*B9)/C2)/1</f>
        <v>11.400000000000002</v>
      </c>
      <c r="D77" s="1">
        <f>((G32)+2*(B6+2.5*C3*B9)/C2+B16)/1.25</f>
        <v>9.6000000000000032</v>
      </c>
      <c r="E77" s="1">
        <f>((G32)+1*(B6+2.5*C3*B9)/C2+B16)/1</f>
        <v>8.0000000000000018</v>
      </c>
      <c r="F77" s="1">
        <f t="shared" si="6"/>
        <v>8.0000000000000018</v>
      </c>
      <c r="G77" s="1">
        <f t="shared" si="7"/>
        <v>8.0000000000000018</v>
      </c>
      <c r="H77" s="1" t="str">
        <f t="shared" si="8"/>
        <v>加速</v>
      </c>
      <c r="I77" s="1" t="s">
        <v>228</v>
      </c>
      <c r="J77" s="1">
        <f t="shared" si="9"/>
        <v>2387324.9999999995</v>
      </c>
      <c r="K77" s="1" t="s">
        <v>68</v>
      </c>
    </row>
    <row r="78" spans="1:11" x14ac:dyDescent="0.2">
      <c r="A78" s="1" t="s">
        <v>236</v>
      </c>
      <c r="B78" s="1" t="s">
        <v>237</v>
      </c>
      <c r="C78" s="1">
        <f>((2*G73+F40)+(6/D2)*(I6+D3*B9))/1</f>
        <v>276.03750000000002</v>
      </c>
      <c r="D78" s="1">
        <f>((2*G73+F40)+(6/D2)*(I6+D3*B9)+4*B16)/1.25</f>
        <v>220.83</v>
      </c>
      <c r="E78" s="1">
        <f>((2*G73+F40)+(3/D2)*(I6+D3*B9)+4*B16)/1</f>
        <v>222.86250000000001</v>
      </c>
      <c r="F78" s="1">
        <f t="shared" si="6"/>
        <v>220.83</v>
      </c>
      <c r="G78" s="1">
        <f t="shared" si="7"/>
        <v>220.83</v>
      </c>
      <c r="H78" s="1" t="str">
        <f t="shared" si="8"/>
        <v>增产</v>
      </c>
      <c r="I78" s="1" t="s">
        <v>236</v>
      </c>
      <c r="J78" s="1">
        <f t="shared" si="9"/>
        <v>86485.531857084628</v>
      </c>
      <c r="K78" s="1" t="s">
        <v>68</v>
      </c>
    </row>
    <row r="90" spans="1:11" ht="19.5" x14ac:dyDescent="0.2">
      <c r="A90" s="2" t="s">
        <v>154</v>
      </c>
      <c r="B90" s="2"/>
      <c r="C90" s="2"/>
      <c r="D90" s="2"/>
      <c r="E90" s="2"/>
      <c r="F90" s="2"/>
    </row>
    <row r="91" spans="1:11" x14ac:dyDescent="0.2">
      <c r="A91" s="1" t="s">
        <v>155</v>
      </c>
      <c r="B91" s="1" t="s">
        <v>156</v>
      </c>
      <c r="C91" s="1">
        <f>((2*G61+3*G42+G35)+(3/B2)*(F6+B3*B9))</f>
        <v>130.4</v>
      </c>
      <c r="D91" s="1">
        <f>((2*G61+3*G42+G35)+(3/B2)*(F6+2.5*B3*B9)+6*B16)/1.25</f>
        <v>105.04</v>
      </c>
      <c r="E91" s="1">
        <f>(2*(2*G61+3*G42+G35)+(3/B2)*(F6+2.5*B3*B9)+12*B16)/2</f>
        <v>122.55000000000001</v>
      </c>
      <c r="F91" s="1">
        <f t="shared" ref="F91:F106" si="10">MIN(C91:E91)</f>
        <v>105.04</v>
      </c>
      <c r="G91" s="1">
        <f t="shared" ref="G91:G106" si="11">F91</f>
        <v>105.04</v>
      </c>
      <c r="H91" s="1" t="str">
        <f t="shared" ref="H91:H106" si="12">IF(C91=G91,"不使用增产剂","")&amp;IF(D91=G91,"增产","")&amp;IF(E91=G91,"加速","")</f>
        <v>增产</v>
      </c>
      <c r="I91" s="1" t="s">
        <v>155</v>
      </c>
      <c r="J91" s="1">
        <f t="shared" ref="J91:J106" si="13">60*318310/G91</f>
        <v>181822.16298552931</v>
      </c>
      <c r="K91" s="1" t="s">
        <v>68</v>
      </c>
    </row>
    <row r="92" spans="1:11" x14ac:dyDescent="0.2">
      <c r="A92" s="1" t="s">
        <v>157</v>
      </c>
      <c r="B92" s="1" t="s">
        <v>158</v>
      </c>
      <c r="C92" s="1">
        <f>(4*H22+G68)+(6/B2)*(E6+B3*B9)</f>
        <v>319.53333333333336</v>
      </c>
      <c r="D92" s="1">
        <f>((4*H22+G68)+(6/B2)*(E6+2.5*B3*B9)+5*B16)/1.25</f>
        <v>257.06666666666672</v>
      </c>
      <c r="E92" s="1">
        <f>(2*(4*H22+G68)+(6/B2)*(E6+2.5*B3*B9)+10*B16)/2</f>
        <v>303.83333333333337</v>
      </c>
      <c r="F92" s="1">
        <f t="shared" si="10"/>
        <v>257.06666666666672</v>
      </c>
      <c r="G92" s="1">
        <f t="shared" si="11"/>
        <v>257.06666666666672</v>
      </c>
      <c r="H92" s="1" t="str">
        <f t="shared" si="12"/>
        <v>增产</v>
      </c>
      <c r="I92" s="1" t="s">
        <v>157</v>
      </c>
      <c r="J92" s="1">
        <f t="shared" si="13"/>
        <v>74294.346473029029</v>
      </c>
      <c r="K92" s="1" t="s">
        <v>68</v>
      </c>
    </row>
    <row r="93" spans="1:11" x14ac:dyDescent="0.2">
      <c r="A93" s="1" t="s">
        <v>159</v>
      </c>
      <c r="B93" s="1" t="s">
        <v>160</v>
      </c>
      <c r="C93" s="1">
        <f>(2*G59+2*G65)+(6/B2)*(E6+B3*B9)</f>
        <v>316.75833333333333</v>
      </c>
      <c r="D93" s="1">
        <f>((2*G59+2*G65)+(6/B2)*(E6+2.5*B3*B9)+4*B16)/1.25</f>
        <v>254.84666666666666</v>
      </c>
      <c r="E93" s="1">
        <f>(2*(2*G59+2*G65)+(6/B2)*(E6+2.5*B3*B9)+8*B16)/2</f>
        <v>301.05833333333334</v>
      </c>
      <c r="F93" s="1">
        <f t="shared" si="10"/>
        <v>254.84666666666666</v>
      </c>
      <c r="G93" s="1">
        <f t="shared" si="11"/>
        <v>254.84666666666666</v>
      </c>
      <c r="H93" s="1" t="str">
        <f t="shared" si="12"/>
        <v>增产</v>
      </c>
      <c r="I93" s="1" t="s">
        <v>159</v>
      </c>
      <c r="J93" s="1">
        <f t="shared" si="13"/>
        <v>74941.533471106814</v>
      </c>
      <c r="K93" s="1" t="s">
        <v>68</v>
      </c>
    </row>
    <row r="94" spans="1:11" x14ac:dyDescent="0.2">
      <c r="A94" s="1" t="s">
        <v>161</v>
      </c>
      <c r="B94" s="1" t="s">
        <v>162</v>
      </c>
      <c r="C94" s="1">
        <f>((4*G41+G52+G32)+(6/B2)*(F6+B3*B9))</f>
        <v>132.19999999999999</v>
      </c>
      <c r="D94" s="1">
        <f>((4*G41+G52+G32)+(6/B2)*(F6+2.5*B3*B9)+6*B16)/1.25</f>
        <v>107.2</v>
      </c>
      <c r="E94" s="1">
        <f>(2*(4*G41+G52+G32)+(6/B2)*(F6+2.5*B3*B9)+12*B16)/2</f>
        <v>116.5</v>
      </c>
      <c r="F94" s="1">
        <f t="shared" si="10"/>
        <v>107.2</v>
      </c>
      <c r="G94" s="1">
        <f t="shared" si="11"/>
        <v>107.2</v>
      </c>
      <c r="H94" s="1" t="str">
        <f t="shared" si="12"/>
        <v>增产</v>
      </c>
      <c r="I94" s="1" t="s">
        <v>161</v>
      </c>
      <c r="J94" s="1">
        <f t="shared" si="13"/>
        <v>178158.58208955225</v>
      </c>
      <c r="K94" s="1" t="s">
        <v>68</v>
      </c>
    </row>
    <row r="95" spans="1:11" x14ac:dyDescent="0.2">
      <c r="A95" s="1" t="s">
        <v>163</v>
      </c>
      <c r="B95" s="1" t="s">
        <v>164</v>
      </c>
      <c r="C95" s="1">
        <f>((3*G94+3*G71+3*G59)+(8/B2)*(F6+B3*B9))</f>
        <v>556.12604166666677</v>
      </c>
      <c r="D95" s="1">
        <f>((3*G94+3*G71+3*G59)+(8/B2)*(F6+2.5*B3*B9)+9*B16)/1.25</f>
        <v>446.82083333333338</v>
      </c>
      <c r="E95" s="1">
        <f>(2*(3*G94+3*G71+3*G59)+(8/B2)*(F6+2.5*B3*B9)+18*B16)/2</f>
        <v>535.19270833333337</v>
      </c>
      <c r="F95" s="1">
        <f t="shared" si="10"/>
        <v>446.82083333333338</v>
      </c>
      <c r="G95" s="1">
        <f t="shared" si="11"/>
        <v>446.82083333333338</v>
      </c>
      <c r="H95" s="1" t="str">
        <f t="shared" si="12"/>
        <v>增产</v>
      </c>
      <c r="I95" s="1" t="s">
        <v>163</v>
      </c>
      <c r="J95" s="1">
        <f t="shared" si="13"/>
        <v>42743.306881020537</v>
      </c>
      <c r="K95" s="1" t="s">
        <v>68</v>
      </c>
    </row>
    <row r="96" spans="1:11" x14ac:dyDescent="0.2">
      <c r="A96" s="1" t="s">
        <v>165</v>
      </c>
      <c r="B96" s="1" t="s">
        <v>166</v>
      </c>
      <c r="C96" s="1">
        <f>((B22+G59)+(20/B2)*(E6+B3*B9))</f>
        <v>172.8</v>
      </c>
      <c r="D96" s="1">
        <f>((B22+G59)+(20/B2)*(E6+2.5*B3*B9)+2*B16)/1.25</f>
        <v>143.04000000000002</v>
      </c>
      <c r="E96" s="1">
        <f>(2*(B22+G59)+(20/B2)*(E6+2.5*B3*B9)+4*B16)/2</f>
        <v>120.46666666666667</v>
      </c>
      <c r="F96" s="1">
        <f t="shared" si="10"/>
        <v>120.46666666666667</v>
      </c>
      <c r="G96" s="1">
        <f t="shared" si="11"/>
        <v>120.46666666666667</v>
      </c>
      <c r="H96" s="1" t="str">
        <f t="shared" si="12"/>
        <v>加速</v>
      </c>
      <c r="I96" s="1" t="s">
        <v>165</v>
      </c>
      <c r="J96" s="1">
        <f t="shared" si="13"/>
        <v>158538.46153846153</v>
      </c>
      <c r="K96" s="1" t="s">
        <v>68</v>
      </c>
    </row>
    <row r="97" spans="1:11" x14ac:dyDescent="0.2">
      <c r="A97" s="1" t="s">
        <v>167</v>
      </c>
      <c r="B97" s="1" t="s">
        <v>168</v>
      </c>
      <c r="C97" s="1">
        <f>(G114+(10/B2)*(D6+B3*B9))/8</f>
        <v>33.712333333333333</v>
      </c>
      <c r="D97" s="1">
        <f>(G114+(10/B2)*(D6+2.5*B3*B9)+B16)/10</f>
        <v>27.269866666666665</v>
      </c>
      <c r="E97" s="1">
        <f>(2*G114+(10/B2)*(D6+2.5*B3*B9)+2*B16)/16</f>
        <v>30.441500000000001</v>
      </c>
      <c r="F97" s="1">
        <f t="shared" si="10"/>
        <v>27.269866666666665</v>
      </c>
      <c r="G97" s="1">
        <f t="shared" si="11"/>
        <v>27.269866666666665</v>
      </c>
      <c r="H97" s="1" t="str">
        <f t="shared" si="12"/>
        <v>增产</v>
      </c>
      <c r="I97" s="1" t="s">
        <v>167</v>
      </c>
      <c r="J97" s="1">
        <f t="shared" si="13"/>
        <v>700355.4595059749</v>
      </c>
      <c r="K97" s="1" t="s">
        <v>68</v>
      </c>
    </row>
    <row r="98" spans="1:11" x14ac:dyDescent="0.2">
      <c r="A98" s="1" t="s">
        <v>169</v>
      </c>
      <c r="B98" s="1" t="s">
        <v>170</v>
      </c>
      <c r="C98" s="1">
        <f>((2*G95+4*G103+2*G93)+(6/B2)*(F6+B3*B9))</f>
        <v>1752.9990000000003</v>
      </c>
      <c r="D98" s="1">
        <f>((2*G95+4*G103+2*G93)+(6/B2)*(F6+2.5*B3*B9)+8*B16)/1.25</f>
        <v>1403.8392000000001</v>
      </c>
      <c r="E98" s="1">
        <f>(2*(2*G95+4*G103+2*G93)+(6/B2)*(F6+2.5*B3*B9)+16*B16)/2</f>
        <v>1737.2990000000002</v>
      </c>
      <c r="F98" s="1">
        <f t="shared" si="10"/>
        <v>1403.8392000000001</v>
      </c>
      <c r="G98" s="1">
        <f t="shared" si="11"/>
        <v>1403.8392000000001</v>
      </c>
      <c r="H98" s="1" t="str">
        <f t="shared" si="12"/>
        <v>增产</v>
      </c>
      <c r="I98" s="1" t="s">
        <v>169</v>
      </c>
      <c r="J98" s="1">
        <f t="shared" si="13"/>
        <v>13604.54958089217</v>
      </c>
      <c r="K98" s="1" t="s">
        <v>68</v>
      </c>
    </row>
    <row r="99" spans="1:11" x14ac:dyDescent="0.2">
      <c r="A99" s="1" t="s">
        <v>171</v>
      </c>
      <c r="B99" s="1" t="s">
        <v>172</v>
      </c>
      <c r="C99" s="1">
        <f>(0.5/B2)*(D6+B3*B9)</f>
        <v>2.7666666666666666</v>
      </c>
      <c r="D99" s="1">
        <f>((0.5/B2)*(D6+2.5*B3*B9)+B16)/1.25</f>
        <v>2.333333333333333</v>
      </c>
      <c r="E99" s="1">
        <f>((0.5/B2)*(D6+2.5*B3*B9)+2*B16)/2</f>
        <v>1.4583333333333333</v>
      </c>
      <c r="F99" s="1">
        <f t="shared" si="10"/>
        <v>1.4583333333333333</v>
      </c>
      <c r="G99" s="1">
        <f t="shared" si="11"/>
        <v>1.4583333333333333</v>
      </c>
      <c r="H99" s="1" t="str">
        <f t="shared" si="12"/>
        <v>加速</v>
      </c>
      <c r="I99" s="1" t="s">
        <v>171</v>
      </c>
      <c r="J99" s="1">
        <f t="shared" si="13"/>
        <v>13096182.857142858</v>
      </c>
      <c r="K99" s="1" t="s">
        <v>68</v>
      </c>
    </row>
    <row r="100" spans="1:11" x14ac:dyDescent="0.2">
      <c r="A100" s="1" t="s">
        <v>173</v>
      </c>
      <c r="B100" s="1" t="s">
        <v>174</v>
      </c>
      <c r="C100" s="1">
        <f>((2*G99+H22)+(1/B2)*(E6+B3*B9))</f>
        <v>9.9499999999999993</v>
      </c>
      <c r="D100" s="1">
        <f>((2*G99+H22)+(1/B2)*(E6+2.5*B3*B9)+3*B16)/1.25</f>
        <v>8.1999999999999993</v>
      </c>
      <c r="E100" s="1">
        <f>(2*(2*G99+H22)+(1/B2)*(E6+2.5*B3*B9)+6*B16)/2</f>
        <v>7.3333333333333339</v>
      </c>
      <c r="F100" s="1">
        <f t="shared" si="10"/>
        <v>7.3333333333333339</v>
      </c>
      <c r="G100" s="1">
        <f t="shared" si="11"/>
        <v>7.3333333333333339</v>
      </c>
      <c r="H100" s="1" t="str">
        <f t="shared" si="12"/>
        <v>加速</v>
      </c>
      <c r="I100" s="1" t="s">
        <v>173</v>
      </c>
      <c r="J100" s="1">
        <f t="shared" si="13"/>
        <v>2604354.5454545454</v>
      </c>
      <c r="K100" s="1" t="s">
        <v>68</v>
      </c>
    </row>
    <row r="101" spans="1:11" x14ac:dyDescent="0.2">
      <c r="A101" s="1" t="s">
        <v>40</v>
      </c>
      <c r="B101" s="1" t="s">
        <v>175</v>
      </c>
      <c r="C101" s="1">
        <f>((2*G100+G22)+(2/B2)*(E6+B3*B9))</f>
        <v>43.795833333333334</v>
      </c>
      <c r="D101" s="1">
        <f>((2*G100+G22)+(2/B2)*(E6+2.5*B3*B9)+3*B16)/1.25</f>
        <v>35.516666666666666</v>
      </c>
      <c r="E101" s="1">
        <f>(2*(2*G100+G22)+(2/B2)*(E6+2.5*B3*B9)+6*B16)/2</f>
        <v>38.562500000000007</v>
      </c>
      <c r="F101" s="1">
        <f t="shared" si="10"/>
        <v>35.516666666666666</v>
      </c>
      <c r="G101" s="1">
        <f t="shared" si="11"/>
        <v>35.516666666666666</v>
      </c>
      <c r="H101" s="1" t="str">
        <f t="shared" si="12"/>
        <v>增产</v>
      </c>
      <c r="I101" s="1" t="s">
        <v>40</v>
      </c>
      <c r="J101" s="1">
        <f t="shared" si="13"/>
        <v>537736.27404974191</v>
      </c>
      <c r="K101" s="1" t="s">
        <v>68</v>
      </c>
    </row>
    <row r="102" spans="1:11" x14ac:dyDescent="0.2">
      <c r="A102" s="1" t="s">
        <v>176</v>
      </c>
      <c r="B102" s="1" t="s">
        <v>177</v>
      </c>
      <c r="C102" s="1">
        <f>(G33+(6/B2)*(E6+B3*B9))/2</f>
        <v>18.600000000000001</v>
      </c>
      <c r="D102" s="1">
        <f>(G33+(6/B2)*(E6+2.5*B3*B9)+11*B16)/2.5</f>
        <v>15.6</v>
      </c>
      <c r="E102" s="1">
        <f>(2*G33+(6/B2)*(E6+2.5*B3*B9)+22*B16)/4</f>
        <v>10.75</v>
      </c>
      <c r="F102" s="1">
        <f t="shared" si="10"/>
        <v>10.75</v>
      </c>
      <c r="G102" s="1">
        <f t="shared" si="11"/>
        <v>10.75</v>
      </c>
      <c r="H102" s="1" t="str">
        <f t="shared" si="12"/>
        <v>加速</v>
      </c>
      <c r="I102" s="1" t="s">
        <v>176</v>
      </c>
      <c r="J102" s="1">
        <f t="shared" si="13"/>
        <v>1776613.953488372</v>
      </c>
      <c r="K102" s="1" t="s">
        <v>68</v>
      </c>
    </row>
    <row r="103" spans="1:11" x14ac:dyDescent="0.2">
      <c r="A103" s="1" t="s">
        <v>178</v>
      </c>
      <c r="B103" s="1" t="s">
        <v>179</v>
      </c>
      <c r="C103" s="1">
        <f>((G52+20*C22+G91)+(12/B2)*(F6+B3*B9))/2</f>
        <v>97.094999999999999</v>
      </c>
      <c r="D103" s="1">
        <f>((G52+20*C22+G91)+(12/B2)*(F6+2.5*B3*B9)+22*B16)/2.5</f>
        <v>79.116000000000014</v>
      </c>
      <c r="E103" s="1">
        <f>(2*(G52+20*C22+G91)+(12/B2)*(F6+2.5*B3*B9)+44*B16)/4</f>
        <v>81.39500000000001</v>
      </c>
      <c r="F103" s="1">
        <f t="shared" si="10"/>
        <v>79.116000000000014</v>
      </c>
      <c r="G103" s="1">
        <f t="shared" si="11"/>
        <v>79.116000000000014</v>
      </c>
      <c r="H103" s="1" t="str">
        <f t="shared" si="12"/>
        <v>增产</v>
      </c>
      <c r="I103" s="1" t="s">
        <v>178</v>
      </c>
      <c r="J103" s="1">
        <f t="shared" si="13"/>
        <v>241399.96966479596</v>
      </c>
      <c r="K103" s="1" t="s">
        <v>68</v>
      </c>
    </row>
    <row r="104" spans="1:11" x14ac:dyDescent="0.2">
      <c r="A104" s="1" t="s">
        <v>180</v>
      </c>
      <c r="B104" s="1" t="s">
        <v>181</v>
      </c>
      <c r="C104" s="1">
        <f>((12*G72+G96+G52)+(24/B2)*(G6+B3*B9))/2</f>
        <v>321.75833333333333</v>
      </c>
      <c r="D104" s="1" t="s">
        <v>96</v>
      </c>
      <c r="E104" s="1">
        <f>(2*(12*G72+G96+G52)+(24/B2)*(G6+2.5*B3*B9)+52*B16)/4</f>
        <v>290.35833333333335</v>
      </c>
      <c r="F104" s="1">
        <f t="shared" si="10"/>
        <v>290.35833333333335</v>
      </c>
      <c r="G104" s="1">
        <f t="shared" si="11"/>
        <v>290.35833333333335</v>
      </c>
      <c r="H104" s="1" t="str">
        <f t="shared" si="12"/>
        <v>加速</v>
      </c>
      <c r="I104" s="1" t="s">
        <v>180</v>
      </c>
      <c r="J104" s="1">
        <f t="shared" si="13"/>
        <v>65775.966478202216</v>
      </c>
      <c r="K104" s="1" t="s">
        <v>68</v>
      </c>
    </row>
    <row r="105" spans="1:11" x14ac:dyDescent="0.2">
      <c r="A105" s="1" t="s">
        <v>182</v>
      </c>
      <c r="B105" s="1" t="s">
        <v>183</v>
      </c>
      <c r="C105" s="1">
        <f>(2*G51+3*G31)+(4/B2)*(E6+B3*B9)</f>
        <v>52.13333333333334</v>
      </c>
      <c r="D105" s="1">
        <f>((2*G51+3*G31)+(4/B2)*(E6+2.5*B3*B9)+5*B16)/1.25</f>
        <v>42.666666666666671</v>
      </c>
      <c r="E105" s="1">
        <f>(2*(2*G51+3*G31)+(4/B2)*(E6+2.5*B3*B9)+10*B16)/2</f>
        <v>41.666666666666671</v>
      </c>
      <c r="F105" s="1">
        <f t="shared" si="10"/>
        <v>41.666666666666671</v>
      </c>
      <c r="G105" s="1">
        <f t="shared" si="11"/>
        <v>41.666666666666671</v>
      </c>
      <c r="H105" s="1" t="str">
        <f t="shared" si="12"/>
        <v>加速</v>
      </c>
      <c r="I105" s="1" t="s">
        <v>182</v>
      </c>
      <c r="J105" s="1">
        <f t="shared" si="13"/>
        <v>458366.39999999997</v>
      </c>
      <c r="K105" s="1" t="s">
        <v>68</v>
      </c>
    </row>
    <row r="106" spans="1:11" x14ac:dyDescent="0.2">
      <c r="A106" s="1" t="s">
        <v>184</v>
      </c>
      <c r="B106" s="1" t="s">
        <v>185</v>
      </c>
      <c r="C106" s="1">
        <f>(5*G52+5*G61)+(6/B2)*(E6+B3*B9)</f>
        <v>398.95000000000005</v>
      </c>
      <c r="D106" s="1">
        <f>((5*G52+5*G61)+(6/B2)*(E6+2.5*B3*B9)+10*B16)/1.25</f>
        <v>320.60000000000002</v>
      </c>
      <c r="E106" s="1">
        <f>(2*(5*G52+5*G61)+(6/B2)*(E6+2.5*B3*B9)+20*B16)/2</f>
        <v>383.25000000000006</v>
      </c>
      <c r="F106" s="1">
        <f t="shared" si="10"/>
        <v>320.60000000000002</v>
      </c>
      <c r="G106" s="1">
        <f t="shared" si="11"/>
        <v>320.60000000000002</v>
      </c>
      <c r="H106" s="1" t="str">
        <f t="shared" si="12"/>
        <v>增产</v>
      </c>
      <c r="I106" s="1" t="s">
        <v>184</v>
      </c>
      <c r="J106" s="1">
        <f t="shared" si="13"/>
        <v>59571.428571428565</v>
      </c>
      <c r="K106" s="1" t="s">
        <v>68</v>
      </c>
    </row>
    <row r="109" spans="1:11" ht="19.5" x14ac:dyDescent="0.2">
      <c r="A109" s="2" t="s">
        <v>186</v>
      </c>
      <c r="B109" s="2"/>
      <c r="C109" s="2"/>
      <c r="D109" s="2"/>
      <c r="E109" s="2"/>
      <c r="F109" s="2"/>
    </row>
    <row r="110" spans="1:11" x14ac:dyDescent="0.2">
      <c r="A110" s="1" t="s">
        <v>187</v>
      </c>
      <c r="B110" s="1" t="s">
        <v>188</v>
      </c>
      <c r="C110" s="1">
        <f>(G50+G57)+(3/G2)*(P6+G3*B9)</f>
        <v>12.316666666666668</v>
      </c>
      <c r="D110" s="1">
        <f>((G50+G57)+(3/G2)*(P6+2.5*G3*B9)+2*B16)/1.25</f>
        <v>10.333333333333334</v>
      </c>
      <c r="E110" s="1">
        <f>(2*(G50+G57)+(3/G2)*(P6+2.5*G3*B9)+4*B16)/2</f>
        <v>11.416666666666668</v>
      </c>
      <c r="F110" s="1">
        <f t="shared" ref="F110:F115" si="14">MIN(C110:E110)</f>
        <v>10.333333333333334</v>
      </c>
      <c r="G110" s="1">
        <f t="shared" ref="G110:G115" si="15">F110</f>
        <v>10.333333333333334</v>
      </c>
      <c r="H110" s="1" t="str">
        <f t="shared" ref="H110:H115" si="16">IF(C110=G110,"不使用增产剂","")&amp;IF(D110=G110,"增产","")&amp;IF(E110=G110,"加速","")</f>
        <v>增产</v>
      </c>
      <c r="I110" s="1" t="s">
        <v>187</v>
      </c>
      <c r="J110" s="1">
        <f t="shared" ref="J110:J115" si="17">60*318310/G110</f>
        <v>1848251.6129032257</v>
      </c>
      <c r="K110" s="1" t="s">
        <v>68</v>
      </c>
    </row>
    <row r="111" spans="1:11" x14ac:dyDescent="0.2">
      <c r="A111" s="1" t="s">
        <v>189</v>
      </c>
      <c r="B111" s="1" t="s">
        <v>190</v>
      </c>
      <c r="C111" s="1">
        <f>((2*G35)+(6/G2)*(P6+G3*B9))</f>
        <v>12.800000000000002</v>
      </c>
      <c r="D111" s="1">
        <f>((2*G35)+(6/G2)*(P6+2.5*G3*B9)+4*B16)/1.25</f>
        <v>11.200000000000003</v>
      </c>
      <c r="E111" s="1">
        <f>(2*(2*G35)+(6/G2)*(P6+2.5*G3*B9)+8*B16)/2</f>
        <v>11.000000000000004</v>
      </c>
      <c r="F111" s="1">
        <f t="shared" si="14"/>
        <v>11.000000000000004</v>
      </c>
      <c r="G111" s="1">
        <f t="shared" si="15"/>
        <v>11.000000000000004</v>
      </c>
      <c r="H111" s="1" t="str">
        <f t="shared" si="16"/>
        <v>加速</v>
      </c>
      <c r="I111" s="1" t="s">
        <v>189</v>
      </c>
      <c r="J111" s="1">
        <f t="shared" si="17"/>
        <v>1736236.3636363631</v>
      </c>
      <c r="K111" s="1" t="s">
        <v>68</v>
      </c>
    </row>
    <row r="112" spans="1:11" x14ac:dyDescent="0.2">
      <c r="A112" s="1" t="s">
        <v>191</v>
      </c>
      <c r="B112" s="1" t="s">
        <v>192</v>
      </c>
      <c r="C112" s="1">
        <f>((H22+G62)+(8/G2)*(P6+G3*B9))</f>
        <v>31.566666666666674</v>
      </c>
      <c r="D112" s="1">
        <f>((H22+G62)+(8/G2)*(P6+2.5*G3*B9)+2*B16)/1.25</f>
        <v>26.533333333333339</v>
      </c>
      <c r="E112" s="1">
        <f>(2*(H22+G62)+(8/G2)*(P6+2.5*G3*B9)+4*B16)/2</f>
        <v>29.166666666666671</v>
      </c>
      <c r="F112" s="1">
        <f t="shared" si="14"/>
        <v>26.533333333333339</v>
      </c>
      <c r="G112" s="1">
        <f t="shared" si="15"/>
        <v>26.533333333333339</v>
      </c>
      <c r="H112" s="1" t="str">
        <f t="shared" si="16"/>
        <v>增产</v>
      </c>
      <c r="I112" s="1" t="s">
        <v>191</v>
      </c>
      <c r="J112" s="1">
        <f t="shared" si="17"/>
        <v>719796.48241206014</v>
      </c>
      <c r="K112" s="1" t="s">
        <v>68</v>
      </c>
    </row>
    <row r="113" spans="1:11" x14ac:dyDescent="0.2">
      <c r="A113" s="1" t="s">
        <v>193</v>
      </c>
      <c r="B113" s="1" t="s">
        <v>194</v>
      </c>
      <c r="C113" s="1">
        <f>((2*G59+G74)+(10/G2)*(P6+G3*B9))</f>
        <v>229.94166666666666</v>
      </c>
      <c r="D113" s="1">
        <f>((2*G59+G74)+(10/G2)*(P6+2.5*G3*B9)+3*B16)/1.25</f>
        <v>185.55333333333334</v>
      </c>
      <c r="E113" s="1">
        <f>(2*(2*G59+G74)+(10/G2)*(P6+2.5*G3*B9)+6*B16)/2</f>
        <v>226.94166666666666</v>
      </c>
      <c r="F113" s="1">
        <f t="shared" si="14"/>
        <v>185.55333333333334</v>
      </c>
      <c r="G113" s="1">
        <f t="shared" si="15"/>
        <v>185.55333333333334</v>
      </c>
      <c r="H113" s="1" t="str">
        <f t="shared" si="16"/>
        <v>增产</v>
      </c>
      <c r="I113" s="1" t="s">
        <v>193</v>
      </c>
      <c r="J113" s="1">
        <f t="shared" si="17"/>
        <v>102927.81949484424</v>
      </c>
      <c r="K113" s="1" t="s">
        <v>68</v>
      </c>
    </row>
    <row r="114" spans="1:11" x14ac:dyDescent="0.2">
      <c r="A114" s="1" t="s">
        <v>195</v>
      </c>
      <c r="B114" s="1" t="s">
        <v>196</v>
      </c>
      <c r="C114" s="1">
        <f>((G93+G92)+(24/G2)*(P6+G3*B9))/2</f>
        <v>265.55666666666673</v>
      </c>
      <c r="D114" s="1">
        <f>((G93+G92)+(24/G2)*(P6+2.5*G3*B9)+2*B16)/2.5</f>
        <v>214.36533333333335</v>
      </c>
      <c r="E114" s="1">
        <f>(2*(G93+G92)+(24/G2)*(P6+2.5*G3*B9)+4*B16)/4</f>
        <v>261.95666666666671</v>
      </c>
      <c r="F114" s="1">
        <f t="shared" si="14"/>
        <v>214.36533333333335</v>
      </c>
      <c r="G114" s="1">
        <f t="shared" si="15"/>
        <v>214.36533333333335</v>
      </c>
      <c r="H114" s="1" t="str">
        <f t="shared" si="16"/>
        <v>增产</v>
      </c>
      <c r="I114" s="1" t="s">
        <v>195</v>
      </c>
      <c r="J114" s="1">
        <f t="shared" si="17"/>
        <v>89093.696742010521</v>
      </c>
      <c r="K114" s="1" t="s">
        <v>68</v>
      </c>
    </row>
    <row r="115" spans="1:11" x14ac:dyDescent="0.2">
      <c r="A115" s="1" t="s">
        <v>197</v>
      </c>
      <c r="B115" s="1" t="s">
        <v>198</v>
      </c>
      <c r="C115" s="1">
        <f>(G110+G111+G112+G113+G114+G72)+(15/G2)*(Q6+G3*B9)</f>
        <v>493.24366666666668</v>
      </c>
      <c r="D115" s="1">
        <f>((G110+G111+G112+G113+G114+G72)+(15/G2)*(Q6+2.5*G3*B9)+6*B16)/1.25</f>
        <v>396.99493333333334</v>
      </c>
      <c r="E115" s="1">
        <f>(2*(G110+G111+G112+G113+G114+G72)+(15/G2)*(Q6+2.5*G3*B9)+12*B16)/2</f>
        <v>487.32700000000006</v>
      </c>
      <c r="F115" s="1">
        <f t="shared" si="14"/>
        <v>396.99493333333334</v>
      </c>
      <c r="G115" s="1">
        <f t="shared" si="15"/>
        <v>396.99493333333334</v>
      </c>
      <c r="H115" s="1" t="str">
        <f t="shared" si="16"/>
        <v>增产</v>
      </c>
      <c r="I115" s="1" t="s">
        <v>197</v>
      </c>
      <c r="J115" s="1">
        <f t="shared" si="17"/>
        <v>48107.91875765333</v>
      </c>
      <c r="K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164" priority="4" operator="equal">
      <formula>"不使用增产剂"</formula>
    </cfRule>
    <cfRule type="cellIs" dxfId="163" priority="5" operator="equal">
      <formula>"加速"</formula>
    </cfRule>
    <cfRule type="cellIs" dxfId="162" priority="6" operator="equal">
      <formula>"增产"</formula>
    </cfRule>
  </conditionalFormatting>
  <conditionalFormatting sqref="A75:B75">
    <cfRule type="cellIs" dxfId="161" priority="10" operator="equal">
      <formula>"不使用增产剂"</formula>
    </cfRule>
    <cfRule type="cellIs" dxfId="160" priority="11" operator="equal">
      <formula>"加速"</formula>
    </cfRule>
    <cfRule type="cellIs" dxfId="159" priority="12" operator="equal">
      <formula>"增产"</formula>
    </cfRule>
  </conditionalFormatting>
  <conditionalFormatting sqref="A49:F49">
    <cfRule type="cellIs" dxfId="158" priority="31" operator="equal">
      <formula>"不使用增产剂"</formula>
    </cfRule>
    <cfRule type="cellIs" dxfId="157" priority="32" operator="equal">
      <formula>"加速"</formula>
    </cfRule>
    <cfRule type="cellIs" dxfId="156" priority="33" operator="equal">
      <formula>"增产"</formula>
    </cfRule>
  </conditionalFormatting>
  <conditionalFormatting sqref="A90:F90">
    <cfRule type="cellIs" dxfId="155" priority="28" operator="equal">
      <formula>"不使用增产剂"</formula>
    </cfRule>
    <cfRule type="cellIs" dxfId="154" priority="29" operator="equal">
      <formula>"加速"</formula>
    </cfRule>
    <cfRule type="cellIs" dxfId="153" priority="30" operator="equal">
      <formula>"增产"</formula>
    </cfRule>
  </conditionalFormatting>
  <conditionalFormatting sqref="A109:F109">
    <cfRule type="cellIs" dxfId="152" priority="25" operator="equal">
      <formula>"不使用增产剂"</formula>
    </cfRule>
    <cfRule type="cellIs" dxfId="151" priority="26" operator="equal">
      <formula>"加速"</formula>
    </cfRule>
    <cfRule type="cellIs" dxfId="150" priority="27" operator="equal">
      <formula>"增产"</formula>
    </cfRule>
  </conditionalFormatting>
  <conditionalFormatting sqref="A26:H38 A39:G42 H39:H49 A43:B44 F43:G44 A45:G47 F48 A50:H74 F75:H78">
    <cfRule type="cellIs" dxfId="149" priority="34" operator="equal">
      <formula>"不使用增产剂"</formula>
    </cfRule>
    <cfRule type="cellIs" dxfId="148" priority="35" operator="equal">
      <formula>"加速"</formula>
    </cfRule>
    <cfRule type="cellIs" dxfId="147" priority="36" operator="equal">
      <formula>"增产"</formula>
    </cfRule>
  </conditionalFormatting>
  <conditionalFormatting sqref="A91:I106">
    <cfRule type="cellIs" dxfId="146" priority="16" operator="equal">
      <formula>"不使用增产剂"</formula>
    </cfRule>
    <cfRule type="cellIs" dxfId="145" priority="17" operator="equal">
      <formula>"加速"</formula>
    </cfRule>
    <cfRule type="cellIs" dxfId="144" priority="18" operator="equal">
      <formula>"增产"</formula>
    </cfRule>
  </conditionalFormatting>
  <conditionalFormatting sqref="A110:I115">
    <cfRule type="cellIs" dxfId="143" priority="13" operator="equal">
      <formula>"不使用增产剂"</formula>
    </cfRule>
    <cfRule type="cellIs" dxfId="142" priority="14" operator="equal">
      <formula>"加速"</formula>
    </cfRule>
    <cfRule type="cellIs" dxfId="141" priority="15" operator="equal">
      <formula>"增产"</formula>
    </cfRule>
  </conditionalFormatting>
  <conditionalFormatting sqref="I30:I45">
    <cfRule type="cellIs" dxfId="140" priority="22" operator="equal">
      <formula>"不使用增产剂"</formula>
    </cfRule>
    <cfRule type="cellIs" dxfId="139" priority="23" operator="equal">
      <formula>"加速"</formula>
    </cfRule>
    <cfRule type="cellIs" dxfId="138" priority="24" operator="equal">
      <formula>"增产"</formula>
    </cfRule>
  </conditionalFormatting>
  <conditionalFormatting sqref="I50:I75">
    <cfRule type="cellIs" dxfId="137" priority="7" operator="equal">
      <formula>"不使用增产剂"</formula>
    </cfRule>
    <cfRule type="cellIs" dxfId="136" priority="8" operator="equal">
      <formula>"加速"</formula>
    </cfRule>
    <cfRule type="cellIs" dxfId="135" priority="9" operator="equal">
      <formula>"增产"</formula>
    </cfRule>
  </conditionalFormatting>
  <conditionalFormatting sqref="I77">
    <cfRule type="cellIs" dxfId="134" priority="1" operator="equal">
      <formula>"不使用增产剂"</formula>
    </cfRule>
    <cfRule type="cellIs" dxfId="133" priority="2" operator="equal">
      <formula>"加速"</formula>
    </cfRule>
    <cfRule type="cellIs" dxfId="132" priority="3" operator="equal">
      <formula>"增产"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39D5-BAAA-460A-B081-3A5FCABA6019}">
  <dimension ref="A1:U115"/>
  <sheetViews>
    <sheetView topLeftCell="D49" zoomScale="70" zoomScaleNormal="70" workbookViewId="0">
      <selection activeCell="L30" sqref="L30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customFormat="1" x14ac:dyDescent="0.2">
      <c r="A6" t="s">
        <v>255</v>
      </c>
      <c r="B6">
        <v>7.9042119565217395E-2</v>
      </c>
      <c r="C6">
        <v>0.12972146739130436</v>
      </c>
      <c r="D6">
        <v>7.9042119565217395E-2</v>
      </c>
      <c r="E6">
        <v>0.10438179347826086</v>
      </c>
      <c r="F6">
        <v>0.12972146739130436</v>
      </c>
      <c r="G6">
        <v>0.15506114130434781</v>
      </c>
      <c r="H6">
        <v>7.9042119565217395E-2</v>
      </c>
      <c r="I6">
        <v>0.10438179347826086</v>
      </c>
      <c r="J6">
        <v>7.9042119565217395E-2</v>
      </c>
      <c r="K6">
        <v>0.10438179347826086</v>
      </c>
      <c r="L6">
        <v>0.12972146739130436</v>
      </c>
      <c r="M6">
        <v>7.9042119565217395E-2</v>
      </c>
      <c r="N6">
        <v>0.10438179347826086</v>
      </c>
      <c r="O6">
        <v>1.348523434596804</v>
      </c>
      <c r="P6">
        <v>1.399202782422891</v>
      </c>
      <c r="Q6">
        <v>1.5005614780750649</v>
      </c>
      <c r="R6">
        <v>5.3702445652173914E-2</v>
      </c>
      <c r="S6">
        <v>5.3702445652173914E-2</v>
      </c>
      <c r="T6">
        <v>3.6809329710144931E-2</v>
      </c>
      <c r="U6">
        <v>2.8362771739130436E-2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7.8649999999999998E-4</v>
      </c>
      <c r="C9" s="1">
        <f>(F104+F101/74+50*R6)/7200</f>
        <v>7.864120875946054E-4</v>
      </c>
      <c r="D9" s="1">
        <f>50*R6/7200</f>
        <v>3.7293365036231884E-4</v>
      </c>
      <c r="E9" s="1">
        <v>1.7174272542672318</v>
      </c>
      <c r="F9" s="1">
        <v>1.518696176532536</v>
      </c>
      <c r="G9" s="1">
        <v>1.2</v>
      </c>
      <c r="H9" s="1">
        <v>1.5096445348909715</v>
      </c>
      <c r="I9" s="1">
        <f>(H9-G9)/(1-(F9-H9)/(E9-G9))+G9</f>
        <v>1.5151577642758864</v>
      </c>
    </row>
    <row r="10" spans="1:21" x14ac:dyDescent="0.2">
      <c r="A10" s="1" t="s">
        <v>36</v>
      </c>
      <c r="C10" s="1">
        <f>(F104+100*R6)/7200</f>
        <v>1.1586979509450484E-3</v>
      </c>
      <c r="D10" s="1">
        <f>100*R6/7200</f>
        <v>7.4586730072463768E-4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4.6639999999999997E-3</v>
      </c>
      <c r="C16" s="1">
        <f>F101/74</f>
        <v>4.664066485507247E-3</v>
      </c>
      <c r="D16" s="1">
        <v>0.02</v>
      </c>
      <c r="E16" s="1">
        <v>3.1742090460025241E-2</v>
      </c>
      <c r="F16" s="1">
        <v>3.1742090460025241E-2</v>
      </c>
      <c r="G16" s="1">
        <v>3.390009627430015E-2</v>
      </c>
      <c r="H16" s="1">
        <f>(G16-F16)/(1-(E16-G16)/(D16-F16))+F16</f>
        <v>3.4386004868242843E-2</v>
      </c>
    </row>
    <row r="17" spans="1:18" ht="15" customHeight="1" x14ac:dyDescent="0.2"/>
    <row r="18" spans="1:18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8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8" x14ac:dyDescent="0.2">
      <c r="A20" s="1" t="s">
        <v>51</v>
      </c>
      <c r="B20" s="1">
        <f>G67</f>
        <v>1.5178273761623187</v>
      </c>
      <c r="C20" s="1">
        <f>G43</f>
        <v>2.4139194360686671E-2</v>
      </c>
      <c r="D20" s="1">
        <f>G64</f>
        <v>0.63484520724637683</v>
      </c>
      <c r="E20" s="1">
        <f>G69</f>
        <v>0.4013485415760869</v>
      </c>
      <c r="F20" s="1">
        <f>10*S6</f>
        <v>0.53702445652173914</v>
      </c>
      <c r="G20" s="1">
        <f>G75</f>
        <v>0.13650666168478259</v>
      </c>
      <c r="H20" s="1">
        <f>G76</f>
        <v>9.5865519565217383E-2</v>
      </c>
      <c r="I20" s="1">
        <f>G77</f>
        <v>9.5865519565217383E-2</v>
      </c>
      <c r="J20" s="1">
        <f>G78</f>
        <v>0.93307065043478254</v>
      </c>
    </row>
    <row r="21" spans="1:18" x14ac:dyDescent="0.2">
      <c r="A21" s="1" t="s">
        <v>52</v>
      </c>
      <c r="B21" s="1">
        <f>G66</f>
        <v>0.24823988442028982</v>
      </c>
      <c r="C21" s="1">
        <f>G44</f>
        <v>3.4987279891304346E-2</v>
      </c>
      <c r="D21" s="1">
        <f>G63</f>
        <v>0.34204380326086953</v>
      </c>
      <c r="E21" s="1">
        <f>G70</f>
        <v>0.17827880389492753</v>
      </c>
      <c r="F21" s="1">
        <f>G45</f>
        <v>0.14009348383635264</v>
      </c>
      <c r="G21" s="1">
        <f>G41</f>
        <v>6.830644673913043E-2</v>
      </c>
      <c r="H21" s="1">
        <f>G38</f>
        <v>1.7683284918478263E-2</v>
      </c>
      <c r="I21" s="1">
        <f>G37</f>
        <v>2.262341739130435E-2</v>
      </c>
      <c r="J21" s="1" t="s">
        <v>234</v>
      </c>
    </row>
    <row r="22" spans="1:18" x14ac:dyDescent="0.2">
      <c r="A22" s="1" t="s">
        <v>53</v>
      </c>
      <c r="B22" s="1">
        <f>B21</f>
        <v>0.24823988442028982</v>
      </c>
      <c r="C22" s="1">
        <f>C19</f>
        <v>0</v>
      </c>
      <c r="D22" s="1">
        <f t="shared" ref="D22:I22" si="0">D21</f>
        <v>0.34204380326086953</v>
      </c>
      <c r="E22" s="1">
        <f t="shared" si="0"/>
        <v>0.17827880389492753</v>
      </c>
      <c r="F22" s="1">
        <f t="shared" si="0"/>
        <v>0.14009348383635264</v>
      </c>
      <c r="G22" s="1">
        <f t="shared" si="0"/>
        <v>6.830644673913043E-2</v>
      </c>
      <c r="H22" s="1">
        <f t="shared" si="0"/>
        <v>1.7683284918478263E-2</v>
      </c>
      <c r="I22" s="1">
        <f t="shared" si="0"/>
        <v>2.262341739130435E-2</v>
      </c>
      <c r="J22" s="1">
        <f>J19</f>
        <v>0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4.00873397826087E-2</v>
      </c>
      <c r="D30" s="1">
        <f>((B6+C3*B9*2.5)/C2+B16)/1.25</f>
        <v>3.6480607826086961E-2</v>
      </c>
      <c r="E30" s="1">
        <f>((B6+C3*B9*2.5)/C2+2*B16)/2</f>
        <v>2.5132379891304346E-2</v>
      </c>
      <c r="F30" s="1">
        <f>MIN(C30:E30)</f>
        <v>2.5132379891304346E-2</v>
      </c>
      <c r="G30" s="1">
        <f>F30</f>
        <v>2.5132379891304346E-2</v>
      </c>
      <c r="H30" s="1" t="str">
        <f t="shared" ref="H30:H37" si="1">IF(C30=G30,"不使用增产剂","")&amp;IF(D30=G30,"增产","")&amp;IF(E30=G30,"加速","")</f>
        <v>加速</v>
      </c>
      <c r="I30" s="1" t="s">
        <v>66</v>
      </c>
      <c r="J30" s="1">
        <f t="shared" ref="J30:J45" si="2">G30/1000000000</f>
        <v>2.5132379891304347E-11</v>
      </c>
      <c r="Q30" s="1">
        <f t="shared" ref="Q30:Q45" si="3">60*318310/G30</f>
        <v>759920074.52537358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4.00873397826087E-2</v>
      </c>
      <c r="D31" s="1">
        <f>((B6+C3*B9*2.5)/C2+B16)/1.25</f>
        <v>3.6480607826086961E-2</v>
      </c>
      <c r="E31" s="1">
        <f>((B6+C3*B9*2.5)/C2+2*B16)/2</f>
        <v>2.5132379891304346E-2</v>
      </c>
      <c r="F31" s="1">
        <f t="shared" ref="F31:F44" si="4">MIN(C31:E31)</f>
        <v>2.5132379891304346E-2</v>
      </c>
      <c r="G31" s="1">
        <f t="shared" ref="G31:G44" si="5">F31</f>
        <v>2.5132379891304346E-2</v>
      </c>
      <c r="H31" s="1" t="str">
        <f t="shared" si="1"/>
        <v>加速</v>
      </c>
      <c r="I31" s="1" t="s">
        <v>69</v>
      </c>
      <c r="J31" s="1">
        <f t="shared" si="2"/>
        <v>2.5132379891304347E-11</v>
      </c>
      <c r="Q31" s="1">
        <f t="shared" si="3"/>
        <v>759920074.52537358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8.0174679565217399E-2</v>
      </c>
      <c r="D32" s="1">
        <f>(2*(B6+C3*B9*2.5)/C2+2*B16)/1.25</f>
        <v>7.2961215652173922E-2</v>
      </c>
      <c r="E32" s="1">
        <f>(2*(B6+C3*B9*2.5)/C2+4*B16)/2</f>
        <v>5.0264759782608692E-2</v>
      </c>
      <c r="F32" s="1">
        <f t="shared" si="4"/>
        <v>5.0264759782608692E-2</v>
      </c>
      <c r="G32" s="1">
        <f t="shared" si="5"/>
        <v>5.0264759782608692E-2</v>
      </c>
      <c r="H32" s="1" t="str">
        <f>IF(C32=G32,"不使用增产剂","")&amp;IF(D32=G32,"增产","")&amp;IF(E32=G32,"加速","")</f>
        <v>加速</v>
      </c>
      <c r="I32" s="1" t="s">
        <v>71</v>
      </c>
      <c r="J32" s="1">
        <f t="shared" si="2"/>
        <v>5.0264759782608693E-11</v>
      </c>
      <c r="Q32" s="1">
        <f t="shared" si="3"/>
        <v>379960037.26268679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8.0174679565217399E-2</v>
      </c>
      <c r="D33" s="1">
        <f>(2*(B6+C3*B9*2.5)/C2+2*B16)/1.25</f>
        <v>7.2961215652173922E-2</v>
      </c>
      <c r="E33" s="1">
        <f>(2*(B6+C3*B9*2.5)/C2+4*B16)/2</f>
        <v>5.0264759782608692E-2</v>
      </c>
      <c r="F33" s="1">
        <f t="shared" si="4"/>
        <v>5.0264759782608692E-2</v>
      </c>
      <c r="G33" s="1">
        <f t="shared" si="5"/>
        <v>5.0264759782608692E-2</v>
      </c>
      <c r="H33" s="1" t="str">
        <f t="shared" si="1"/>
        <v>加速</v>
      </c>
      <c r="I33" s="1" t="s">
        <v>73</v>
      </c>
      <c r="J33" s="1">
        <f t="shared" si="2"/>
        <v>5.0264759782608693E-11</v>
      </c>
      <c r="Q33" s="1">
        <f t="shared" si="3"/>
        <v>379960037.26268679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4.00873397826087E-2</v>
      </c>
      <c r="D34" s="1">
        <f>((B6+C3*B9*2.5)/C2+B16)/1.25</f>
        <v>3.6480607826086961E-2</v>
      </c>
      <c r="E34" s="1">
        <f>((B6+C3*B9*2.5)/C2+2*B16)/2</f>
        <v>2.5132379891304346E-2</v>
      </c>
      <c r="F34" s="1">
        <f t="shared" si="4"/>
        <v>2.5132379891304346E-2</v>
      </c>
      <c r="G34" s="1">
        <f t="shared" si="5"/>
        <v>2.5132379891304346E-2</v>
      </c>
      <c r="H34" s="1" t="str">
        <f t="shared" si="1"/>
        <v>加速</v>
      </c>
      <c r="I34" s="1" t="s">
        <v>75</v>
      </c>
      <c r="J34" s="1">
        <f t="shared" si="2"/>
        <v>2.5132379891304347E-11</v>
      </c>
      <c r="Q34" s="1">
        <f t="shared" si="3"/>
        <v>759920074.52537358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8.0174679565217399E-2</v>
      </c>
      <c r="D35" s="1">
        <f>(2*(B6+C3*B9*2.5)/C2+2*B16)/1.25</f>
        <v>7.2961215652173922E-2</v>
      </c>
      <c r="E35" s="1">
        <f>(2*(B6+C3*B9*2.5)/C2+4*B16)/2</f>
        <v>5.0264759782608692E-2</v>
      </c>
      <c r="F35" s="1">
        <f t="shared" si="4"/>
        <v>5.0264759782608692E-2</v>
      </c>
      <c r="G35" s="1">
        <f t="shared" si="5"/>
        <v>5.0264759782608692E-2</v>
      </c>
      <c r="H35" s="1" t="str">
        <f t="shared" si="1"/>
        <v>加速</v>
      </c>
      <c r="I35" s="1" t="s">
        <v>77</v>
      </c>
      <c r="J35" s="1">
        <f t="shared" si="2"/>
        <v>5.0264759782608693E-11</v>
      </c>
      <c r="Q35" s="1">
        <f t="shared" si="3"/>
        <v>379960037.26268679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8.0174679565217399E-2</v>
      </c>
      <c r="D36" s="1">
        <f>(2*(B6+C3*B9*2.5)/C2+2*B16)/1.25</f>
        <v>7.2961215652173922E-2</v>
      </c>
      <c r="E36" s="1">
        <f>(2*(B6+C3*B9*2.5)/C2+4*B16)/2</f>
        <v>5.0264759782608692E-2</v>
      </c>
      <c r="F36" s="1">
        <f t="shared" si="4"/>
        <v>5.0264759782608692E-2</v>
      </c>
      <c r="G36" s="1">
        <f t="shared" si="5"/>
        <v>5.0264759782608692E-2</v>
      </c>
      <c r="H36" s="1" t="str">
        <f t="shared" si="1"/>
        <v>加速</v>
      </c>
      <c r="I36" s="1" t="s">
        <v>79</v>
      </c>
      <c r="J36" s="1">
        <f t="shared" si="2"/>
        <v>5.0264759782608693E-11</v>
      </c>
      <c r="Q36" s="1">
        <f t="shared" si="3"/>
        <v>379960037.26268679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3.9945769782608699E-2</v>
      </c>
      <c r="D37" s="1">
        <f>(1.5*(D6+B3*B9*2.5)/B2+B16)/2.5</f>
        <v>3.4331867826086958E-2</v>
      </c>
      <c r="E37" s="1">
        <f>(1.5*(D6+B3*B9*2.5)/B2+2*B16)/4</f>
        <v>2.262341739130435E-2</v>
      </c>
      <c r="F37" s="1">
        <f t="shared" si="4"/>
        <v>2.262341739130435E-2</v>
      </c>
      <c r="G37" s="1">
        <f t="shared" si="5"/>
        <v>2.262341739130435E-2</v>
      </c>
      <c r="H37" s="1" t="str">
        <f t="shared" si="1"/>
        <v>加速</v>
      </c>
      <c r="I37" s="1" t="s">
        <v>81</v>
      </c>
      <c r="J37" s="1">
        <f t="shared" si="2"/>
        <v>2.2623417391304351E-11</v>
      </c>
      <c r="Q37" s="1">
        <f t="shared" si="3"/>
        <v>844196067.71436894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3.0065504836956525E-2</v>
      </c>
      <c r="D38" s="1">
        <f>(1.5*(B6+C3*B9*2.5)/C2+B16)/2.5</f>
        <v>2.642765586956522E-2</v>
      </c>
      <c r="E38" s="1">
        <f>(1.5*(B6+C3*B9*2.5)/C2+2*B16)/4</f>
        <v>1.7683284918478263E-2</v>
      </c>
      <c r="F38" s="1">
        <f t="shared" si="4"/>
        <v>1.7683284918478263E-2</v>
      </c>
      <c r="G38" s="1">
        <f t="shared" si="5"/>
        <v>1.7683284918478263E-2</v>
      </c>
      <c r="H38" s="1" t="str">
        <f>IF(C38=G38,"不使用增产剂","")&amp;IF(D38=G38,"增产","")&amp;IF(E38=G38,"加速","")</f>
        <v>加速</v>
      </c>
      <c r="I38" s="1" t="s">
        <v>83</v>
      </c>
      <c r="J38" s="1">
        <f t="shared" si="2"/>
        <v>1.7683284918478262E-11</v>
      </c>
      <c r="Q38" s="1">
        <f t="shared" si="3"/>
        <v>1080036887.2665052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5.3040316739130428E-2</v>
      </c>
      <c r="D39" s="1">
        <f>(2*(I6+D3*B9*2.5)/D2+2*B16)/2.5</f>
        <v>4.7182757391304349E-2</v>
      </c>
      <c r="E39" s="1">
        <f>(2*(I6+D3*B9*2.5)/D2+4*B16)/4</f>
        <v>3.1821223369565214E-2</v>
      </c>
      <c r="F39" s="1">
        <f t="shared" si="4"/>
        <v>3.1821223369565214E-2</v>
      </c>
      <c r="G39" s="1">
        <f t="shared" si="5"/>
        <v>3.1821223369565214E-2</v>
      </c>
      <c r="H39" s="1" t="str">
        <f t="shared" ref="H39:H45" si="6">IF(C39=G39,"不使用增产剂","")&amp;IF(D39=G39,"增产","")&amp;IF(E39=G39,"加速","")</f>
        <v>加速</v>
      </c>
      <c r="I39" s="1" t="s">
        <v>85</v>
      </c>
      <c r="J39" s="1">
        <f t="shared" si="2"/>
        <v>3.1821223369565216E-11</v>
      </c>
      <c r="Q39" s="1">
        <f t="shared" si="3"/>
        <v>600184341.69524992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0.21027366695652172</v>
      </c>
      <c r="D40" s="1">
        <f>((4/E2)*(N6+B9*E3*2.5)+2*B16)/2.5</f>
        <v>0.17376222956521739</v>
      </c>
      <c r="E40" s="1">
        <f>((4/E2)*(N6+B9*E3*2.5)+4*B16)/4</f>
        <v>0.11093339347826087</v>
      </c>
      <c r="F40" s="1">
        <f t="shared" si="4"/>
        <v>0.11093339347826087</v>
      </c>
      <c r="G40" s="1">
        <f t="shared" si="5"/>
        <v>0.11093339347826087</v>
      </c>
      <c r="H40" s="1" t="str">
        <f t="shared" si="6"/>
        <v>加速</v>
      </c>
      <c r="I40" s="1" t="s">
        <v>87</v>
      </c>
      <c r="J40" s="1">
        <f t="shared" si="2"/>
        <v>1.1093339347826086E-10</v>
      </c>
      <c r="Q40" s="1">
        <f t="shared" si="3"/>
        <v>172162767.23512176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0.10608063347826086</v>
      </c>
      <c r="D41" s="1">
        <f>(4*(I6+D3*B9*2.5)/D2+6*B16)/2.5</f>
        <v>9.8096714782608702E-2</v>
      </c>
      <c r="E41" s="1">
        <f>(4*(I6+D3*B9*2.5)/D2+12*B16)/4</f>
        <v>6.830644673913043E-2</v>
      </c>
      <c r="F41" s="1">
        <f t="shared" si="4"/>
        <v>6.830644673913043E-2</v>
      </c>
      <c r="G41" s="1">
        <f t="shared" si="5"/>
        <v>6.830644673913043E-2</v>
      </c>
      <c r="H41" s="1" t="str">
        <f t="shared" si="6"/>
        <v>加速</v>
      </c>
      <c r="I41" s="1" t="s">
        <v>89</v>
      </c>
      <c r="J41" s="1">
        <f t="shared" si="2"/>
        <v>6.8306446739130427E-11</v>
      </c>
      <c r="Q41" s="1">
        <f t="shared" si="3"/>
        <v>279601720.06808639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6.013100967391305E-2</v>
      </c>
      <c r="D42" s="1">
        <f>(1.5*(B6+C3*B9*2.5)/C2+B16)/1.25</f>
        <v>5.2855311739130439E-2</v>
      </c>
      <c r="E42" s="1">
        <f>(1.5*(B6+C3*B9*2.5)/C2+2*B16)/2</f>
        <v>3.5366569836956525E-2</v>
      </c>
      <c r="F42" s="1">
        <f t="shared" si="4"/>
        <v>3.5366569836956525E-2</v>
      </c>
      <c r="G42" s="1">
        <f t="shared" si="5"/>
        <v>3.5366569836956525E-2</v>
      </c>
      <c r="H42" s="1" t="str">
        <f t="shared" si="6"/>
        <v>加速</v>
      </c>
      <c r="I42" s="1" t="s">
        <v>91</v>
      </c>
      <c r="J42" s="1">
        <f t="shared" si="2"/>
        <v>3.5366569836956524E-11</v>
      </c>
      <c r="Q42" s="1">
        <f t="shared" si="3"/>
        <v>540018443.63325262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2.4139194360686671E-2</v>
      </c>
      <c r="F43" s="1">
        <f t="shared" si="4"/>
        <v>2.4139194360686671E-2</v>
      </c>
      <c r="G43" s="1">
        <f t="shared" si="5"/>
        <v>2.4139194360686671E-2</v>
      </c>
      <c r="H43" s="1" t="str">
        <f t="shared" si="6"/>
        <v>加速</v>
      </c>
      <c r="I43" s="1" t="s">
        <v>93</v>
      </c>
      <c r="J43" s="1">
        <f t="shared" si="2"/>
        <v>2.4139194360686671E-11</v>
      </c>
      <c r="K43" s="1" t="s">
        <v>241</v>
      </c>
      <c r="Q43" s="1">
        <f t="shared" si="3"/>
        <v>791186305.33520079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4.4240059782608698E-2</v>
      </c>
      <c r="D44" s="1">
        <f>(2.5*(J6+F3*B9*2.5)/F2+10*B16)/6.25</f>
        <v>4.8517247826086962E-2</v>
      </c>
      <c r="E44" s="1">
        <f>(2.5*(J6+F3*B9*2.5)/F2+20*B16)/10</f>
        <v>3.4987279891304346E-2</v>
      </c>
      <c r="F44" s="1">
        <f t="shared" si="4"/>
        <v>3.4987279891304346E-2</v>
      </c>
      <c r="G44" s="1">
        <f t="shared" si="5"/>
        <v>3.4987279891304346E-2</v>
      </c>
      <c r="H44" s="1" t="str">
        <f>IF(C44=G44,"不使用增产剂","")&amp;IF(D44=G44,"增产","")&amp;IF(E44=G44,"加速","")</f>
        <v>加速</v>
      </c>
      <c r="I44" s="1" t="s">
        <v>97</v>
      </c>
      <c r="J44" s="1">
        <f t="shared" si="2"/>
        <v>3.4987279891304345E-11</v>
      </c>
      <c r="Q44" s="1">
        <f t="shared" si="3"/>
        <v>545872673.13532197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0.28014810100603865</v>
      </c>
      <c r="D45" s="1" t="s">
        <v>96</v>
      </c>
      <c r="E45" s="1">
        <f>((0.1*G92)+60*S6+0.1*B16)/24</f>
        <v>0.14009348383635264</v>
      </c>
      <c r="F45" s="1">
        <f>MIN(C45:E45)</f>
        <v>0.14009348383635264</v>
      </c>
      <c r="G45" s="1">
        <f>F45</f>
        <v>0.14009348383635264</v>
      </c>
      <c r="H45" s="1" t="str">
        <f t="shared" si="6"/>
        <v>加速</v>
      </c>
      <c r="I45" s="1" t="s">
        <v>101</v>
      </c>
      <c r="J45" s="1">
        <f t="shared" si="2"/>
        <v>1.4009348383635265E-10</v>
      </c>
      <c r="K45" s="1" t="s">
        <v>240</v>
      </c>
      <c r="Q45" s="1">
        <f t="shared" si="3"/>
        <v>136327539.84696135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8.3009830942028989E-2</v>
      </c>
      <c r="D50" s="1">
        <f>((2*G42+G31)+(E6+B3*B9*2.5)/B2+3*B16)/2.5</f>
        <v>7.2344432753623192E-2</v>
      </c>
      <c r="E50" s="1">
        <f>(2*(2*G42+G31)+(E6+2.5*B3*B9)/B2+6*B16)/4</f>
        <v>7.267965036231884E-2</v>
      </c>
      <c r="F50" s="1">
        <f t="shared" ref="F50:F78" si="7">MIN(C50:E50)</f>
        <v>7.2344432753623192E-2</v>
      </c>
      <c r="G50" s="1">
        <f t="shared" ref="G50:G78" si="8">F50</f>
        <v>7.2344432753623192E-2</v>
      </c>
      <c r="H50" s="1" t="str">
        <f t="shared" ref="H50:H78" si="9">IF(C50=G50,"不使用增产剂","")&amp;IF(D50=G50,"增产","")&amp;IF(E50=G50,"加速","")</f>
        <v>增产</v>
      </c>
      <c r="I50" s="1" t="s">
        <v>103</v>
      </c>
      <c r="J50" s="1">
        <f t="shared" ref="J50:J78" si="10">G50/1000000000</f>
        <v>7.2344432753623194E-11</v>
      </c>
      <c r="Q50" s="1">
        <f t="shared" ref="Q50:Q78" si="11">60*318310/G50</f>
        <v>263995435.07435262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0.19565915902173914</v>
      </c>
      <c r="D51" s="1">
        <f>((3*G30)+3*(B6+C3*B9*2.5)/C2+3*B16)/1.25</f>
        <v>0.16975953521739132</v>
      </c>
      <c r="E51" s="1">
        <f>(2*(3*G30)+3*(B6+C3*B9*2.5)/C2+6*B16)/2</f>
        <v>0.15079427934782608</v>
      </c>
      <c r="F51" s="1">
        <f t="shared" si="7"/>
        <v>0.15079427934782608</v>
      </c>
      <c r="G51" s="1">
        <f t="shared" si="8"/>
        <v>0.15079427934782608</v>
      </c>
      <c r="H51" s="1" t="str">
        <f t="shared" si="9"/>
        <v>加速</v>
      </c>
      <c r="I51" s="1" t="s">
        <v>105</v>
      </c>
      <c r="J51" s="1">
        <f t="shared" si="10"/>
        <v>1.5079427934782609E-10</v>
      </c>
      <c r="Q51" s="1">
        <f t="shared" si="11"/>
        <v>126653345.75422893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0.39734008021739131</v>
      </c>
      <c r="D52" s="1">
        <f>((4*G33+4*G51)+(12/C2)*(C6+C3*B9*2.5)+16*B16)/5</f>
        <v>0.33483547217391307</v>
      </c>
      <c r="E52" s="1">
        <f>(2*(4*G33+4*G51)+(12/C2)*(C6+C3*B9*2.5)+32*B16)/8</f>
        <v>0.31912968967391309</v>
      </c>
      <c r="F52" s="1">
        <f t="shared" si="7"/>
        <v>0.31912968967391309</v>
      </c>
      <c r="G52" s="1">
        <f t="shared" si="8"/>
        <v>0.31912968967391309</v>
      </c>
      <c r="H52" s="1" t="str">
        <f t="shared" si="9"/>
        <v>加速</v>
      </c>
      <c r="I52" s="1" t="s">
        <v>107</v>
      </c>
      <c r="J52" s="1">
        <f t="shared" si="10"/>
        <v>3.1912968967391308E-10</v>
      </c>
      <c r="Q52" s="1">
        <f t="shared" si="11"/>
        <v>59845889.04753726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0.3181476652173913</v>
      </c>
      <c r="D53" s="1">
        <f>((2*G36+2*G33)+(5/B2)*(F6+2.5*B3*B9)+6*B16)/2.5</f>
        <v>0.26741057217391306</v>
      </c>
      <c r="E53" s="1">
        <f>(2*(2*G36+2*G33)+(5/B2)*(F6+2.5*B3*B9)+12*B16)/4</f>
        <v>0.22439236739130436</v>
      </c>
      <c r="F53" s="1">
        <f t="shared" si="7"/>
        <v>0.22439236739130436</v>
      </c>
      <c r="G53" s="1">
        <f t="shared" si="8"/>
        <v>0.22439236739130436</v>
      </c>
      <c r="H53" s="1" t="str">
        <f t="shared" si="9"/>
        <v>加速</v>
      </c>
      <c r="I53" s="1" t="s">
        <v>109</v>
      </c>
      <c r="J53" s="1">
        <f t="shared" si="10"/>
        <v>2.2439236739130437E-10</v>
      </c>
      <c r="Q53" s="1">
        <f t="shared" si="11"/>
        <v>85112520.635316879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0.12865816605072464</v>
      </c>
      <c r="D54" s="1">
        <f>((3*G36)+(2/B2)*(D6+B3*B9*2.5)+3*B16)/2.5</f>
        <v>0.1092028688405797</v>
      </c>
      <c r="E54" s="1">
        <f>((6*G36)+(2/B2)*(D6+B3*B9*2.5)+6*B16)/4</f>
        <v>0.10944836286231883</v>
      </c>
      <c r="F54" s="1">
        <f t="shared" si="7"/>
        <v>0.1092028688405797</v>
      </c>
      <c r="G54" s="1">
        <f t="shared" si="8"/>
        <v>0.1092028688405797</v>
      </c>
      <c r="H54" s="1" t="str">
        <f t="shared" si="9"/>
        <v>增产</v>
      </c>
      <c r="I54" s="1" t="s">
        <v>111</v>
      </c>
      <c r="J54" s="1">
        <f t="shared" si="10"/>
        <v>1.0920286884057969E-10</v>
      </c>
      <c r="Q54" s="1">
        <f t="shared" si="11"/>
        <v>174891009.75800532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0.64809175333333324</v>
      </c>
      <c r="D55" s="1">
        <f>((4*G50+2*G54)+(2/B2)*(E6+2.5*B3*B9)+6*B16)/1.25</f>
        <v>0.54221967466666665</v>
      </c>
      <c r="E55" s="1">
        <f>(2*(4*G50+2*G54)+(2/B2)*(E6+2.5*B3*B9)+12*B16)/2</f>
        <v>0.6067710310144927</v>
      </c>
      <c r="F55" s="1">
        <f t="shared" si="7"/>
        <v>0.54221967466666665</v>
      </c>
      <c r="G55" s="1">
        <f t="shared" si="8"/>
        <v>0.54221967466666665</v>
      </c>
      <c r="H55" s="1" t="str">
        <f t="shared" si="9"/>
        <v>增产</v>
      </c>
      <c r="I55" s="1" t="s">
        <v>113</v>
      </c>
      <c r="J55" s="1">
        <f t="shared" si="10"/>
        <v>5.422196746666667E-10</v>
      </c>
      <c r="Q55" s="1">
        <f t="shared" si="11"/>
        <v>35222993.359178632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7.8393406268115945E-2</v>
      </c>
      <c r="D56" s="1">
        <f>(G30+(1/B2)*(D6+2.5*B3*B9)+B16)/1.25</f>
        <v>6.7125461014492752E-2</v>
      </c>
      <c r="E56" s="1">
        <f>(2*G30+(1/B2)*(D6+2.5*B3*B9)+2*B16)/2</f>
        <v>5.6851603079710142E-2</v>
      </c>
      <c r="F56" s="1">
        <f t="shared" si="7"/>
        <v>5.6851603079710142E-2</v>
      </c>
      <c r="G56" s="1">
        <f t="shared" si="8"/>
        <v>5.6851603079710142E-2</v>
      </c>
      <c r="H56" s="1" t="str">
        <f t="shared" si="9"/>
        <v>加速</v>
      </c>
      <c r="I56" s="1" t="s">
        <v>115</v>
      </c>
      <c r="J56" s="1">
        <f t="shared" si="10"/>
        <v>5.6851603079710139E-11</v>
      </c>
      <c r="Q56" s="1">
        <f t="shared" si="11"/>
        <v>335937756.64025432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7.2775640996376817E-2</v>
      </c>
      <c r="D57" s="1">
        <f>((2*G30+G31)+(E6+B3*B9*2.5)/B2+3*B16)/2.5</f>
        <v>6.4157080797101446E-2</v>
      </c>
      <c r="E57" s="1">
        <f>(2*(2*G30+G31)+(E6+B3*B9*2.5)/B2+6*B16)/4</f>
        <v>6.2445460416666668E-2</v>
      </c>
      <c r="F57" s="1">
        <f t="shared" si="7"/>
        <v>6.2445460416666668E-2</v>
      </c>
      <c r="G57" s="1">
        <f t="shared" si="8"/>
        <v>6.2445460416666668E-2</v>
      </c>
      <c r="H57" s="1" t="str">
        <f t="shared" si="9"/>
        <v>加速</v>
      </c>
      <c r="I57" s="1" t="s">
        <v>117</v>
      </c>
      <c r="J57" s="1">
        <f t="shared" si="10"/>
        <v>6.2445460416666673E-11</v>
      </c>
      <c r="Q57" s="1">
        <f t="shared" si="11"/>
        <v>305844490.09687489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0.26597018409420292</v>
      </c>
      <c r="D58" s="1">
        <f>((2*G32+G31)+2*(E6+B3*B9*2.5)/B2+3*B16)/1.25</f>
        <v>0.22532881927536233</v>
      </c>
      <c r="E58" s="1">
        <f>(2*(2*G32+G31)+2*(E6+B3*B9*2.5)/B2+6*B16)/2</f>
        <v>0.21065746177536232</v>
      </c>
      <c r="F58" s="1">
        <f t="shared" si="7"/>
        <v>0.21065746177536232</v>
      </c>
      <c r="G58" s="1">
        <f t="shared" si="8"/>
        <v>0.21065746177536232</v>
      </c>
      <c r="H58" s="1" t="str">
        <f t="shared" si="9"/>
        <v>加速</v>
      </c>
      <c r="I58" s="1" t="s">
        <v>119</v>
      </c>
      <c r="J58" s="1">
        <f t="shared" si="10"/>
        <v>2.1065746177536232E-10</v>
      </c>
      <c r="Q58" s="1">
        <f t="shared" si="11"/>
        <v>90661872.781729773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0.75666827134057968</v>
      </c>
      <c r="D59" s="1">
        <f>((2*G57+2*G58)+(3/B2)*(E6+B3*B9*2.5)+4*B16)/1.25</f>
        <v>0.62229802507246368</v>
      </c>
      <c r="E59" s="1">
        <f>(2*(2*G57+2*G58)+(3/B2)*(E6+B3*B9*2.5)+8*B16)/2</f>
        <v>0.67136718786231886</v>
      </c>
      <c r="F59" s="1">
        <f t="shared" si="7"/>
        <v>0.62229802507246368</v>
      </c>
      <c r="G59" s="1">
        <f t="shared" si="8"/>
        <v>0.62229802507246368</v>
      </c>
      <c r="H59" s="1" t="str">
        <f t="shared" si="9"/>
        <v>增产</v>
      </c>
      <c r="I59" s="1" t="s">
        <v>121</v>
      </c>
      <c r="J59" s="1">
        <f t="shared" si="10"/>
        <v>6.2229802507246371E-10</v>
      </c>
      <c r="Q59" s="1">
        <f t="shared" si="11"/>
        <v>30690439.677638471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0.35355531213768115</v>
      </c>
      <c r="D60" s="1">
        <f>((2*G30+G56+G50)+(2/B2)*(F6+2.5*B3*B9)+4*B16)/1.25</f>
        <v>0.29912812171014497</v>
      </c>
      <c r="E60" s="1">
        <f>(2*(2*G30+G56+G50)+(2/B2)*(F6+2.5*B3*B9)+8*B16)/2</f>
        <v>0.28601347387681159</v>
      </c>
      <c r="F60" s="1">
        <f t="shared" si="7"/>
        <v>0.28601347387681159</v>
      </c>
      <c r="G60" s="1">
        <f t="shared" si="8"/>
        <v>0.28601347387681159</v>
      </c>
      <c r="H60" s="1" t="str">
        <f t="shared" si="9"/>
        <v>加速</v>
      </c>
      <c r="I60" s="1" t="s">
        <v>123</v>
      </c>
      <c r="J60" s="1">
        <f t="shared" si="10"/>
        <v>2.8601347387681156E-10</v>
      </c>
      <c r="Q60" s="1">
        <f t="shared" si="11"/>
        <v>66775175.802472606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0.85702409789855061</v>
      </c>
      <c r="D61" s="1">
        <f>((2*G60+2*G50)+(2/B2)*(E6+2.5*B3*B9)+4*B16)/1.25</f>
        <v>0.70190315031884054</v>
      </c>
      <c r="E61" s="1">
        <f>(2*(2*G60+2*G50)+(2/B2)*(E6+2.5*B3*B9)+8*B16)/2</f>
        <v>0.80637537557971006</v>
      </c>
      <c r="F61" s="1">
        <f t="shared" si="7"/>
        <v>0.70190315031884054</v>
      </c>
      <c r="G61" s="1">
        <f t="shared" si="8"/>
        <v>0.70190315031884054</v>
      </c>
      <c r="H61" s="1" t="str">
        <f t="shared" si="9"/>
        <v>增产</v>
      </c>
      <c r="I61" s="1" t="s">
        <v>125</v>
      </c>
      <c r="J61" s="1">
        <f t="shared" si="10"/>
        <v>7.0190315031884059E-10</v>
      </c>
      <c r="Q61" s="1">
        <f t="shared" si="11"/>
        <v>27209736.829538994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((J22+3*G33)+(4/B2)*(E6+B3*B9))</f>
        <v>0.43141084862318835</v>
      </c>
      <c r="D62" s="1">
        <f>((J22+3*G33)+(4/B2)*(E6+B3*B9*2.5)+4*B16)/1.25</f>
        <v>0.36277162289855069</v>
      </c>
      <c r="E62" s="1">
        <f>(2*(J22+3*G33)+(4/B2)*(E6+B3*B9*2.5)+8*B16)/2</f>
        <v>0.31145740398550725</v>
      </c>
      <c r="F62" s="1">
        <f t="shared" si="7"/>
        <v>0.31145740398550725</v>
      </c>
      <c r="G62" s="1">
        <f t="shared" si="8"/>
        <v>0.31145740398550725</v>
      </c>
      <c r="H62" s="1" t="str">
        <f t="shared" si="9"/>
        <v>加速</v>
      </c>
      <c r="I62" s="1" t="s">
        <v>235</v>
      </c>
      <c r="J62" s="1">
        <f t="shared" si="10"/>
        <v>3.1145740398550723E-10</v>
      </c>
      <c r="Q62" s="1">
        <f t="shared" si="11"/>
        <v>61320102.702996574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0.4118314797826087</v>
      </c>
      <c r="D63" s="1">
        <f>((J22+2*G39)+(4/B2)*(F6+2.5*B3*B9)+22*B16)/1.25</f>
        <v>0.41426972782608695</v>
      </c>
      <c r="E63" s="1">
        <f>(2*(J22+2*G39)+(4/B2)*(F6+2.5*B3*B9)+44*B16)/2</f>
        <v>0.34204380326086953</v>
      </c>
      <c r="F63" s="1">
        <f t="shared" si="7"/>
        <v>0.34204380326086953</v>
      </c>
      <c r="G63" s="1">
        <f t="shared" si="8"/>
        <v>0.34204380326086953</v>
      </c>
      <c r="H63" s="1" t="str">
        <f t="shared" si="9"/>
        <v>加速</v>
      </c>
      <c r="I63" s="1" t="s">
        <v>128</v>
      </c>
      <c r="J63" s="1">
        <f t="shared" si="10"/>
        <v>3.4204380326086955E-10</v>
      </c>
      <c r="Q63" s="1">
        <f t="shared" si="11"/>
        <v>55836708.099733949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0.72328888376811595</v>
      </c>
      <c r="D64" s="1">
        <f>((G62+2*G39)+(4/B2)*(F6+2.5*B3*B9)+18*B16)/1.25</f>
        <v>0.6485108510144928</v>
      </c>
      <c r="E64" s="1">
        <f>(2*(G62+2*G39)+(4/B2)*(F6+2.5*B3*B9)+36*B16)/2</f>
        <v>0.63484520724637683</v>
      </c>
      <c r="F64" s="1">
        <f t="shared" si="7"/>
        <v>0.63484520724637683</v>
      </c>
      <c r="G64" s="1">
        <f t="shared" si="8"/>
        <v>0.63484520724637683</v>
      </c>
      <c r="H64" s="1" t="str">
        <f t="shared" si="9"/>
        <v>加速</v>
      </c>
      <c r="I64" s="1" t="s">
        <v>130</v>
      </c>
      <c r="J64" s="1">
        <f t="shared" si="10"/>
        <v>6.3484520724637685E-10</v>
      </c>
      <c r="Q64" s="1">
        <f t="shared" si="11"/>
        <v>30083868.921118014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((D22+2*G53)+(12/B2)*(E6+B3*B9))</f>
        <v>1.6326782458695652</v>
      </c>
      <c r="D65" s="1">
        <f>((D22+2*G53)+(12/B2)*(E6+2.5*B3*B9)+3*B16)/1.25</f>
        <v>1.3254906286956523</v>
      </c>
      <c r="E65" s="1">
        <f>(2*(D22+2*G53)+(12/B2)*(E6+2.5*B3*B9)+6*B16)/2</f>
        <v>1.2308419119565217</v>
      </c>
      <c r="F65" s="1">
        <f t="shared" si="7"/>
        <v>1.2308419119565217</v>
      </c>
      <c r="G65" s="1">
        <f t="shared" si="8"/>
        <v>1.2308419119565217</v>
      </c>
      <c r="H65" s="1" t="str">
        <f t="shared" si="9"/>
        <v>加速</v>
      </c>
      <c r="I65" s="1" t="s">
        <v>132</v>
      </c>
      <c r="J65" s="1">
        <f t="shared" si="10"/>
        <v>1.2308419119565217E-9</v>
      </c>
      <c r="Q65" s="1">
        <f t="shared" si="11"/>
        <v>15516696.185329964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0.33088132905797096</v>
      </c>
      <c r="D66" s="1">
        <f>((2*G31)+(4/B2)*(E6+2.5*B3*B9)+12*B16)/1.25</f>
        <v>0.3121976072463768</v>
      </c>
      <c r="E66" s="1">
        <f>(2*(2*G31)+(4/B2)*(E6+2.5*B3*B9)+24*B16)/2</f>
        <v>0.24823988442028982</v>
      </c>
      <c r="F66" s="1">
        <f t="shared" si="7"/>
        <v>0.24823988442028982</v>
      </c>
      <c r="G66" s="1">
        <f t="shared" si="8"/>
        <v>0.24823988442028982</v>
      </c>
      <c r="H66" s="1" t="str">
        <f t="shared" si="9"/>
        <v>加速</v>
      </c>
      <c r="I66" s="1" t="s">
        <v>134</v>
      </c>
      <c r="J66" s="1">
        <f t="shared" si="10"/>
        <v>2.4823988442028982E-10</v>
      </c>
      <c r="Q66" s="1">
        <f t="shared" si="11"/>
        <v>76936065.469900697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1.8659025402028984</v>
      </c>
      <c r="D67" s="1">
        <f>((2*G61+2*G31+2*G39)+(4/B2)*(F6+2.5*B3*B9)+6*B16)/1.25</f>
        <v>1.5178273761623187</v>
      </c>
      <c r="E67" s="1">
        <f>(2*(2*G61+2*G31+2*G39)+(4/B2)*(F6+2.5*B3*B9)+12*B16)/2</f>
        <v>1.7214908636811592</v>
      </c>
      <c r="F67" s="1">
        <f t="shared" si="7"/>
        <v>1.5178273761623187</v>
      </c>
      <c r="G67" s="1">
        <f t="shared" si="8"/>
        <v>1.5178273761623187</v>
      </c>
      <c r="H67" s="1" t="str">
        <f t="shared" si="9"/>
        <v>增产</v>
      </c>
      <c r="I67" s="1" t="s">
        <v>136</v>
      </c>
      <c r="J67" s="1">
        <f t="shared" si="10"/>
        <v>1.5178273761623187E-9</v>
      </c>
      <c r="Q67" s="1">
        <f t="shared" si="11"/>
        <v>12582853.821156517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((2*B22+2*G30+10*C22)+(8/F2)*(L6+F3*B9))</f>
        <v>1.6600202677536231</v>
      </c>
      <c r="D68" s="1">
        <f>((2*B22+2*G30+10*C22)+(8/F2)*(L6+2.5*F3*B9)+14*B16)/1.25</f>
        <v>1.4708578142028987</v>
      </c>
      <c r="E68" s="1">
        <f>(2*(2*B22+2*G30+10*C22)+(8/F2)*(L6+2.5*F3*B9)+28*B16)/2</f>
        <v>1.2253063981884058</v>
      </c>
      <c r="F68" s="1">
        <f t="shared" si="7"/>
        <v>1.2253063981884058</v>
      </c>
      <c r="G68" s="1">
        <f t="shared" si="8"/>
        <v>1.2253063981884058</v>
      </c>
      <c r="H68" s="1" t="str">
        <f t="shared" si="9"/>
        <v>加速</v>
      </c>
      <c r="I68" s="1" t="s">
        <v>138</v>
      </c>
      <c r="J68" s="1">
        <f t="shared" si="10"/>
        <v>1.2253063981884059E-9</v>
      </c>
      <c r="Q68" s="1">
        <f t="shared" si="11"/>
        <v>15586795.293191113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0.49131362505434778</v>
      </c>
      <c r="D69" s="1">
        <f>((2*G54+G57)+(3/B2)*(E6+2.5*B3*B9)+3*B16)/1.25</f>
        <v>0.40628310804347822</v>
      </c>
      <c r="E69" s="1">
        <f>(2*(2*G54+G57)+(3/B2)*(E6+2.5*B3*B9)+6*B16)/2</f>
        <v>0.4013485415760869</v>
      </c>
      <c r="F69" s="1">
        <f t="shared" si="7"/>
        <v>0.4013485415760869</v>
      </c>
      <c r="G69" s="1">
        <f t="shared" si="8"/>
        <v>0.4013485415760869</v>
      </c>
      <c r="H69" s="1" t="str">
        <f t="shared" si="9"/>
        <v>加速</v>
      </c>
      <c r="I69" s="1" t="s">
        <v>140</v>
      </c>
      <c r="J69" s="1">
        <f t="shared" si="10"/>
        <v>4.0134854157608691E-10</v>
      </c>
      <c r="Q69" s="1">
        <f t="shared" si="11"/>
        <v>47586070.513674267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0.27290788737318838</v>
      </c>
      <c r="D70" s="1">
        <f>((G57)+(3/B2)*(E6+2.5*B3*B9)+2*B16)/1.25</f>
        <v>0.22782731789855074</v>
      </c>
      <c r="E70" s="1">
        <f>(2*(G57)+(3/B2)*(E6+2.5*B3*B9)+4*B16)/2</f>
        <v>0.17827880389492753</v>
      </c>
      <c r="F70" s="1">
        <f t="shared" si="7"/>
        <v>0.17827880389492753</v>
      </c>
      <c r="G70" s="1">
        <f t="shared" si="8"/>
        <v>0.17827880389492753</v>
      </c>
      <c r="H70" s="1" t="str">
        <f t="shared" si="9"/>
        <v>加速</v>
      </c>
      <c r="I70" s="1" t="s">
        <v>142</v>
      </c>
      <c r="J70" s="1">
        <f t="shared" si="10"/>
        <v>1.7827880389492752E-10</v>
      </c>
      <c r="Q70" s="1">
        <f t="shared" si="11"/>
        <v>107127709.9842793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((G39+E22)+(4/B2)*(E6+B3*B9))/2</f>
        <v>0.2453582982699275</v>
      </c>
      <c r="D71" s="1">
        <f>((G39+E22)+(4/B2)*(E6+2.5*B3*B9)+2*B16)/2.5</f>
        <v>0.20137691061594204</v>
      </c>
      <c r="E71" s="1">
        <f>(2*(G39+E22)+(4/B2)*(E6+2.5*B3*B9)+4*B16)/4</f>
        <v>0.18071757595108695</v>
      </c>
      <c r="F71" s="1">
        <f t="shared" si="7"/>
        <v>0.18071757595108695</v>
      </c>
      <c r="G71" s="1">
        <f t="shared" si="8"/>
        <v>0.18071757595108695</v>
      </c>
      <c r="H71" s="1" t="str">
        <f t="shared" si="9"/>
        <v>加速</v>
      </c>
      <c r="I71" s="1" t="s">
        <v>144</v>
      </c>
      <c r="J71" s="1">
        <f t="shared" si="10"/>
        <v>1.8071757595108694E-10</v>
      </c>
      <c r="Q71" s="1">
        <f t="shared" si="11"/>
        <v>105682028.43296897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((2*F22)+(2/F2)*(L6+F3*B9))/2</f>
        <v>0.27925295122765703</v>
      </c>
      <c r="D72" s="1" t="s">
        <v>96</v>
      </c>
      <c r="E72" s="1">
        <f>(2*(2*F22)+(2/F2)*(L6+2.5*F3*B9)+4*B16)/4</f>
        <v>0.22141571753200484</v>
      </c>
      <c r="F72" s="1">
        <f t="shared" si="7"/>
        <v>0.22141571753200484</v>
      </c>
      <c r="G72" s="1">
        <f t="shared" si="8"/>
        <v>0.22141571753200484</v>
      </c>
      <c r="H72" s="1" t="str">
        <f t="shared" si="9"/>
        <v>加速</v>
      </c>
      <c r="I72" s="1" t="s">
        <v>146</v>
      </c>
      <c r="J72" s="1">
        <f t="shared" si="10"/>
        <v>2.2141571753200483E-10</v>
      </c>
      <c r="Q72" s="1">
        <f t="shared" si="11"/>
        <v>86256749.127303332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0.43125249695652168</v>
      </c>
      <c r="D73" s="1">
        <f>((2*G40+G35)+(3/D2)*(I6+2.5*D3*B9)+3*B16)/1.25</f>
        <v>0.3592535095652174</v>
      </c>
      <c r="E73" s="1">
        <f>(2*(2*G40+G35)+(3/D2)*(I6+2.5*D3*B9)+6*B16)/2</f>
        <v>0.36759521684782609</v>
      </c>
      <c r="F73" s="1">
        <f t="shared" si="7"/>
        <v>0.3592535095652174</v>
      </c>
      <c r="G73" s="1">
        <f t="shared" si="8"/>
        <v>0.3592535095652174</v>
      </c>
      <c r="H73" s="1" t="str">
        <f t="shared" si="9"/>
        <v>增产</v>
      </c>
      <c r="I73" s="1" t="s">
        <v>148</v>
      </c>
      <c r="J73" s="1">
        <f t="shared" si="10"/>
        <v>3.5925350956521738E-10</v>
      </c>
      <c r="Q73" s="1">
        <f t="shared" si="11"/>
        <v>53161902.365585431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((2*G41+2*I22+G73)+(8/B2)*(F6+B3*B9))</f>
        <v>1.2374913039130435</v>
      </c>
      <c r="D74" s="1">
        <f>((2*G41+2*I22+G73)+(8/B2)*(F6+2.5*B3*B9)+5*B16)/1.25</f>
        <v>1.0140853311304348</v>
      </c>
      <c r="E74" s="1">
        <f>(2*(2*G41+2*I22+G73)+(8/B2)*(F6+2.5*B3*B9)+10*B16)/2</f>
        <v>0.91601995086956522</v>
      </c>
      <c r="F74" s="1">
        <f t="shared" si="7"/>
        <v>0.91601995086956522</v>
      </c>
      <c r="G74" s="1">
        <f t="shared" si="8"/>
        <v>0.91601995086956522</v>
      </c>
      <c r="H74" s="1" t="str">
        <f t="shared" si="9"/>
        <v>加速</v>
      </c>
      <c r="I74" s="1" t="s">
        <v>150</v>
      </c>
      <c r="J74" s="1">
        <f t="shared" si="10"/>
        <v>9.1601995086956523E-10</v>
      </c>
      <c r="Q74" s="1">
        <f t="shared" si="11"/>
        <v>20849545.888023466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0.17894484842391301</v>
      </c>
      <c r="D75" s="1">
        <f>((3*G39+G33)+(4/D2)*(I6+2.5*D3*B9)+4*B16)/2.5</f>
        <v>0.15265688673913042</v>
      </c>
      <c r="E75" s="1">
        <f>((3*G39+G33)+(2/D2)*(I6+2.5*D3*B9)+4*B16)/2</f>
        <v>0.13650666168478259</v>
      </c>
      <c r="F75" s="1">
        <f t="shared" si="7"/>
        <v>0.13650666168478259</v>
      </c>
      <c r="G75" s="1">
        <f t="shared" si="8"/>
        <v>0.13650666168478259</v>
      </c>
      <c r="H75" s="1" t="str">
        <f t="shared" si="9"/>
        <v>加速</v>
      </c>
      <c r="I75" s="1" t="s">
        <v>152</v>
      </c>
      <c r="J75" s="1">
        <f t="shared" si="10"/>
        <v>1.3650666168478259E-10</v>
      </c>
      <c r="Q75" s="1">
        <f t="shared" si="11"/>
        <v>139909655.42840657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0.13043943934782609</v>
      </c>
      <c r="D76" s="1">
        <f>((G35)+2*(B6+2.5*C3*B9)/C2+B16)/1.25</f>
        <v>0.10944182347826086</v>
      </c>
      <c r="E76" s="1">
        <f>((G35)+1*(B6+2.5*C3*B9)/C2+B16)/1</f>
        <v>9.5865519565217383E-2</v>
      </c>
      <c r="F76" s="1">
        <f t="shared" si="7"/>
        <v>9.5865519565217383E-2</v>
      </c>
      <c r="G76" s="1">
        <f t="shared" si="8"/>
        <v>9.5865519565217383E-2</v>
      </c>
      <c r="H76" s="1" t="str">
        <f t="shared" si="9"/>
        <v>加速</v>
      </c>
      <c r="I76" s="1" t="s">
        <v>227</v>
      </c>
      <c r="J76" s="1">
        <f t="shared" si="10"/>
        <v>9.5865519565217378E-11</v>
      </c>
      <c r="Q76" s="1">
        <f t="shared" si="11"/>
        <v>199222828.88173583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0.13043943934782609</v>
      </c>
      <c r="D77" s="1">
        <f>((G32)+2*(B6+2.5*C3*B9)/C2+B16)/1.25</f>
        <v>0.10944182347826086</v>
      </c>
      <c r="E77" s="1">
        <f>((G32)+1*(B6+2.5*C3*B9)/C2+B16)/1</f>
        <v>9.5865519565217383E-2</v>
      </c>
      <c r="F77" s="1">
        <f t="shared" si="7"/>
        <v>9.5865519565217383E-2</v>
      </c>
      <c r="G77" s="1">
        <f t="shared" si="8"/>
        <v>9.5865519565217383E-2</v>
      </c>
      <c r="H77" s="1" t="str">
        <f t="shared" si="9"/>
        <v>加速</v>
      </c>
      <c r="I77" s="1" t="s">
        <v>228</v>
      </c>
      <c r="J77" s="1">
        <f t="shared" si="10"/>
        <v>9.5865519565217378E-11</v>
      </c>
      <c r="Q77" s="1">
        <f t="shared" si="11"/>
        <v>199222828.88173583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1.1476823130434781</v>
      </c>
      <c r="D78" s="1">
        <f>((2*G73+F40)+(6/D2)*(I6+D3*B9)+4*B16)/1.25</f>
        <v>0.93307065043478254</v>
      </c>
      <c r="E78" s="1">
        <f>((2*G73+F40)+(3/D2)*(I6+D3*B9)+4*B16)/1</f>
        <v>1.0072173628260868</v>
      </c>
      <c r="F78" s="1">
        <f t="shared" si="7"/>
        <v>0.93307065043478254</v>
      </c>
      <c r="G78" s="1">
        <f t="shared" si="8"/>
        <v>0.93307065043478254</v>
      </c>
      <c r="H78" s="1" t="str">
        <f t="shared" si="9"/>
        <v>增产</v>
      </c>
      <c r="I78" s="1" t="s">
        <v>236</v>
      </c>
      <c r="J78" s="1">
        <f t="shared" si="10"/>
        <v>9.3307065043478264E-10</v>
      </c>
      <c r="Q78" s="1">
        <f t="shared" si="11"/>
        <v>20468546.504062295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1.8213125447137681</v>
      </c>
      <c r="D91" s="1">
        <f>((2*G61+3*G42+G35)+(3/B2)*(F6+2.5*B3*B9)+6*B16)/1.25</f>
        <v>1.4814758437710145</v>
      </c>
      <c r="E91" s="1">
        <f>(2*(2*G61+3*G42+G35)+(3/B2)*(F6+2.5*B3*B9)+12*B16)/2</f>
        <v>1.7199997873224637</v>
      </c>
      <c r="F91" s="1">
        <f t="shared" ref="F91:F106" si="12">MIN(C91:E91)</f>
        <v>1.4814758437710145</v>
      </c>
      <c r="G91" s="1">
        <f t="shared" ref="G91:G106" si="13">F91</f>
        <v>1.4814758437710145</v>
      </c>
      <c r="H91" s="1" t="str">
        <f t="shared" ref="H91:H106" si="14">IF(C91=G91,"不使用增产剂","")&amp;IF(D91=G91,"增产","")&amp;IF(E91=G91,"加速","")</f>
        <v>增产</v>
      </c>
      <c r="I91" s="1" t="s">
        <v>155</v>
      </c>
      <c r="J91" s="1">
        <f t="shared" ref="J91:J106" si="15">G91/1000000000</f>
        <v>1.4814758437710145E-9</v>
      </c>
      <c r="Q91" s="1">
        <f t="shared" ref="Q91:Q106" si="16">60*318310/G91</f>
        <v>12891604.058413517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(4*H22+G68)+(6/B2)*(E6+B3*B9)</f>
        <v>1.7169643917753623</v>
      </c>
      <c r="D92" s="1">
        <f>((4*H22+G68)+(6/B2)*(E6+2.5*B3*B9)+5*B16)/1.25</f>
        <v>1.3963047294202897</v>
      </c>
      <c r="E92" s="1">
        <f>(2*(4*H22+G68)+(6/B2)*(E6+2.5*B3*B9)+10*B16)/2</f>
        <v>1.5323702248188407</v>
      </c>
      <c r="F92" s="1">
        <f t="shared" si="12"/>
        <v>1.3963047294202897</v>
      </c>
      <c r="G92" s="1">
        <f t="shared" si="13"/>
        <v>1.3963047294202897</v>
      </c>
      <c r="H92" s="1" t="str">
        <f t="shared" si="14"/>
        <v>增产</v>
      </c>
      <c r="I92" s="1" t="s">
        <v>157</v>
      </c>
      <c r="J92" s="1">
        <f t="shared" si="15"/>
        <v>1.3963047294202897E-9</v>
      </c>
      <c r="Q92" s="1">
        <f t="shared" si="16"/>
        <v>13677959.830394082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4.127204727971014</v>
      </c>
      <c r="D93" s="1">
        <f>((2*G59+2*G65)+(6/B2)*(E6+2.5*B3*B9)+4*B16)/1.25</f>
        <v>3.3207657983768115</v>
      </c>
      <c r="E93" s="1">
        <f>(2*(2*G59+2*G65)+(6/B2)*(E6+2.5*B3*B9)+8*B16)/2</f>
        <v>3.9379465610144924</v>
      </c>
      <c r="F93" s="1">
        <f t="shared" si="12"/>
        <v>3.3207657983768115</v>
      </c>
      <c r="G93" s="1">
        <f t="shared" si="13"/>
        <v>3.3207657983768115</v>
      </c>
      <c r="H93" s="1" t="str">
        <f t="shared" si="14"/>
        <v>增产</v>
      </c>
      <c r="I93" s="1" t="s">
        <v>159</v>
      </c>
      <c r="J93" s="1">
        <f t="shared" si="15"/>
        <v>3.3207657983768117E-9</v>
      </c>
      <c r="Q93" s="1">
        <f t="shared" si="16"/>
        <v>5751263.7625138713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1.1649037859782609</v>
      </c>
      <c r="D94" s="1">
        <f>((4*G41+G52+G32)+(6/B2)*(F6+2.5*B3*B9)+6*B16)/1.25</f>
        <v>0.95838744478260873</v>
      </c>
      <c r="E94" s="1">
        <f>(2*(4*G41+G52+G32)+(6/B2)*(F6+2.5*B3*B9)+12*B16)/2</f>
        <v>0.93429427119565234</v>
      </c>
      <c r="F94" s="1">
        <f t="shared" si="12"/>
        <v>0.93429427119565234</v>
      </c>
      <c r="G94" s="1">
        <f t="shared" si="13"/>
        <v>0.93429427119565234</v>
      </c>
      <c r="H94" s="1" t="str">
        <f t="shared" si="14"/>
        <v>加速</v>
      </c>
      <c r="I94" s="1" t="s">
        <v>161</v>
      </c>
      <c r="J94" s="1">
        <f t="shared" si="15"/>
        <v>9.3429427119565244E-10</v>
      </c>
      <c r="Q94" s="1">
        <f t="shared" si="16"/>
        <v>20441739.38427214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5.9083076827445655</v>
      </c>
      <c r="D95" s="1">
        <f>((3*G94+3*G71+3*G59)+(8/B2)*(F6+2.5*B3*B9)+9*B16)/1.25</f>
        <v>4.7656632341956522</v>
      </c>
      <c r="E95" s="1">
        <f>(2*(3*G94+3*G71+3*G59)+(8/B2)*(F6+2.5*B3*B9)+18*B16)/2</f>
        <v>5.6054923297010877</v>
      </c>
      <c r="F95" s="1">
        <f t="shared" si="12"/>
        <v>4.7656632341956522</v>
      </c>
      <c r="G95" s="1">
        <f t="shared" si="13"/>
        <v>4.7656632341956522</v>
      </c>
      <c r="H95" s="1" t="str">
        <f t="shared" si="14"/>
        <v>增产</v>
      </c>
      <c r="I95" s="1" t="s">
        <v>163</v>
      </c>
      <c r="J95" s="1">
        <f t="shared" si="15"/>
        <v>4.7656632341956519E-9</v>
      </c>
      <c r="Q95" s="1">
        <f t="shared" si="16"/>
        <v>4007542.9297981979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((B22+G59)+(20/B2)*(E6+B3*B9))</f>
        <v>2.2736207558695654</v>
      </c>
      <c r="D96" s="1">
        <f>((B22+G59)+(20/B2)*(E6+2.5*B3*B9)+2*B16)/1.25</f>
        <v>1.8399497246956522</v>
      </c>
      <c r="E96" s="1">
        <f>(2*(B22+G59)+(20/B2)*(E6+2.5*B3*B9)+4*B16)/2</f>
        <v>1.5899015326811592</v>
      </c>
      <c r="F96" s="1">
        <f t="shared" si="12"/>
        <v>1.5899015326811592</v>
      </c>
      <c r="G96" s="1">
        <f t="shared" si="13"/>
        <v>1.5899015326811592</v>
      </c>
      <c r="H96" s="1" t="str">
        <f t="shared" si="14"/>
        <v>加速</v>
      </c>
      <c r="I96" s="1" t="s">
        <v>165</v>
      </c>
      <c r="J96" s="1">
        <f t="shared" si="15"/>
        <v>1.5899015326811592E-9</v>
      </c>
      <c r="Q96" s="1">
        <f t="shared" si="16"/>
        <v>12012442.03330802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0.41596499195470082</v>
      </c>
      <c r="D97" s="1">
        <f>(G114+(10/B2)*(D6+2.5*B3*B9)+B16)/10</f>
        <v>0.33408781356376072</v>
      </c>
      <c r="E97" s="1">
        <f>(2*G114+(10/B2)*(D6+2.5*B3*B9)+2*B16)/16</f>
        <v>0.38379073796919361</v>
      </c>
      <c r="F97" s="1">
        <f t="shared" si="12"/>
        <v>0.33408781356376072</v>
      </c>
      <c r="G97" s="1">
        <f t="shared" si="13"/>
        <v>0.33408781356376072</v>
      </c>
      <c r="H97" s="1" t="str">
        <f t="shared" si="14"/>
        <v>增产</v>
      </c>
      <c r="I97" s="1" t="s">
        <v>167</v>
      </c>
      <c r="J97" s="1">
        <f t="shared" si="15"/>
        <v>3.3408781356376074E-10</v>
      </c>
      <c r="Q97" s="1">
        <f t="shared" si="16"/>
        <v>57166407.227706403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21.427899490830725</v>
      </c>
      <c r="D98" s="1">
        <f>((2*G95+4*G103+2*G93)+(6/B2)*(F6+2.5*B3*B9)+8*B16)/1.25</f>
        <v>17.176246408664582</v>
      </c>
      <c r="E98" s="1">
        <f>(2*(2*G95+4*G103+2*G93)+(6/B2)*(F6+2.5*B3*B9)+16*B16)/2</f>
        <v>21.206617976048118</v>
      </c>
      <c r="F98" s="1">
        <f t="shared" si="12"/>
        <v>17.176246408664582</v>
      </c>
      <c r="G98" s="1">
        <f t="shared" si="13"/>
        <v>17.176246408664582</v>
      </c>
      <c r="H98" s="1" t="str">
        <f t="shared" si="14"/>
        <v>增产</v>
      </c>
      <c r="I98" s="1" t="s">
        <v>169</v>
      </c>
      <c r="J98" s="1">
        <f t="shared" si="15"/>
        <v>1.7176246408664581E-8</v>
      </c>
      <c r="Q98" s="1">
        <f t="shared" si="16"/>
        <v>1111919.3067913654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2.6630513188405799E-2</v>
      </c>
      <c r="D99" s="1">
        <f>((0.5/B2)*(D6+2.5*B3*B9)+B16)/1.25</f>
        <v>2.5375378550724637E-2</v>
      </c>
      <c r="E99" s="1">
        <f>((0.5/B2)*(D6+2.5*B3*B9)+2*B16)/2</f>
        <v>1.8191611594202899E-2</v>
      </c>
      <c r="F99" s="1">
        <f t="shared" si="12"/>
        <v>1.8191611594202899E-2</v>
      </c>
      <c r="G99" s="1">
        <f t="shared" si="13"/>
        <v>1.8191611594202899E-2</v>
      </c>
      <c r="H99" s="1" t="str">
        <f t="shared" si="14"/>
        <v>加速</v>
      </c>
      <c r="I99" s="1" t="s">
        <v>171</v>
      </c>
      <c r="J99" s="1">
        <f t="shared" si="15"/>
        <v>1.8191611594202899E-11</v>
      </c>
      <c r="Q99" s="1">
        <f t="shared" si="16"/>
        <v>1049857507.186781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((2*G99+H22)+(1/B2)*(E6+B3*B9))</f>
        <v>0.12422065042572462</v>
      </c>
      <c r="D100" s="1">
        <f>((2*G99+H22)+(1/B2)*(E6+2.5*B3*B9)+3*B16)/1.25</f>
        <v>0.11124965634057971</v>
      </c>
      <c r="E100" s="1">
        <f>(2*(2*G99+H22)+(1/B2)*(E6+2.5*B3*B9)+6*B16)/2</f>
        <v>0.10356028926630434</v>
      </c>
      <c r="F100" s="1">
        <f t="shared" si="12"/>
        <v>0.10356028926630434</v>
      </c>
      <c r="G100" s="1">
        <f t="shared" si="13"/>
        <v>0.10356028926630434</v>
      </c>
      <c r="H100" s="1" t="str">
        <f t="shared" si="14"/>
        <v>加速</v>
      </c>
      <c r="I100" s="1" t="s">
        <v>173</v>
      </c>
      <c r="J100" s="1">
        <f t="shared" si="15"/>
        <v>1.0356028926630434E-10</v>
      </c>
      <c r="Q100" s="1">
        <f t="shared" si="16"/>
        <v>184420110.59749094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((2*G100+G22)+(2/B2)*(E6+B3*B9))</f>
        <v>0.41573530990942026</v>
      </c>
      <c r="D101" s="1">
        <f>((2*G100+G22)+(2/B2)*(E6+2.5*B3*B9)+3*B16)/1.25</f>
        <v>0.34514091992753626</v>
      </c>
      <c r="E101" s="1">
        <f>(2*(2*G100+G22)+(2/B2)*(E6+2.5*B3*B9)+6*B16)/2</f>
        <v>0.36042258759057971</v>
      </c>
      <c r="F101" s="1">
        <f t="shared" si="12"/>
        <v>0.34514091992753626</v>
      </c>
      <c r="G101" s="1">
        <f t="shared" si="13"/>
        <v>0.34514091992753626</v>
      </c>
      <c r="H101" s="1" t="str">
        <f t="shared" si="14"/>
        <v>增产</v>
      </c>
      <c r="I101" s="1" t="s">
        <v>40</v>
      </c>
      <c r="J101" s="1">
        <f t="shared" si="15"/>
        <v>3.4514091992753626E-10</v>
      </c>
      <c r="Q101" s="1">
        <f t="shared" si="16"/>
        <v>55335658.269699894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0.23559480684782608</v>
      </c>
      <c r="D102" s="1">
        <f>(G33+(6/B2)*(E6+2.5*B3*B9)+11*B16)/2.5</f>
        <v>0.21103605347826085</v>
      </c>
      <c r="E102" s="1">
        <f>(2*G33+(6/B2)*(E6+2.5*B3*B9)+22*B16)/4</f>
        <v>0.1572897233695652</v>
      </c>
      <c r="F102" s="1">
        <f t="shared" si="12"/>
        <v>0.1572897233695652</v>
      </c>
      <c r="G102" s="1">
        <f t="shared" si="13"/>
        <v>0.1572897233695652</v>
      </c>
      <c r="H102" s="1" t="str">
        <f t="shared" si="14"/>
        <v>加速</v>
      </c>
      <c r="I102" s="1" t="s">
        <v>176</v>
      </c>
      <c r="J102" s="1">
        <f t="shared" si="15"/>
        <v>1.572897233695652E-10</v>
      </c>
      <c r="Q102" s="1">
        <f t="shared" si="16"/>
        <v>121423063.06386121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((G52+20*C22+G91)+(12/B2)*(F6+B3*B9))/2</f>
        <v>1.4225863162876813</v>
      </c>
      <c r="D103" s="1">
        <f>((G52+20*C22+G91)+(12/B2)*(F6+2.5*B3*B9)+22*B16)/2.5</f>
        <v>1.183189469030145</v>
      </c>
      <c r="E103" s="1">
        <f>(2*(G52+20*C22+G91)+(12/B2)*(F6+2.5*B3*B9)+44*B16)/4</f>
        <v>1.2152968015050725</v>
      </c>
      <c r="F103" s="1">
        <f t="shared" si="12"/>
        <v>1.183189469030145</v>
      </c>
      <c r="G103" s="1">
        <f t="shared" si="13"/>
        <v>1.183189469030145</v>
      </c>
      <c r="H103" s="1" t="str">
        <f t="shared" si="14"/>
        <v>增产</v>
      </c>
      <c r="I103" s="1" t="s">
        <v>178</v>
      </c>
      <c r="J103" s="1">
        <f t="shared" si="15"/>
        <v>1.183189469030145E-9</v>
      </c>
      <c r="Q103" s="1">
        <f t="shared" si="16"/>
        <v>16141624.397363031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3.5302944068043471</v>
      </c>
      <c r="D104" s="1" t="s">
        <v>96</v>
      </c>
      <c r="E104" s="1">
        <f>(2*(12*G72+G96+G52)+(24/B2)*(G6+2.5*B3*B9)+52*B16)/4</f>
        <v>2.972380681586956</v>
      </c>
      <c r="F104" s="1">
        <f t="shared" si="12"/>
        <v>2.972380681586956</v>
      </c>
      <c r="G104" s="1">
        <f t="shared" si="13"/>
        <v>2.972380681586956</v>
      </c>
      <c r="H104" s="1" t="str">
        <f t="shared" si="14"/>
        <v>加速</v>
      </c>
      <c r="I104" s="1" t="s">
        <v>180</v>
      </c>
      <c r="J104" s="1">
        <f t="shared" si="15"/>
        <v>2.9723806815869561E-9</v>
      </c>
      <c r="Q104" s="1">
        <f t="shared" si="16"/>
        <v>6425354.6385597028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0.65760226764492746</v>
      </c>
      <c r="D105" s="1">
        <f>((2*G51+3*G31)+(4/B2)*(E6+2.5*B3*B9)+5*B16)/1.25</f>
        <v>0.54745595811594205</v>
      </c>
      <c r="E105" s="1">
        <f>(2*(2*G51+3*G31)+(4/B2)*(E6+2.5*B3*B9)+10*B16)/2</f>
        <v>0.54231282300724637</v>
      </c>
      <c r="F105" s="1">
        <f t="shared" si="12"/>
        <v>0.54231282300724637</v>
      </c>
      <c r="G105" s="1">
        <f t="shared" si="13"/>
        <v>0.54231282300724637</v>
      </c>
      <c r="H105" s="1" t="str">
        <f t="shared" si="14"/>
        <v>加速</v>
      </c>
      <c r="I105" s="1" t="s">
        <v>182</v>
      </c>
      <c r="J105" s="1">
        <f t="shared" si="15"/>
        <v>5.4231282300724635E-10</v>
      </c>
      <c r="Q105" s="1">
        <f t="shared" si="16"/>
        <v>35216943.413017556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5.5260890538768122</v>
      </c>
      <c r="D106" s="1">
        <f>((5*G52+5*G61)+(6/B2)*(E6+2.5*B3*B9)+10*B16)/1.25</f>
        <v>4.462260459101449</v>
      </c>
      <c r="E106" s="1">
        <f>(2*(5*G52+5*G61)+(6/B2)*(E6+2.5*B3*B9)+20*B16)/2</f>
        <v>5.3648148869202901</v>
      </c>
      <c r="F106" s="1">
        <f t="shared" si="12"/>
        <v>4.462260459101449</v>
      </c>
      <c r="G106" s="1">
        <f t="shared" si="13"/>
        <v>4.462260459101449</v>
      </c>
      <c r="H106" s="1" t="str">
        <f t="shared" si="14"/>
        <v>增产</v>
      </c>
      <c r="I106" s="1" t="s">
        <v>184</v>
      </c>
      <c r="J106" s="1">
        <f t="shared" si="15"/>
        <v>4.4622604591014492E-9</v>
      </c>
      <c r="Q106" s="1">
        <f t="shared" si="16"/>
        <v>4280028.0653823204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0.41576300965486812</v>
      </c>
      <c r="D110" s="1">
        <f>((G50+G57)+(3/G2)*(P6+2.5*G3*B9)+2*B16)/1.25</f>
        <v>0.34143187972389449</v>
      </c>
      <c r="E110" s="1">
        <f>(2*(G50+G57)+(3/G2)*(P6+2.5*G3*B9)+4*B16)/2</f>
        <v>0.28545387141257894</v>
      </c>
      <c r="F110" s="1">
        <f t="shared" ref="F110:F115" si="17">MIN(C110:E110)</f>
        <v>0.28545387141257894</v>
      </c>
      <c r="G110" s="1">
        <f t="shared" ref="G110:G115" si="18">F110</f>
        <v>0.28545387141257894</v>
      </c>
      <c r="H110" s="1" t="str">
        <f t="shared" ref="H110:H115" si="19">IF(C110=G110,"不使用增产剂","")&amp;IF(D110=G110,"增产","")&amp;IF(E110=G110,"加速","")</f>
        <v>加速</v>
      </c>
      <c r="I110" s="1" t="s">
        <v>187</v>
      </c>
      <c r="J110" s="1">
        <f t="shared" ref="J110:J115" si="20">G110/1000000000</f>
        <v>2.8545387141257892E-10</v>
      </c>
      <c r="Q110" s="1">
        <f t="shared" ref="Q110:Q115" si="21">60*318310/G110</f>
        <v>66906081.551775344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0.66247575253437385</v>
      </c>
      <c r="D111" s="1">
        <f>((2*G35)+(6/G2)*(P6+2.5*G3*B9)+4*B16)/1.25</f>
        <v>0.54762354602749908</v>
      </c>
      <c r="E111" s="1">
        <f>(2*(2*G35)+(6/G2)*(P6+2.5*G3*B9)+8*B16)/2</f>
        <v>0.4018574760497956</v>
      </c>
      <c r="F111" s="1">
        <f t="shared" si="17"/>
        <v>0.4018574760497956</v>
      </c>
      <c r="G111" s="1">
        <f t="shared" si="18"/>
        <v>0.4018574760497956</v>
      </c>
      <c r="H111" s="1" t="str">
        <f t="shared" si="19"/>
        <v>加速</v>
      </c>
      <c r="I111" s="1" t="s">
        <v>189</v>
      </c>
      <c r="J111" s="1">
        <f t="shared" si="20"/>
        <v>4.0185747604979561E-10</v>
      </c>
      <c r="Q111" s="1">
        <f t="shared" si="21"/>
        <v>47525804.889177732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((H22+G62)+(8/G2)*(P6+G3*B9))</f>
        <v>1.0784023328628607</v>
      </c>
      <c r="D112" s="1">
        <f>((H22+G62)+(8/G2)*(P6+2.5*G3*B9)+2*B16)/1.25</f>
        <v>0.87380845829028853</v>
      </c>
      <c r="E112" s="1">
        <f>(2*(H22+G62)+(8/G2)*(P6+2.5*G3*B9)+4*B16)/2</f>
        <v>0.71536463088342317</v>
      </c>
      <c r="F112" s="1">
        <f t="shared" si="17"/>
        <v>0.71536463088342317</v>
      </c>
      <c r="G112" s="1">
        <f t="shared" si="18"/>
        <v>0.71536463088342317</v>
      </c>
      <c r="H112" s="1" t="str">
        <f t="shared" si="19"/>
        <v>加速</v>
      </c>
      <c r="I112" s="1" t="s">
        <v>191</v>
      </c>
      <c r="J112" s="1">
        <f t="shared" si="20"/>
        <v>7.1536463088342315E-10</v>
      </c>
      <c r="Q112" s="1">
        <f t="shared" si="21"/>
        <v>26697713.551220197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3.0971930559630865</v>
      </c>
      <c r="D113" s="1">
        <f>((2*G59+G74)+(10/G2)*(P6+2.5*G3*B9)+3*B16)/1.25</f>
        <v>2.4934782847704691</v>
      </c>
      <c r="E113" s="1">
        <f>(2*(2*G59+G74)+(10/G2)*(P6+2.5*G3*B9)+6*B16)/2</f>
        <v>2.6457279284887898</v>
      </c>
      <c r="F113" s="1">
        <f t="shared" si="17"/>
        <v>2.4934782847704691</v>
      </c>
      <c r="G113" s="1">
        <f t="shared" si="18"/>
        <v>2.4934782847704691</v>
      </c>
      <c r="H113" s="1" t="str">
        <f t="shared" si="19"/>
        <v>增产</v>
      </c>
      <c r="I113" s="1" t="s">
        <v>193</v>
      </c>
      <c r="J113" s="1">
        <f t="shared" si="20"/>
        <v>2.493478284770469E-9</v>
      </c>
      <c r="Q113" s="1">
        <f t="shared" si="21"/>
        <v>7659421.0250995122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3.4824277298368638</v>
      </c>
      <c r="D114" s="1">
        <f>((G93+G92)+(24/G2)*(P6+2.5*G3*B9)+2*B16)/2.5</f>
        <v>2.7951096718694908</v>
      </c>
      <c r="E114" s="1">
        <f>(2*(G93+G92)+(24/G2)*(P6+2.5*G3*B9)+4*B16)/4</f>
        <v>2.9285431768677075</v>
      </c>
      <c r="F114" s="1">
        <f t="shared" si="17"/>
        <v>2.7951096718694908</v>
      </c>
      <c r="G114" s="1">
        <f t="shared" si="18"/>
        <v>2.7951096718694908</v>
      </c>
      <c r="H114" s="1" t="str">
        <f t="shared" si="19"/>
        <v>增产</v>
      </c>
      <c r="I114" s="1" t="s">
        <v>195</v>
      </c>
      <c r="J114" s="1">
        <f t="shared" si="20"/>
        <v>2.7951096718694909E-9</v>
      </c>
      <c r="Q114" s="1">
        <f t="shared" si="21"/>
        <v>6832862.4784250511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8.4189039305928279</v>
      </c>
      <c r="D115" s="1">
        <f>((G110+G111+G112+G113+G114+G72)+(15/G2)*(Q6+2.5*G3*B9)+6*B16)/1.25</f>
        <v>6.7643057044742623</v>
      </c>
      <c r="E115" s="1">
        <f>(2*(G110+G111+G112+G113+G114+G72)+(15/G2)*(Q6+2.5*G3*B9)+12*B16)/2</f>
        <v>7.6980228915552944</v>
      </c>
      <c r="F115" s="1">
        <f t="shared" si="17"/>
        <v>6.7643057044742623</v>
      </c>
      <c r="G115" s="1">
        <f t="shared" si="18"/>
        <v>6.7643057044742623</v>
      </c>
      <c r="H115" s="1" t="str">
        <f t="shared" si="19"/>
        <v>增产</v>
      </c>
      <c r="I115" s="1" t="s">
        <v>197</v>
      </c>
      <c r="J115" s="1">
        <f t="shared" si="20"/>
        <v>6.7643057044742622E-9</v>
      </c>
      <c r="Q115" s="1">
        <f t="shared" si="21"/>
        <v>2823438.3297264636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131" priority="4" operator="equal">
      <formula>"不使用增产剂"</formula>
    </cfRule>
    <cfRule type="cellIs" dxfId="130" priority="5" operator="equal">
      <formula>"加速"</formula>
    </cfRule>
    <cfRule type="cellIs" dxfId="129" priority="6" operator="equal">
      <formula>"增产"</formula>
    </cfRule>
  </conditionalFormatting>
  <conditionalFormatting sqref="A75:B75">
    <cfRule type="cellIs" dxfId="128" priority="10" operator="equal">
      <formula>"不使用增产剂"</formula>
    </cfRule>
    <cfRule type="cellIs" dxfId="127" priority="11" operator="equal">
      <formula>"加速"</formula>
    </cfRule>
    <cfRule type="cellIs" dxfId="126" priority="12" operator="equal">
      <formula>"增产"</formula>
    </cfRule>
  </conditionalFormatting>
  <conditionalFormatting sqref="A49:F49">
    <cfRule type="cellIs" dxfId="125" priority="31" operator="equal">
      <formula>"不使用增产剂"</formula>
    </cfRule>
    <cfRule type="cellIs" dxfId="124" priority="32" operator="equal">
      <formula>"加速"</formula>
    </cfRule>
    <cfRule type="cellIs" dxfId="123" priority="33" operator="equal">
      <formula>"增产"</formula>
    </cfRule>
  </conditionalFormatting>
  <conditionalFormatting sqref="A90:F90">
    <cfRule type="cellIs" dxfId="122" priority="28" operator="equal">
      <formula>"不使用增产剂"</formula>
    </cfRule>
    <cfRule type="cellIs" dxfId="121" priority="29" operator="equal">
      <formula>"加速"</formula>
    </cfRule>
    <cfRule type="cellIs" dxfId="120" priority="30" operator="equal">
      <formula>"增产"</formula>
    </cfRule>
  </conditionalFormatting>
  <conditionalFormatting sqref="A109:F109">
    <cfRule type="cellIs" dxfId="119" priority="25" operator="equal">
      <formula>"不使用增产剂"</formula>
    </cfRule>
    <cfRule type="cellIs" dxfId="118" priority="26" operator="equal">
      <formula>"加速"</formula>
    </cfRule>
    <cfRule type="cellIs" dxfId="117" priority="27" operator="equal">
      <formula>"增产"</formula>
    </cfRule>
  </conditionalFormatting>
  <conditionalFormatting sqref="A26:H38 A39:G42 H39:H49 A43:B44 F43:G44 A45:G47 F48 A50:H74 F75:H78">
    <cfRule type="cellIs" dxfId="116" priority="34" operator="equal">
      <formula>"不使用增产剂"</formula>
    </cfRule>
    <cfRule type="cellIs" dxfId="115" priority="35" operator="equal">
      <formula>"加速"</formula>
    </cfRule>
    <cfRule type="cellIs" dxfId="114" priority="36" operator="equal">
      <formula>"增产"</formula>
    </cfRule>
  </conditionalFormatting>
  <conditionalFormatting sqref="A91:I106">
    <cfRule type="cellIs" dxfId="113" priority="16" operator="equal">
      <formula>"不使用增产剂"</formula>
    </cfRule>
    <cfRule type="cellIs" dxfId="112" priority="17" operator="equal">
      <formula>"加速"</formula>
    </cfRule>
    <cfRule type="cellIs" dxfId="111" priority="18" operator="equal">
      <formula>"增产"</formula>
    </cfRule>
  </conditionalFormatting>
  <conditionalFormatting sqref="A110:I115">
    <cfRule type="cellIs" dxfId="110" priority="13" operator="equal">
      <formula>"不使用增产剂"</formula>
    </cfRule>
    <cfRule type="cellIs" dxfId="109" priority="14" operator="equal">
      <formula>"加速"</formula>
    </cfRule>
    <cfRule type="cellIs" dxfId="108" priority="15" operator="equal">
      <formula>"增产"</formula>
    </cfRule>
  </conditionalFormatting>
  <conditionalFormatting sqref="I30:I45">
    <cfRule type="cellIs" dxfId="107" priority="22" operator="equal">
      <formula>"不使用增产剂"</formula>
    </cfRule>
    <cfRule type="cellIs" dxfId="106" priority="23" operator="equal">
      <formula>"加速"</formula>
    </cfRule>
    <cfRule type="cellIs" dxfId="105" priority="24" operator="equal">
      <formula>"增产"</formula>
    </cfRule>
  </conditionalFormatting>
  <conditionalFormatting sqref="I50:I75">
    <cfRule type="cellIs" dxfId="104" priority="7" operator="equal">
      <formula>"不使用增产剂"</formula>
    </cfRule>
    <cfRule type="cellIs" dxfId="103" priority="8" operator="equal">
      <formula>"加速"</formula>
    </cfRule>
    <cfRule type="cellIs" dxfId="102" priority="9" operator="equal">
      <formula>"增产"</formula>
    </cfRule>
  </conditionalFormatting>
  <conditionalFormatting sqref="I77">
    <cfRule type="cellIs" dxfId="101" priority="1" operator="equal">
      <formula>"不使用增产剂"</formula>
    </cfRule>
    <cfRule type="cellIs" dxfId="100" priority="2" operator="equal">
      <formula>"加速"</formula>
    </cfRule>
    <cfRule type="cellIs" dxfId="99" priority="3" operator="equal">
      <formula>"增产"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opLeftCell="A21" zoomScaleNormal="100" workbookViewId="0">
      <selection activeCell="A21" sqref="A1:XFD104857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0.75</v>
      </c>
      <c r="C2" s="1">
        <v>1</v>
      </c>
      <c r="D2" s="1">
        <v>1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0.27</v>
      </c>
      <c r="C3" s="1">
        <v>0.36</v>
      </c>
      <c r="D3" s="1">
        <v>0.72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239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1000000000</v>
      </c>
      <c r="C9" s="1">
        <f>(F104+F101/74+50*R6)/7200</f>
        <v>12063966.480446927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12050000</v>
      </c>
      <c r="D10" s="1">
        <f>100*R6/7200</f>
        <v>0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100558659.2178771</v>
      </c>
      <c r="C16" s="1">
        <f>F101/74</f>
        <v>100558659.21787709</v>
      </c>
      <c r="D16" s="1">
        <v>0</v>
      </c>
      <c r="E16" s="1">
        <v>97297297.297297299</v>
      </c>
      <c r="F16" s="1">
        <v>97297297.297297299</v>
      </c>
      <c r="G16" s="1">
        <v>100452885.31775019</v>
      </c>
      <c r="H16" s="1">
        <f>(G16-F16)/(1-(E16-G16)/(D16-F16))+F16</f>
        <v>100558659.2178771</v>
      </c>
    </row>
    <row r="17" spans="1:18" ht="15" customHeight="1" x14ac:dyDescent="0.2"/>
    <row r="18" spans="1:18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8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50</v>
      </c>
      <c r="H19" s="1" t="s">
        <v>50</v>
      </c>
      <c r="I19" s="1" t="s">
        <v>50</v>
      </c>
      <c r="J19" s="1">
        <v>0</v>
      </c>
    </row>
    <row r="20" spans="1:18" x14ac:dyDescent="0.2">
      <c r="A20" s="1" t="s">
        <v>51</v>
      </c>
      <c r="B20" s="1">
        <f>G67</f>
        <v>18047141899.441338</v>
      </c>
      <c r="C20" s="1">
        <f>G43</f>
        <v>4363803899.6473684</v>
      </c>
      <c r="D20" s="1">
        <f>G64</f>
        <v>19705978994.41341</v>
      </c>
      <c r="E20" s="1">
        <f>G69</f>
        <v>4680000000</v>
      </c>
      <c r="F20" s="1">
        <f>10*S6</f>
        <v>0</v>
      </c>
      <c r="G20" s="1">
        <f>G75</f>
        <v>2880000000</v>
      </c>
      <c r="H20" s="1">
        <f>G76</f>
        <v>1440000000</v>
      </c>
      <c r="I20" s="1">
        <f>G77</f>
        <v>1440000000</v>
      </c>
      <c r="J20" s="1">
        <f>G78</f>
        <v>16065787709.497208</v>
      </c>
    </row>
    <row r="21" spans="1:18" x14ac:dyDescent="0.2">
      <c r="A21" s="1" t="s">
        <v>52</v>
      </c>
      <c r="B21" s="1">
        <f>G66</f>
        <v>2160000000</v>
      </c>
      <c r="C21" s="1">
        <f>G44</f>
        <v>6000000000</v>
      </c>
      <c r="D21" s="1">
        <f>G63</f>
        <v>2880000000</v>
      </c>
      <c r="E21" s="1">
        <f>G70</f>
        <v>1800000000</v>
      </c>
      <c r="F21" s="1">
        <f>G45</f>
        <v>376094972.06703907</v>
      </c>
      <c r="G21" s="1">
        <f>G41</f>
        <v>1440000000</v>
      </c>
      <c r="H21" s="1">
        <f>G38</f>
        <v>270000000</v>
      </c>
      <c r="I21" s="1">
        <f>G37</f>
        <v>270000000</v>
      </c>
      <c r="J21" s="1" t="s">
        <v>234</v>
      </c>
    </row>
    <row r="22" spans="1:18" x14ac:dyDescent="0.2">
      <c r="A22" s="1" t="s">
        <v>53</v>
      </c>
      <c r="B22" s="1">
        <f>B21</f>
        <v>2160000000</v>
      </c>
      <c r="C22" s="1">
        <f>C19</f>
        <v>0</v>
      </c>
      <c r="D22" s="1">
        <f>D20</f>
        <v>19705978994.41341</v>
      </c>
      <c r="E22" s="1">
        <f>E21</f>
        <v>1800000000</v>
      </c>
      <c r="F22" s="1">
        <f>F20</f>
        <v>0</v>
      </c>
      <c r="G22" s="1">
        <f>G20</f>
        <v>2880000000</v>
      </c>
      <c r="H22" s="1">
        <f>H20</f>
        <v>1440000000</v>
      </c>
      <c r="I22" s="1">
        <f>I20</f>
        <v>1440000000</v>
      </c>
      <c r="J22" s="1">
        <f>J20</f>
        <v>16065787709.497208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360000000</v>
      </c>
      <c r="D30" s="1">
        <f>((B6+C3*B9*2.5)/C2+B16)/1.25</f>
        <v>800446927.37430167</v>
      </c>
      <c r="E30" s="1">
        <f>((B6+C3*B9*2.5)/C2+2*B16)/2</f>
        <v>550558659.21787715</v>
      </c>
      <c r="F30" s="1">
        <f>MIN(C30:E30)</f>
        <v>360000000</v>
      </c>
      <c r="G30" s="1">
        <f>F30</f>
        <v>360000000</v>
      </c>
      <c r="H30" s="1" t="str">
        <f t="shared" ref="H30:H37" si="0">IF(C30=G30,"不使用增产剂","")&amp;IF(D30=G30,"增产","")&amp;IF(E30=G30,"加速","")</f>
        <v>不使用增产剂</v>
      </c>
      <c r="I30" s="1" t="s">
        <v>66</v>
      </c>
      <c r="J30" s="1">
        <f t="shared" ref="J30:J45" si="1">G30/1000000000</f>
        <v>0.36</v>
      </c>
      <c r="Q30" s="1">
        <f t="shared" ref="Q30:Q45" si="2">60*318310/G30</f>
        <v>5.3051666666666664E-2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360000000</v>
      </c>
      <c r="D31" s="1">
        <f>((B6+C3*B9*2.5)/C2+B16)/1.25</f>
        <v>800446927.37430167</v>
      </c>
      <c r="E31" s="1">
        <f>((B6+C3*B9*2.5)/C2+2*B16)/2</f>
        <v>550558659.21787715</v>
      </c>
      <c r="F31" s="1">
        <f t="shared" ref="F31:F44" si="3">MIN(C31:E31)</f>
        <v>360000000</v>
      </c>
      <c r="G31" s="1">
        <f t="shared" ref="G31:G44" si="4">F31</f>
        <v>360000000</v>
      </c>
      <c r="H31" s="1" t="str">
        <f t="shared" si="0"/>
        <v>不使用增产剂</v>
      </c>
      <c r="I31" s="1" t="s">
        <v>69</v>
      </c>
      <c r="J31" s="1">
        <f t="shared" si="1"/>
        <v>0.36</v>
      </c>
      <c r="Q31" s="1">
        <f t="shared" si="2"/>
        <v>5.3051666666666664E-2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720000000</v>
      </c>
      <c r="D32" s="1">
        <f>(2*(B6+C3*B9*2.5)/C2+2*B16)/1.25</f>
        <v>1600893854.7486033</v>
      </c>
      <c r="E32" s="1">
        <f>(2*(B6+C3*B9*2.5)/C2+4*B16)/2</f>
        <v>1101117318.4357543</v>
      </c>
      <c r="F32" s="1">
        <f t="shared" si="3"/>
        <v>720000000</v>
      </c>
      <c r="G32" s="1">
        <f t="shared" si="4"/>
        <v>720000000</v>
      </c>
      <c r="H32" s="1" t="str">
        <f>IF(C32=G32,"不使用增产剂","")&amp;IF(D32=G32,"增产","")&amp;IF(E32=G32,"加速","")</f>
        <v>不使用增产剂</v>
      </c>
      <c r="I32" s="1" t="s">
        <v>71</v>
      </c>
      <c r="J32" s="1">
        <f t="shared" si="1"/>
        <v>0.72</v>
      </c>
      <c r="Q32" s="1">
        <f t="shared" si="2"/>
        <v>2.6525833333333332E-2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720000000</v>
      </c>
      <c r="D33" s="1">
        <f>(2*(B6+C3*B9*2.5)/C2+2*B16)/1.25</f>
        <v>1600893854.7486033</v>
      </c>
      <c r="E33" s="1">
        <f>(2*(B6+C3*B9*2.5)/C2+4*B16)/2</f>
        <v>1101117318.4357543</v>
      </c>
      <c r="F33" s="1">
        <f t="shared" si="3"/>
        <v>720000000</v>
      </c>
      <c r="G33" s="1">
        <f t="shared" si="4"/>
        <v>720000000</v>
      </c>
      <c r="H33" s="1" t="str">
        <f t="shared" si="0"/>
        <v>不使用增产剂</v>
      </c>
      <c r="I33" s="1" t="s">
        <v>73</v>
      </c>
      <c r="J33" s="1">
        <f t="shared" si="1"/>
        <v>0.72</v>
      </c>
      <c r="Q33" s="1">
        <f t="shared" si="2"/>
        <v>2.6525833333333332E-2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360000000</v>
      </c>
      <c r="D34" s="1">
        <f>((B6+C3*B9*2.5)/C2+B16)/1.25</f>
        <v>800446927.37430167</v>
      </c>
      <c r="E34" s="1">
        <f>((B6+C3*B9*2.5)/C2+2*B16)/2</f>
        <v>550558659.21787715</v>
      </c>
      <c r="F34" s="1">
        <f t="shared" si="3"/>
        <v>360000000</v>
      </c>
      <c r="G34" s="1">
        <f t="shared" si="4"/>
        <v>360000000</v>
      </c>
      <c r="H34" s="1" t="str">
        <f t="shared" si="0"/>
        <v>不使用增产剂</v>
      </c>
      <c r="I34" s="1" t="s">
        <v>75</v>
      </c>
      <c r="J34" s="1">
        <f t="shared" si="1"/>
        <v>0.36</v>
      </c>
      <c r="Q34" s="1">
        <f t="shared" si="2"/>
        <v>5.3051666666666664E-2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720000000</v>
      </c>
      <c r="D35" s="1">
        <f>(2*(B6+C3*B9*2.5)/C2+2*B16)/1.25</f>
        <v>1600893854.7486033</v>
      </c>
      <c r="E35" s="1">
        <f>(2*(B6+C3*B9*2.5)/C2+4*B16)/2</f>
        <v>1101117318.4357543</v>
      </c>
      <c r="F35" s="1">
        <f t="shared" si="3"/>
        <v>720000000</v>
      </c>
      <c r="G35" s="1">
        <f t="shared" si="4"/>
        <v>720000000</v>
      </c>
      <c r="H35" s="1" t="str">
        <f t="shared" si="0"/>
        <v>不使用增产剂</v>
      </c>
      <c r="I35" s="1" t="s">
        <v>77</v>
      </c>
      <c r="J35" s="1">
        <f t="shared" si="1"/>
        <v>0.72</v>
      </c>
      <c r="Q35" s="1">
        <f t="shared" si="2"/>
        <v>2.6525833333333332E-2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720000000</v>
      </c>
      <c r="D36" s="1">
        <f>(2*(B6+C3*B9*2.5)/C2+2*B16)/1.25</f>
        <v>1600893854.7486033</v>
      </c>
      <c r="E36" s="1">
        <f>(2*(B6+C3*B9*2.5)/C2+4*B16)/2</f>
        <v>1101117318.4357543</v>
      </c>
      <c r="F36" s="1">
        <f t="shared" si="3"/>
        <v>720000000</v>
      </c>
      <c r="G36" s="1">
        <f t="shared" si="4"/>
        <v>720000000</v>
      </c>
      <c r="H36" s="1" t="str">
        <f t="shared" si="0"/>
        <v>不使用增产剂</v>
      </c>
      <c r="I36" s="1" t="s">
        <v>79</v>
      </c>
      <c r="J36" s="1">
        <f t="shared" si="1"/>
        <v>0.72</v>
      </c>
      <c r="Q36" s="1">
        <f t="shared" si="2"/>
        <v>2.6525833333333332E-2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270000000</v>
      </c>
      <c r="D37" s="1">
        <f>(1.5*(D6+B3*B9*2.5)/B2+B16)/2.5</f>
        <v>580223463.68715084</v>
      </c>
      <c r="E37" s="1">
        <f>(1.5*(D6+B3*B9*2.5)/B2+2*B16)/4</f>
        <v>387779329.60893857</v>
      </c>
      <c r="F37" s="1">
        <f t="shared" si="3"/>
        <v>270000000</v>
      </c>
      <c r="G37" s="1">
        <f t="shared" si="4"/>
        <v>270000000</v>
      </c>
      <c r="H37" s="1" t="str">
        <f t="shared" si="0"/>
        <v>不使用增产剂</v>
      </c>
      <c r="I37" s="1" t="s">
        <v>81</v>
      </c>
      <c r="J37" s="1">
        <f t="shared" si="1"/>
        <v>0.27</v>
      </c>
      <c r="Q37" s="1">
        <f t="shared" si="2"/>
        <v>7.0735555555555552E-2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270000000</v>
      </c>
      <c r="D38" s="1">
        <f>(1.5*(B6+C3*B9*2.5)/C2+B16)/2.5</f>
        <v>580223463.68715084</v>
      </c>
      <c r="E38" s="1">
        <f>(1.5*(B6+C3*B9*2.5)/C2+2*B16)/4</f>
        <v>387779329.60893857</v>
      </c>
      <c r="F38" s="1">
        <f t="shared" si="3"/>
        <v>270000000</v>
      </c>
      <c r="G38" s="1">
        <f t="shared" si="4"/>
        <v>270000000</v>
      </c>
      <c r="H38" s="1" t="str">
        <f>IF(C38=G38,"不使用增产剂","")&amp;IF(D38=G38,"增产","")&amp;IF(E38=G38,"加速","")</f>
        <v>不使用增产剂</v>
      </c>
      <c r="I38" s="1" t="s">
        <v>83</v>
      </c>
      <c r="J38" s="1">
        <f t="shared" si="1"/>
        <v>0.27</v>
      </c>
      <c r="Q38" s="1">
        <f t="shared" si="2"/>
        <v>7.0735555555555552E-2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720000000</v>
      </c>
      <c r="D39" s="1">
        <f>(2*(I6+D3*B9*2.5)/D2+2*B16)/2.5</f>
        <v>1520446927.3743017</v>
      </c>
      <c r="E39" s="1">
        <f>(2*(I6+D3*B9*2.5)/D2+4*B16)/4</f>
        <v>1000558659.2178771</v>
      </c>
      <c r="F39" s="1">
        <f t="shared" si="3"/>
        <v>720000000</v>
      </c>
      <c r="G39" s="1">
        <f t="shared" si="4"/>
        <v>720000000</v>
      </c>
      <c r="H39" s="1" t="str">
        <f t="shared" ref="H39:H45" si="5">IF(C39=G39,"不使用增产剂","")&amp;IF(D39=G39,"增产","")&amp;IF(E39=G39,"加速","")</f>
        <v>不使用增产剂</v>
      </c>
      <c r="I39" s="1" t="s">
        <v>85</v>
      </c>
      <c r="J39" s="1">
        <f t="shared" si="1"/>
        <v>0.72</v>
      </c>
      <c r="Q39" s="1">
        <f t="shared" si="2"/>
        <v>2.6525833333333332E-2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1920000000</v>
      </c>
      <c r="D40" s="1">
        <f>((4/E2)*(N6+B9*E3*2.5)+2*B16)/2.5</f>
        <v>3920446927.3743019</v>
      </c>
      <c r="E40" s="1">
        <f>((4/E2)*(N6+B9*E3*2.5)+4*B16)/4</f>
        <v>2500558659.2178769</v>
      </c>
      <c r="F40" s="1">
        <f t="shared" si="3"/>
        <v>1920000000</v>
      </c>
      <c r="G40" s="1">
        <f t="shared" si="4"/>
        <v>1920000000</v>
      </c>
      <c r="H40" s="1" t="str">
        <f t="shared" si="5"/>
        <v>不使用增产剂</v>
      </c>
      <c r="I40" s="1" t="s">
        <v>87</v>
      </c>
      <c r="J40" s="1">
        <f t="shared" si="1"/>
        <v>1.92</v>
      </c>
      <c r="Q40" s="1">
        <f t="shared" si="2"/>
        <v>9.9471874999999994E-3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1440000000</v>
      </c>
      <c r="D41" s="1">
        <f>(4*(I6+D3*B9*2.5)/D2+6*B16)/2.5</f>
        <v>3121340782.1229048</v>
      </c>
      <c r="E41" s="1">
        <f>(4*(I6+D3*B9*2.5)/D2+12*B16)/4</f>
        <v>2101675977.6536312</v>
      </c>
      <c r="F41" s="1">
        <f t="shared" si="3"/>
        <v>1440000000</v>
      </c>
      <c r="G41" s="1">
        <f t="shared" si="4"/>
        <v>1440000000</v>
      </c>
      <c r="H41" s="1" t="str">
        <f t="shared" si="5"/>
        <v>不使用增产剂</v>
      </c>
      <c r="I41" s="1" t="s">
        <v>89</v>
      </c>
      <c r="J41" s="1">
        <f t="shared" si="1"/>
        <v>1.44</v>
      </c>
      <c r="Q41" s="1">
        <f t="shared" si="2"/>
        <v>1.3262916666666666E-2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540000000</v>
      </c>
      <c r="D42" s="1">
        <f>(1.5*(B6+C3*B9*2.5)/C2+B16)/1.25</f>
        <v>1160446927.3743017</v>
      </c>
      <c r="E42" s="1">
        <f>(1.5*(B6+C3*B9*2.5)/C2+2*B16)/2</f>
        <v>775558659.21787715</v>
      </c>
      <c r="F42" s="1">
        <f t="shared" si="3"/>
        <v>540000000</v>
      </c>
      <c r="G42" s="1">
        <f t="shared" si="4"/>
        <v>540000000</v>
      </c>
      <c r="H42" s="1" t="str">
        <f t="shared" si="5"/>
        <v>不使用增产剂</v>
      </c>
      <c r="I42" s="1" t="s">
        <v>91</v>
      </c>
      <c r="J42" s="1">
        <f t="shared" si="1"/>
        <v>0.54</v>
      </c>
      <c r="Q42" s="1">
        <f t="shared" si="2"/>
        <v>3.5367777777777776E-2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4363803899.6473684</v>
      </c>
      <c r="F43" s="1">
        <f t="shared" si="3"/>
        <v>4363803899.6473684</v>
      </c>
      <c r="G43" s="1">
        <f t="shared" si="4"/>
        <v>4363803899.6473684</v>
      </c>
      <c r="H43" s="1" t="str">
        <f t="shared" si="5"/>
        <v>加速</v>
      </c>
      <c r="I43" s="1" t="s">
        <v>93</v>
      </c>
      <c r="J43" s="1">
        <f t="shared" si="1"/>
        <v>4.363803899647368</v>
      </c>
      <c r="K43" s="1" t="s">
        <v>241</v>
      </c>
      <c r="Q43" s="1">
        <f t="shared" si="2"/>
        <v>4.3765944664798809E-3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6000000000</v>
      </c>
      <c r="D44" s="1">
        <f>(2.5*(J6+F3*B9*2.5)/F2+10*B16)/6.25</f>
        <v>12160893854.748604</v>
      </c>
      <c r="E44" s="1">
        <f>(2.5*(J6+F3*B9*2.5)/F2+20*B16)/10</f>
        <v>7701117318.4357548</v>
      </c>
      <c r="F44" s="1">
        <f t="shared" si="3"/>
        <v>6000000000</v>
      </c>
      <c r="G44" s="1">
        <f t="shared" si="4"/>
        <v>6000000000</v>
      </c>
      <c r="H44" s="1" t="str">
        <f>IF(C44=G44,"不使用增产剂","")&amp;IF(D44=G44,"增产","")&amp;IF(E44=G44,"加速","")</f>
        <v>不使用增产剂</v>
      </c>
      <c r="I44" s="1" t="s">
        <v>97</v>
      </c>
      <c r="J44" s="1">
        <f t="shared" si="1"/>
        <v>6</v>
      </c>
      <c r="Q44" s="1">
        <f t="shared" si="2"/>
        <v>3.1830999999999999E-3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751351955.30726254</v>
      </c>
      <c r="D45" s="1" t="s">
        <v>96</v>
      </c>
      <c r="E45" s="1">
        <f>((0.1*G92)+60*S6+0.1*B16)/24</f>
        <v>376094972.06703907</v>
      </c>
      <c r="F45" s="1">
        <f>MIN(C45:E45)</f>
        <v>376094972.06703907</v>
      </c>
      <c r="G45" s="1">
        <f>F45</f>
        <v>376094972.06703907</v>
      </c>
      <c r="H45" s="1" t="str">
        <f t="shared" si="5"/>
        <v>加速</v>
      </c>
      <c r="I45" s="1" t="s">
        <v>101</v>
      </c>
      <c r="J45" s="1">
        <f t="shared" si="1"/>
        <v>0.37609497206703907</v>
      </c>
      <c r="K45" s="1" t="s">
        <v>240</v>
      </c>
      <c r="Q45" s="1">
        <f t="shared" si="2"/>
        <v>5.0781322321415315E-2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900000000</v>
      </c>
      <c r="D50" s="1">
        <f>((2*G42+G31)+(E6+B3*B9*2.5)/B2+3*B16)/2.5</f>
        <v>1056670391.0614525</v>
      </c>
      <c r="E50" s="1">
        <f>(2*(2*G42+G31)+(E6+2.5*B3*B9)/B2+6*B16)/4</f>
        <v>1095837988.8268156</v>
      </c>
      <c r="F50" s="1">
        <f t="shared" ref="F50:F77" si="6">MIN(C50:E50)</f>
        <v>900000000</v>
      </c>
      <c r="G50" s="1">
        <f t="shared" ref="G50:G77" si="7">F50</f>
        <v>900000000</v>
      </c>
      <c r="H50" s="1" t="str">
        <f t="shared" ref="H50:H77" si="8">IF(C50=G50,"不使用增产剂","")&amp;IF(D50=G50,"增产","")&amp;IF(E50=G50,"加速","")</f>
        <v>不使用增产剂</v>
      </c>
      <c r="I50" s="1" t="s">
        <v>103</v>
      </c>
      <c r="J50" s="1">
        <f t="shared" ref="J50:J78" si="9">G50/1000000000</f>
        <v>0.9</v>
      </c>
      <c r="Q50" s="1">
        <f t="shared" ref="Q50:Q78" si="10">60*318310/G50</f>
        <v>2.1220666666666665E-2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2160000000</v>
      </c>
      <c r="D51" s="1">
        <f>((3*G30)+3*(B6+C3*B9*2.5)/C2+3*B16)/1.25</f>
        <v>3265340782.1229048</v>
      </c>
      <c r="E51" s="1">
        <f>(2*(3*G30)+3*(B6+C3*B9*2.5)/C2+6*B16)/2</f>
        <v>2731675977.6536312</v>
      </c>
      <c r="F51" s="1">
        <f t="shared" si="6"/>
        <v>2160000000</v>
      </c>
      <c r="G51" s="1">
        <f t="shared" si="7"/>
        <v>2160000000</v>
      </c>
      <c r="H51" s="1" t="str">
        <f t="shared" si="8"/>
        <v>不使用增产剂</v>
      </c>
      <c r="I51" s="1" t="s">
        <v>105</v>
      </c>
      <c r="J51" s="1">
        <f t="shared" si="9"/>
        <v>2.16</v>
      </c>
      <c r="Q51" s="1">
        <f t="shared" si="10"/>
        <v>8.8419444444444439E-3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3960000000</v>
      </c>
      <c r="D52" s="1">
        <f>((4*G33+4*G51)+(12/C2)*(C6+C3*B9*2.5)+16*B16)/5</f>
        <v>4785787709.4972067</v>
      </c>
      <c r="E52" s="1">
        <f>(2*(4*G33+4*G51)+(12/C2)*(C6+C3*B9*2.5)+32*B16)/8</f>
        <v>4632234636.8715086</v>
      </c>
      <c r="F52" s="1">
        <f t="shared" si="6"/>
        <v>3960000000</v>
      </c>
      <c r="G52" s="1">
        <f t="shared" si="7"/>
        <v>3960000000</v>
      </c>
      <c r="H52" s="1" t="str">
        <f t="shared" si="8"/>
        <v>不使用增产剂</v>
      </c>
      <c r="I52" s="1" t="s">
        <v>107</v>
      </c>
      <c r="J52" s="1">
        <f t="shared" si="9"/>
        <v>3.96</v>
      </c>
      <c r="Q52" s="1">
        <f t="shared" si="10"/>
        <v>4.8228787878787874E-3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2340000000</v>
      </c>
      <c r="D53" s="1">
        <f>((2*G36+2*G33)+(5/B2)*(F6+2.5*B3*B9)+6*B16)/2.5</f>
        <v>3193340782.1229048</v>
      </c>
      <c r="E53" s="1">
        <f>(2*(2*G36+2*G33)+(5/B2)*(F6+2.5*B3*B9)+12*B16)/4</f>
        <v>2866675977.6536312</v>
      </c>
      <c r="F53" s="1">
        <f t="shared" si="6"/>
        <v>2340000000</v>
      </c>
      <c r="G53" s="1">
        <f t="shared" si="7"/>
        <v>2340000000</v>
      </c>
      <c r="H53" s="1" t="str">
        <f t="shared" si="8"/>
        <v>不使用增产剂</v>
      </c>
      <c r="I53" s="1" t="s">
        <v>109</v>
      </c>
      <c r="J53" s="1">
        <f t="shared" si="9"/>
        <v>2.34</v>
      </c>
      <c r="Q53" s="1">
        <f t="shared" si="10"/>
        <v>8.1617948717948724E-3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1440000000</v>
      </c>
      <c r="D54" s="1">
        <f>((3*G36)+(2/B2)*(D6+B3*B9*2.5)+3*B16)/2.5</f>
        <v>1704670391.0614524</v>
      </c>
      <c r="E54" s="1">
        <f>((6*G36)+(2/B2)*(D6+B3*B9*2.5)+6*B16)/4</f>
        <v>1680837988.8268156</v>
      </c>
      <c r="F54" s="1">
        <f t="shared" si="6"/>
        <v>1440000000</v>
      </c>
      <c r="G54" s="1">
        <f t="shared" si="7"/>
        <v>1440000000</v>
      </c>
      <c r="H54" s="1" t="str">
        <f t="shared" si="8"/>
        <v>不使用增产剂</v>
      </c>
      <c r="I54" s="1" t="s">
        <v>111</v>
      </c>
      <c r="J54" s="1">
        <f t="shared" si="9"/>
        <v>1.44</v>
      </c>
      <c r="Q54" s="1">
        <f t="shared" si="10"/>
        <v>1.3262916666666666E-2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7200000000</v>
      </c>
      <c r="D55" s="1">
        <f>((4*G50+2*G54)+(2/B2)*(E6+2.5*B3*B9)+6*B16)/1.25</f>
        <v>7106681564.2458096</v>
      </c>
      <c r="E55" s="1">
        <f>(2*(4*G50+2*G54)+(2/B2)*(E6+2.5*B3*B9)+12*B16)/2</f>
        <v>7983351955.3072624</v>
      </c>
      <c r="F55" s="1">
        <f t="shared" si="6"/>
        <v>7106681564.2458096</v>
      </c>
      <c r="G55" s="1">
        <f t="shared" si="7"/>
        <v>7106681564.2458096</v>
      </c>
      <c r="H55" s="1" t="str">
        <f t="shared" si="8"/>
        <v>增产</v>
      </c>
      <c r="I55" s="1" t="s">
        <v>113</v>
      </c>
      <c r="J55" s="1">
        <f t="shared" si="9"/>
        <v>7.1066815642458092</v>
      </c>
      <c r="Q55" s="1">
        <f t="shared" si="10"/>
        <v>2.6874146290845977E-3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720000000</v>
      </c>
      <c r="D56" s="1">
        <f>(G30+(1/B2)*(D6+2.5*B3*B9)+B16)/1.25</f>
        <v>1088446927.3743017</v>
      </c>
      <c r="E56" s="1">
        <f>(2*G30+(1/B2)*(D6+2.5*B3*B9)+2*B16)/2</f>
        <v>910558659.21787715</v>
      </c>
      <c r="F56" s="1">
        <f t="shared" si="6"/>
        <v>720000000</v>
      </c>
      <c r="G56" s="1">
        <f t="shared" si="7"/>
        <v>720000000</v>
      </c>
      <c r="H56" s="1" t="str">
        <f t="shared" si="8"/>
        <v>不使用增产剂</v>
      </c>
      <c r="I56" s="1" t="s">
        <v>115</v>
      </c>
      <c r="J56" s="1">
        <f t="shared" si="9"/>
        <v>0.72</v>
      </c>
      <c r="Q56" s="1">
        <f t="shared" si="10"/>
        <v>2.6525833333333332E-2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720000000</v>
      </c>
      <c r="D57" s="1">
        <f>((2*G30+G31)+(E6+B3*B9*2.5)/B2+3*B16)/2.5</f>
        <v>912670391.06145251</v>
      </c>
      <c r="E57" s="1">
        <f>(2*(2*G30+G31)+(E6+B3*B9*2.5)/B2+6*B16)/4</f>
        <v>915837988.82681561</v>
      </c>
      <c r="F57" s="1">
        <f t="shared" si="6"/>
        <v>720000000</v>
      </c>
      <c r="G57" s="1">
        <f t="shared" si="7"/>
        <v>720000000</v>
      </c>
      <c r="H57" s="1" t="str">
        <f t="shared" si="8"/>
        <v>不使用增产剂</v>
      </c>
      <c r="I57" s="1" t="s">
        <v>117</v>
      </c>
      <c r="J57" s="1">
        <f t="shared" si="9"/>
        <v>0.72</v>
      </c>
      <c r="Q57" s="1">
        <f t="shared" si="10"/>
        <v>2.6525833333333332E-2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2520000000</v>
      </c>
      <c r="D58" s="1">
        <f>((2*G32+G31)+2*(E6+B3*B9*2.5)/B2+3*B16)/1.25</f>
        <v>3121340782.1229048</v>
      </c>
      <c r="E58" s="1">
        <f>(2*(2*G32+G31)+2*(E6+B3*B9*2.5)/B2+6*B16)/2</f>
        <v>3001675977.6536312</v>
      </c>
      <c r="F58" s="1">
        <f t="shared" si="6"/>
        <v>2520000000</v>
      </c>
      <c r="G58" s="1">
        <f t="shared" si="7"/>
        <v>2520000000</v>
      </c>
      <c r="H58" s="1" t="str">
        <f t="shared" si="8"/>
        <v>不使用增产剂</v>
      </c>
      <c r="I58" s="1" t="s">
        <v>119</v>
      </c>
      <c r="J58" s="1">
        <f t="shared" si="9"/>
        <v>2.52</v>
      </c>
      <c r="Q58" s="1">
        <f t="shared" si="10"/>
        <v>7.5788095238095241E-3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7560000000</v>
      </c>
      <c r="D59" s="1">
        <f>((2*G57+2*G58)+(3/B2)*(E6+B3*B9*2.5)+4*B16)/1.25</f>
        <v>7665787709.4972057</v>
      </c>
      <c r="E59" s="1">
        <f>(2*(2*G57+2*G58)+(3/B2)*(E6+B3*B9*2.5)+8*B16)/2</f>
        <v>8232234636.8715086</v>
      </c>
      <c r="F59" s="1">
        <f t="shared" si="6"/>
        <v>7560000000</v>
      </c>
      <c r="G59" s="1">
        <f t="shared" si="7"/>
        <v>7560000000</v>
      </c>
      <c r="H59" s="1" t="str">
        <f t="shared" si="8"/>
        <v>不使用增产剂</v>
      </c>
      <c r="I59" s="1" t="s">
        <v>121</v>
      </c>
      <c r="J59" s="1">
        <f t="shared" si="9"/>
        <v>7.56</v>
      </c>
      <c r="Q59" s="1">
        <f t="shared" si="10"/>
        <v>2.5262698412698414E-3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3060000000</v>
      </c>
      <c r="D60" s="1">
        <f>((2*G30+G56+G50)+(2/B2)*(F6+2.5*B3*B9)+4*B16)/1.25</f>
        <v>3633787709.4972067</v>
      </c>
      <c r="E60" s="1">
        <f>(2*(2*G30+G56+G50)+(2/B2)*(F6+2.5*B3*B9)+8*B16)/2</f>
        <v>3642234636.8715086</v>
      </c>
      <c r="F60" s="1">
        <f t="shared" si="6"/>
        <v>3060000000</v>
      </c>
      <c r="G60" s="1">
        <f t="shared" si="7"/>
        <v>3060000000</v>
      </c>
      <c r="H60" s="1" t="str">
        <f t="shared" si="8"/>
        <v>不使用增产剂</v>
      </c>
      <c r="I60" s="1" t="s">
        <v>123</v>
      </c>
      <c r="J60" s="1">
        <f t="shared" si="9"/>
        <v>3.06</v>
      </c>
      <c r="Q60" s="1">
        <f t="shared" si="10"/>
        <v>6.2413725490196078E-3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8640000000</v>
      </c>
      <c r="D61" s="1">
        <f>((2*G60+2*G50)+(2/B2)*(E6+2.5*B3*B9)+4*B16)/1.25</f>
        <v>8097787709.4972057</v>
      </c>
      <c r="E61" s="1">
        <f>(2*(2*G60+2*G50)+(2/B2)*(E6+2.5*B3*B9)+8*B16)/2</f>
        <v>9222234636.8715076</v>
      </c>
      <c r="F61" s="1">
        <f t="shared" si="6"/>
        <v>8097787709.4972057</v>
      </c>
      <c r="G61" s="1">
        <f t="shared" si="7"/>
        <v>8097787709.4972057</v>
      </c>
      <c r="H61" s="1" t="str">
        <f t="shared" si="8"/>
        <v>增产</v>
      </c>
      <c r="I61" s="1" t="s">
        <v>125</v>
      </c>
      <c r="J61" s="1">
        <f t="shared" si="9"/>
        <v>8.0977877094972062</v>
      </c>
      <c r="Q61" s="1">
        <f t="shared" si="10"/>
        <v>2.3584960096695146E-3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((J22+3*G33)+(4/B2)*(E6+B3*B9))</f>
        <v>19665787709.497208</v>
      </c>
      <c r="D62" s="1">
        <f>((J22+3*G33)+(4/B2)*(E6+B3*B9*2.5)+4*B16)/1.25</f>
        <v>17782417877.094975</v>
      </c>
      <c r="E62" s="1">
        <f>(2*(J22+3*G33)+(4/B2)*(E6+B3*B9*2.5)+8*B16)/2</f>
        <v>20428022346.368717</v>
      </c>
      <c r="F62" s="1">
        <f t="shared" si="6"/>
        <v>17782417877.094975</v>
      </c>
      <c r="G62" s="1">
        <f t="shared" si="7"/>
        <v>17782417877.094975</v>
      </c>
      <c r="H62" s="1" t="str">
        <f t="shared" si="8"/>
        <v>增产</v>
      </c>
      <c r="I62" s="1" t="s">
        <v>235</v>
      </c>
      <c r="J62" s="1">
        <f t="shared" si="9"/>
        <v>17.782417877094975</v>
      </c>
      <c r="Q62" s="1">
        <f t="shared" si="10"/>
        <v>1.0740159258432658E-3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2880000000</v>
      </c>
      <c r="D63" s="1">
        <f>((J22+2*G39)+(4/B2)*(F6+2.5*B3*B9)+22*B16)/1.25</f>
        <v>18654462569.832405</v>
      </c>
      <c r="E63" s="1">
        <f>(2*(J22+2*G39)+(4/B2)*(F6+2.5*B3*B9)+44*B16)/2</f>
        <v>21518078212.290504</v>
      </c>
      <c r="F63" s="1">
        <f t="shared" si="6"/>
        <v>2880000000</v>
      </c>
      <c r="G63" s="1">
        <f t="shared" si="7"/>
        <v>2880000000</v>
      </c>
      <c r="H63" s="1" t="str">
        <f t="shared" si="8"/>
        <v>不使用增产剂</v>
      </c>
      <c r="I63" s="1" t="s">
        <v>128</v>
      </c>
      <c r="J63" s="1">
        <f t="shared" si="9"/>
        <v>2.88</v>
      </c>
      <c r="Q63" s="1">
        <f t="shared" si="10"/>
        <v>6.631458333333333E-3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20662417877.094975</v>
      </c>
      <c r="D64" s="1">
        <f>((G62+2*G39)+(4/B2)*(F6+2.5*B3*B9)+18*B16)/1.25</f>
        <v>19705978994.41341</v>
      </c>
      <c r="E64" s="1">
        <f>(2*(G62+2*G39)+(4/B2)*(F6+2.5*B3*B9)+36*B16)/2</f>
        <v>22832473743.016762</v>
      </c>
      <c r="F64" s="1">
        <f t="shared" si="6"/>
        <v>19705978994.41341</v>
      </c>
      <c r="G64" s="1">
        <f t="shared" si="7"/>
        <v>19705978994.41341</v>
      </c>
      <c r="H64" s="1" t="str">
        <f t="shared" si="8"/>
        <v>增产</v>
      </c>
      <c r="I64" s="1" t="s">
        <v>130</v>
      </c>
      <c r="J64" s="1">
        <f t="shared" si="9"/>
        <v>19.70597899441341</v>
      </c>
      <c r="Q64" s="1">
        <f t="shared" si="10"/>
        <v>9.6917793353044782E-4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((D22+2*G53)+(12/B2)*(E6+B3*B9))</f>
        <v>28705978994.41341</v>
      </c>
      <c r="D65" s="1">
        <f>((D22+2*G53)+(12/B2)*(E6+2.5*B3*B9)+3*B16)/1.25</f>
        <v>28390123977.653633</v>
      </c>
      <c r="E65" s="1">
        <f>(2*(D22+2*G53)+(12/B2)*(E6+2.5*B3*B9)+6*B16)/2</f>
        <v>30087654972.067043</v>
      </c>
      <c r="F65" s="1">
        <f t="shared" si="6"/>
        <v>28390123977.653633</v>
      </c>
      <c r="G65" s="1">
        <f t="shared" si="7"/>
        <v>28390123977.653633</v>
      </c>
      <c r="H65" s="1" t="str">
        <f t="shared" si="8"/>
        <v>增产</v>
      </c>
      <c r="I65" s="1" t="s">
        <v>132</v>
      </c>
      <c r="J65" s="1">
        <f t="shared" si="9"/>
        <v>28.390123977653634</v>
      </c>
      <c r="Q65" s="1">
        <f t="shared" si="10"/>
        <v>6.727198519820781E-4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2160000000</v>
      </c>
      <c r="D66" s="1">
        <f>((2*G31)+(4/B2)*(E6+2.5*B3*B9)+12*B16)/1.25</f>
        <v>4421363128.4916201</v>
      </c>
      <c r="E66" s="1">
        <f>(2*(2*G31)+(4/B2)*(E6+2.5*B3*B9)+24*B16)/2</f>
        <v>3726703910.6145253</v>
      </c>
      <c r="F66" s="1">
        <f t="shared" si="6"/>
        <v>2160000000</v>
      </c>
      <c r="G66" s="1">
        <f t="shared" si="7"/>
        <v>2160000000</v>
      </c>
      <c r="H66" s="1" t="str">
        <f t="shared" si="8"/>
        <v>不使用增产剂</v>
      </c>
      <c r="I66" s="1" t="s">
        <v>134</v>
      </c>
      <c r="J66" s="1">
        <f t="shared" si="9"/>
        <v>2.16</v>
      </c>
      <c r="Q66" s="1">
        <f t="shared" si="10"/>
        <v>8.8419444444444439E-3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19795575418.994411</v>
      </c>
      <c r="D67" s="1">
        <f>((2*G61+2*G31+2*G39)+(4/B2)*(F6+2.5*B3*B9)+6*B16)/1.25</f>
        <v>18047141899.441338</v>
      </c>
      <c r="E67" s="1">
        <f>(2*(2*G61+2*G31+2*G39)+(4/B2)*(F6+2.5*B3*B9)+12*B16)/2</f>
        <v>20758927374.301674</v>
      </c>
      <c r="F67" s="1">
        <f t="shared" si="6"/>
        <v>18047141899.441338</v>
      </c>
      <c r="G67" s="1">
        <f t="shared" si="7"/>
        <v>18047141899.441338</v>
      </c>
      <c r="H67" s="1" t="str">
        <f t="shared" si="8"/>
        <v>增产</v>
      </c>
      <c r="I67" s="1" t="s">
        <v>136</v>
      </c>
      <c r="J67" s="1">
        <f t="shared" si="9"/>
        <v>18.047141899441339</v>
      </c>
      <c r="Q67" s="1">
        <f t="shared" si="10"/>
        <v>1.0582617517176619E-3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((2*B22+2*G30+10*C22)+(8/F2)*(L6+F3*B9))</f>
        <v>101040000000</v>
      </c>
      <c r="D68" s="1">
        <f>((2*B22+2*G30+10*C22)+(8/F2)*(L6+2.5*F3*B9)+14*B16)/1.25</f>
        <v>197158256983.24023</v>
      </c>
      <c r="E68" s="1">
        <f>(2*(2*B22+2*G30+10*C22)+(8/F2)*(L6+2.5*F3*B9)+28*B16)/2</f>
        <v>126447821229.05028</v>
      </c>
      <c r="F68" s="1">
        <f t="shared" si="6"/>
        <v>101040000000</v>
      </c>
      <c r="G68" s="1">
        <f t="shared" si="7"/>
        <v>101040000000</v>
      </c>
      <c r="H68" s="1" t="s">
        <v>257</v>
      </c>
      <c r="I68" s="1" t="s">
        <v>138</v>
      </c>
      <c r="J68" s="1">
        <f t="shared" si="9"/>
        <v>101.04</v>
      </c>
      <c r="Q68" s="1">
        <f t="shared" si="10"/>
        <v>1.8902019002375297E-4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4680000000</v>
      </c>
      <c r="D69" s="1">
        <f>((2*G54+G57)+(3/B2)*(E6+2.5*B3*B9)+3*B16)/1.25</f>
        <v>5281340782.1229048</v>
      </c>
      <c r="E69" s="1">
        <f>(2*(2*G54+G57)+(3/B2)*(E6+2.5*B3*B9)+6*B16)/2</f>
        <v>5251675977.6536312</v>
      </c>
      <c r="F69" s="1">
        <f t="shared" si="6"/>
        <v>4680000000</v>
      </c>
      <c r="G69" s="1">
        <f t="shared" si="7"/>
        <v>4680000000</v>
      </c>
      <c r="H69" s="1" t="str">
        <f t="shared" si="8"/>
        <v>不使用增产剂</v>
      </c>
      <c r="I69" s="1" t="s">
        <v>140</v>
      </c>
      <c r="J69" s="1">
        <f t="shared" si="9"/>
        <v>4.68</v>
      </c>
      <c r="Q69" s="1">
        <f t="shared" si="10"/>
        <v>4.0808974358974362E-3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1800000000</v>
      </c>
      <c r="D70" s="1">
        <f>((G57)+(3/B2)*(E6+2.5*B3*B9)+2*B16)/1.25</f>
        <v>2896893854.7486033</v>
      </c>
      <c r="E70" s="1">
        <f>(2*(G57)+(3/B2)*(E6+2.5*B3*B9)+4*B16)/2</f>
        <v>2271117318.4357543</v>
      </c>
      <c r="F70" s="1">
        <f t="shared" si="6"/>
        <v>1800000000</v>
      </c>
      <c r="G70" s="1">
        <f t="shared" si="7"/>
        <v>1800000000</v>
      </c>
      <c r="H70" s="1" t="str">
        <f t="shared" si="8"/>
        <v>不使用增产剂</v>
      </c>
      <c r="I70" s="1" t="s">
        <v>142</v>
      </c>
      <c r="J70" s="1">
        <f t="shared" si="9"/>
        <v>1.8</v>
      </c>
      <c r="Q70" s="1">
        <f t="shared" si="10"/>
        <v>1.0610333333333333E-2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((G39+E22)+(4/B2)*(E6+B3*B9))/2</f>
        <v>1980000000</v>
      </c>
      <c r="D71" s="1">
        <f>((G39+E22)+(4/B2)*(E6+2.5*B3*B9)+2*B16)/2.5</f>
        <v>2528446927.3743014</v>
      </c>
      <c r="E71" s="1">
        <f>(2*(G39+E22)+(4/B2)*(E6+2.5*B3*B9)+4*B16)/4</f>
        <v>2260558659.2178769</v>
      </c>
      <c r="F71" s="1">
        <f t="shared" si="6"/>
        <v>1980000000</v>
      </c>
      <c r="G71" s="1">
        <f t="shared" si="7"/>
        <v>1980000000</v>
      </c>
      <c r="H71" s="1" t="str">
        <f t="shared" si="8"/>
        <v>不使用增产剂</v>
      </c>
      <c r="I71" s="1" t="s">
        <v>144</v>
      </c>
      <c r="J71" s="1">
        <f t="shared" si="9"/>
        <v>1.98</v>
      </c>
      <c r="Q71" s="1">
        <f t="shared" si="10"/>
        <v>9.6457575757575749E-3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((2*F22)+(2/F2)*(L6+F3*B9))/2</f>
        <v>12000000000</v>
      </c>
      <c r="D72" s="1" t="s">
        <v>96</v>
      </c>
      <c r="E72" s="1">
        <f>(2*(2*F22)+(2/F2)*(L6+2.5*F3*B9)+4*B16)/4</f>
        <v>15100558659.217876</v>
      </c>
      <c r="F72" s="1">
        <f t="shared" si="6"/>
        <v>12000000000</v>
      </c>
      <c r="G72" s="1">
        <f t="shared" si="7"/>
        <v>12000000000</v>
      </c>
      <c r="H72" s="1" t="str">
        <f t="shared" si="8"/>
        <v>不使用增产剂</v>
      </c>
      <c r="I72" s="1" t="s">
        <v>146</v>
      </c>
      <c r="J72" s="1">
        <f t="shared" si="9"/>
        <v>12</v>
      </c>
      <c r="Q72" s="1">
        <f t="shared" si="10"/>
        <v>1.59155E-3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6720000000</v>
      </c>
      <c r="D73" s="1">
        <f>((2*G40+G35)+(3/D2)*(I6+2.5*D3*B9)+3*B16)/1.25</f>
        <v>8209340782.1229048</v>
      </c>
      <c r="E73" s="1">
        <f>(2*(2*G40+G35)+(3/D2)*(I6+2.5*D3*B9)+6*B16)/2</f>
        <v>7561675977.6536312</v>
      </c>
      <c r="F73" s="1">
        <f t="shared" si="6"/>
        <v>6720000000</v>
      </c>
      <c r="G73" s="1">
        <f t="shared" si="7"/>
        <v>6720000000</v>
      </c>
      <c r="H73" s="1" t="str">
        <f t="shared" si="8"/>
        <v>不使用增产剂</v>
      </c>
      <c r="I73" s="1" t="s">
        <v>148</v>
      </c>
      <c r="J73" s="1">
        <f t="shared" si="9"/>
        <v>6.72</v>
      </c>
      <c r="Q73" s="1">
        <f t="shared" si="10"/>
        <v>2.8420535714285713E-3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((2*G41+2*I22+G73)+(8/B2)*(F6+B3*B9))</f>
        <v>15360000000</v>
      </c>
      <c r="D74" s="1">
        <f>((2*G41+2*I22+G73)+(8/B2)*(F6+2.5*B3*B9)+5*B16)/1.25</f>
        <v>16146234636.87151</v>
      </c>
      <c r="E74" s="1">
        <f>(2*(2*G41+2*I22+G73)+(8/B2)*(F6+2.5*B3*B9)+10*B16)/2</f>
        <v>16582793296.089386</v>
      </c>
      <c r="F74" s="1">
        <f t="shared" si="6"/>
        <v>15360000000</v>
      </c>
      <c r="G74" s="1">
        <f t="shared" si="7"/>
        <v>15360000000</v>
      </c>
      <c r="H74" s="1" t="str">
        <f t="shared" si="8"/>
        <v>不使用增产剂</v>
      </c>
      <c r="I74" s="1" t="s">
        <v>150</v>
      </c>
      <c r="J74" s="1">
        <f t="shared" si="9"/>
        <v>15.36</v>
      </c>
      <c r="Q74" s="1">
        <f t="shared" si="10"/>
        <v>1.2433984374999999E-3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2880000000</v>
      </c>
      <c r="D75" s="1">
        <f>((3*G39+G33)+(4/D2)*(I6+2.5*D3*B9)+4*B16)/2.5</f>
        <v>4192893854.7486029</v>
      </c>
      <c r="E75" s="1">
        <f>((3*G39+G33)+(2/D2)*(I6+2.5*D3*B9)+4*B16)/2</f>
        <v>3441117318.4357543</v>
      </c>
      <c r="F75" s="1">
        <f t="shared" si="6"/>
        <v>2880000000</v>
      </c>
      <c r="G75" s="1">
        <f t="shared" si="7"/>
        <v>2880000000</v>
      </c>
      <c r="H75" s="1" t="str">
        <f t="shared" si="8"/>
        <v>不使用增产剂</v>
      </c>
      <c r="I75" s="1" t="s">
        <v>152</v>
      </c>
      <c r="J75" s="1">
        <f t="shared" si="9"/>
        <v>2.88</v>
      </c>
      <c r="Q75" s="1">
        <f t="shared" si="10"/>
        <v>6.631458333333333E-3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1440000000</v>
      </c>
      <c r="D76" s="1">
        <f>((G35)+2*(B6+2.5*C3*B9)/C2+B16)/1.25</f>
        <v>2096446927.3743014</v>
      </c>
      <c r="E76" s="1">
        <f>((G35)+1*(B6+2.5*C3*B9)/C2+B16)/1</f>
        <v>1720558659.2178771</v>
      </c>
      <c r="F76" s="1">
        <f t="shared" si="6"/>
        <v>1440000000</v>
      </c>
      <c r="G76" s="1">
        <f t="shared" si="7"/>
        <v>1440000000</v>
      </c>
      <c r="H76" s="1" t="str">
        <f t="shared" si="8"/>
        <v>不使用增产剂</v>
      </c>
      <c r="I76" s="1" t="s">
        <v>227</v>
      </c>
      <c r="J76" s="1">
        <f t="shared" si="9"/>
        <v>1.44</v>
      </c>
      <c r="Q76" s="1">
        <f t="shared" si="10"/>
        <v>1.3262916666666666E-2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1440000000</v>
      </c>
      <c r="D77" s="1">
        <f>((G32)+2*(B6+2.5*C3*B9)/C2+B16)/1.25</f>
        <v>2096446927.3743014</v>
      </c>
      <c r="E77" s="1">
        <f>((G32)+1*(B6+2.5*C3*B9)/C2+B16)/1</f>
        <v>1720558659.2178771</v>
      </c>
      <c r="F77" s="1">
        <f t="shared" si="6"/>
        <v>1440000000</v>
      </c>
      <c r="G77" s="1">
        <f t="shared" si="7"/>
        <v>1440000000</v>
      </c>
      <c r="H77" s="1" t="str">
        <f t="shared" si="8"/>
        <v>不使用增产剂</v>
      </c>
      <c r="I77" s="1" t="s">
        <v>228</v>
      </c>
      <c r="J77" s="1">
        <f t="shared" si="9"/>
        <v>1.44</v>
      </c>
      <c r="Q77" s="1">
        <f t="shared" si="10"/>
        <v>1.3262916666666666E-2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19680000000</v>
      </c>
      <c r="D78" s="1">
        <f>((2*G73+F40)+(6/D2)*(I6+D3*B9)+4*B16)/1.25</f>
        <v>16065787709.497208</v>
      </c>
      <c r="E78" s="1">
        <f>((2*G73+F40)+(3/D2)*(I6+D3*B9)+4*B16)/1</f>
        <v>17922234636.87151</v>
      </c>
      <c r="F78" s="1">
        <f t="shared" ref="F78" si="11">MIN(C78:E78)</f>
        <v>16065787709.497208</v>
      </c>
      <c r="G78" s="1">
        <f t="shared" ref="G78" si="12">F78</f>
        <v>16065787709.497208</v>
      </c>
      <c r="H78" s="1" t="str">
        <f t="shared" ref="H78" si="13">IF(C78=G78,"不使用增产剂","")&amp;IF(D78=G78,"增产","")&amp;IF(E78=G78,"加速","")</f>
        <v>增产</v>
      </c>
      <c r="I78" s="1" t="s">
        <v>236</v>
      </c>
      <c r="J78" s="1">
        <f t="shared" si="9"/>
        <v>16.065787709497208</v>
      </c>
      <c r="Q78" s="1">
        <f t="shared" si="10"/>
        <v>1.1887745777139805E-3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19615575418.994411</v>
      </c>
      <c r="D91" s="1">
        <f>((2*G61+3*G42+G35)+(3/B2)*(F6+2.5*B3*B9)+6*B16)/1.25</f>
        <v>17471141899.441338</v>
      </c>
      <c r="E91" s="1">
        <f>(2*(2*G61+3*G42+G35)+(3/B2)*(F6+2.5*B3*B9)+12*B16)/2</f>
        <v>20488927374.301674</v>
      </c>
      <c r="F91" s="1">
        <f t="shared" ref="F91:F106" si="14">MIN(C91:E91)</f>
        <v>17471141899.441338</v>
      </c>
      <c r="G91" s="1">
        <f t="shared" ref="G91:G106" si="15">F91</f>
        <v>17471141899.441338</v>
      </c>
      <c r="H91" s="1" t="str">
        <f t="shared" ref="H91:H106" si="16">IF(C91=G91,"不使用增产剂","")&amp;IF(D91=G91,"增产","")&amp;IF(E91=G91,"加速","")</f>
        <v>增产</v>
      </c>
      <c r="I91" s="1" t="s">
        <v>155</v>
      </c>
      <c r="J91" s="1">
        <f t="shared" ref="J91:J106" si="17">G91/1000000000</f>
        <v>17.471141899441339</v>
      </c>
      <c r="Q91" s="1">
        <f t="shared" ref="Q91:Q106" si="18">60*318310/G91</f>
        <v>1.0931512152969637E-3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(4*H22+G68)+(6/B2)*(E6+B3*B9)</f>
        <v>108960000000</v>
      </c>
      <c r="D92" s="1">
        <f>((4*H22+G68)+(6/B2)*(E6+2.5*B3*B9)+5*B16)/1.25</f>
        <v>90162234636.871506</v>
      </c>
      <c r="E92" s="1">
        <f>(2*(4*H22+G68)+(6/B2)*(E6+2.5*B3*B9)+10*B16)/2</f>
        <v>110002793296.08939</v>
      </c>
      <c r="F92" s="1">
        <f t="shared" si="14"/>
        <v>90162234636.871506</v>
      </c>
      <c r="G92" s="1">
        <f t="shared" si="15"/>
        <v>90162234636.871506</v>
      </c>
      <c r="H92" s="1" t="str">
        <f t="shared" si="16"/>
        <v>增产</v>
      </c>
      <c r="I92" s="1" t="s">
        <v>157</v>
      </c>
      <c r="J92" s="1">
        <f t="shared" si="17"/>
        <v>90.162234636871503</v>
      </c>
      <c r="Q92" s="1">
        <f t="shared" si="18"/>
        <v>2.1182482972964935E-4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74060247955.307266</v>
      </c>
      <c r="D93" s="1">
        <f>((2*G59+2*G65)+(6/B2)*(E6+2.5*B3*B9)+4*B16)/1.25</f>
        <v>62161986073.743019</v>
      </c>
      <c r="E93" s="1">
        <f>(2*(2*G59+2*G65)+(6/B2)*(E6+2.5*B3*B9)+8*B16)/2</f>
        <v>75002482592.178772</v>
      </c>
      <c r="F93" s="1">
        <f t="shared" si="14"/>
        <v>62161986073.743019</v>
      </c>
      <c r="G93" s="1">
        <f t="shared" si="15"/>
        <v>62161986073.743019</v>
      </c>
      <c r="H93" s="1" t="str">
        <f t="shared" si="16"/>
        <v>增产</v>
      </c>
      <c r="I93" s="1" t="s">
        <v>159</v>
      </c>
      <c r="J93" s="1">
        <f t="shared" si="17"/>
        <v>62.161986073743016</v>
      </c>
      <c r="Q93" s="1">
        <f t="shared" si="18"/>
        <v>3.0723921815083665E-4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12600000000</v>
      </c>
      <c r="D94" s="1">
        <f>((4*G41+G52+G32)+(6/B2)*(F6+2.5*B3*B9)+6*B16)/1.25</f>
        <v>13154681564.24581</v>
      </c>
      <c r="E94" s="1">
        <f>(2*(4*G41+G52+G32)+(6/B2)*(F6+2.5*B3*B9)+12*B16)/2</f>
        <v>13743351955.307262</v>
      </c>
      <c r="F94" s="1">
        <f t="shared" si="14"/>
        <v>12600000000</v>
      </c>
      <c r="G94" s="1">
        <f t="shared" si="15"/>
        <v>12600000000</v>
      </c>
      <c r="H94" s="1" t="str">
        <f t="shared" si="16"/>
        <v>不使用增产剂</v>
      </c>
      <c r="I94" s="1" t="s">
        <v>161</v>
      </c>
      <c r="J94" s="1">
        <f t="shared" si="17"/>
        <v>12.6</v>
      </c>
      <c r="Q94" s="1">
        <f t="shared" si="18"/>
        <v>1.5157619047619047E-3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69300000000</v>
      </c>
      <c r="D95" s="1">
        <f>((3*G94+3*G71+3*G59)+(8/B2)*(F6+2.5*B3*B9)+9*B16)/1.25</f>
        <v>59620022346.368713</v>
      </c>
      <c r="E95" s="1">
        <f>(2*(3*G94+3*G71+3*G59)+(8/B2)*(F6+2.5*B3*B9)+18*B16)/2</f>
        <v>70925027932.960892</v>
      </c>
      <c r="F95" s="1">
        <f t="shared" si="14"/>
        <v>59620022346.368713</v>
      </c>
      <c r="G95" s="1">
        <f t="shared" si="15"/>
        <v>59620022346.368713</v>
      </c>
      <c r="H95" s="1" t="str">
        <f t="shared" si="16"/>
        <v>增产</v>
      </c>
      <c r="I95" s="1" t="s">
        <v>163</v>
      </c>
      <c r="J95" s="1">
        <f t="shared" si="17"/>
        <v>59.620022346368714</v>
      </c>
      <c r="Q95" s="1">
        <f t="shared" si="18"/>
        <v>3.2033869241183271E-4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((B22+G59)+(20/B2)*(E6+B3*B9))</f>
        <v>16920000000</v>
      </c>
      <c r="D96" s="1">
        <f>((B22+G59)+(20/B2)*(E6+2.5*B3*B9)+2*B16)/1.25</f>
        <v>22336893854.748604</v>
      </c>
      <c r="E96" s="1">
        <f>(2*(B22+G59)+(20/B2)*(E6+2.5*B3*B9)+4*B16)/2</f>
        <v>18921117318.435753</v>
      </c>
      <c r="F96" s="1">
        <f t="shared" si="14"/>
        <v>16920000000</v>
      </c>
      <c r="G96" s="1">
        <f t="shared" si="15"/>
        <v>16920000000</v>
      </c>
      <c r="H96" s="1" t="str">
        <f t="shared" si="16"/>
        <v>不使用增产剂</v>
      </c>
      <c r="I96" s="1" t="s">
        <v>165</v>
      </c>
      <c r="J96" s="1">
        <f t="shared" si="17"/>
        <v>16.920000000000002</v>
      </c>
      <c r="Q96" s="1">
        <f t="shared" si="18"/>
        <v>1.1287588652482269E-3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9516266901.4525146</v>
      </c>
      <c r="D97" s="1">
        <f>(G114+(10/B2)*(D6+2.5*B3*B9)+B16)/10</f>
        <v>8163069387.0837994</v>
      </c>
      <c r="E97" s="1">
        <f>(2*G114+(10/B2)*(D6+2.5*B3*B9)+2*B16)/16</f>
        <v>9641336733.8547497</v>
      </c>
      <c r="F97" s="1">
        <f t="shared" si="14"/>
        <v>8163069387.0837994</v>
      </c>
      <c r="G97" s="1">
        <f t="shared" si="15"/>
        <v>8163069387.0837994</v>
      </c>
      <c r="H97" s="1" t="str">
        <f t="shared" si="16"/>
        <v>增产</v>
      </c>
      <c r="I97" s="1" t="s">
        <v>167</v>
      </c>
      <c r="J97" s="1">
        <f t="shared" si="17"/>
        <v>8.1630693870837998</v>
      </c>
      <c r="Q97" s="1">
        <f t="shared" si="18"/>
        <v>2.3396346514240329E-3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297226300639.10614</v>
      </c>
      <c r="D98" s="1">
        <f>((2*G95+4*G103+2*G93)+(6/B2)*(F6+2.5*B3*B9)+8*B16)/1.25</f>
        <v>241016615930.27936</v>
      </c>
      <c r="E98" s="1">
        <f>(2*(2*G95+4*G103+2*G93)+(6/B2)*(F6+2.5*B3*B9)+16*B16)/2</f>
        <v>298570769912.84918</v>
      </c>
      <c r="F98" s="1">
        <f t="shared" si="14"/>
        <v>241016615930.27936</v>
      </c>
      <c r="G98" s="1">
        <f t="shared" si="15"/>
        <v>241016615930.27936</v>
      </c>
      <c r="H98" s="1" t="str">
        <f t="shared" si="16"/>
        <v>增产</v>
      </c>
      <c r="I98" s="1" t="s">
        <v>169</v>
      </c>
      <c r="J98" s="1">
        <f t="shared" si="17"/>
        <v>241.01661593027936</v>
      </c>
      <c r="Q98" s="1">
        <f t="shared" si="18"/>
        <v>7.9241839515018303E-5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180000000</v>
      </c>
      <c r="D99" s="1">
        <f>((0.5/B2)*(D6+2.5*B3*B9)+B16)/1.25</f>
        <v>440446927.37430173</v>
      </c>
      <c r="E99" s="1">
        <f>((0.5/B2)*(D6+2.5*B3*B9)+2*B16)/2</f>
        <v>325558659.21787709</v>
      </c>
      <c r="F99" s="1">
        <f t="shared" si="14"/>
        <v>180000000</v>
      </c>
      <c r="G99" s="1">
        <f t="shared" si="15"/>
        <v>180000000</v>
      </c>
      <c r="H99" s="1" t="str">
        <f t="shared" si="16"/>
        <v>不使用增产剂</v>
      </c>
      <c r="I99" s="1" t="s">
        <v>171</v>
      </c>
      <c r="J99" s="1">
        <f t="shared" si="17"/>
        <v>0.18</v>
      </c>
      <c r="Q99" s="1">
        <f t="shared" si="18"/>
        <v>0.10610333333333333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((2*G99+H22)+(1/B2)*(E6+B3*B9))</f>
        <v>2160000000</v>
      </c>
      <c r="D100" s="1">
        <f>((2*G99+H22)+(1/B2)*(E6+2.5*B3*B9)+3*B16)/1.25</f>
        <v>2401340782.1229048</v>
      </c>
      <c r="E100" s="1">
        <f>(2*(2*G99+H22)+(1/B2)*(E6+2.5*B3*B9)+6*B16)/2</f>
        <v>2551675977.6536312</v>
      </c>
      <c r="F100" s="1">
        <f t="shared" si="14"/>
        <v>2160000000</v>
      </c>
      <c r="G100" s="1">
        <f t="shared" si="15"/>
        <v>2160000000</v>
      </c>
      <c r="H100" s="1" t="str">
        <f t="shared" si="16"/>
        <v>不使用增产剂</v>
      </c>
      <c r="I100" s="1" t="s">
        <v>173</v>
      </c>
      <c r="J100" s="1">
        <f t="shared" si="17"/>
        <v>2.16</v>
      </c>
      <c r="Q100" s="1">
        <f t="shared" si="18"/>
        <v>8.8419444444444439E-3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((2*G100+G22)+(2/B2)*(E6+B3*B9))</f>
        <v>7920000000</v>
      </c>
      <c r="D101" s="1">
        <f>((2*G100+G22)+(2/B2)*(E6+2.5*B3*B9)+3*B16)/1.25</f>
        <v>7441340782.1229048</v>
      </c>
      <c r="E101" s="1">
        <f>(2*(2*G100+G22)+(2/B2)*(E6+2.5*B3*B9)+6*B16)/2</f>
        <v>8401675977.6536312</v>
      </c>
      <c r="F101" s="1">
        <f t="shared" si="14"/>
        <v>7441340782.1229048</v>
      </c>
      <c r="G101" s="1">
        <f t="shared" si="15"/>
        <v>7441340782.1229048</v>
      </c>
      <c r="H101" s="1" t="str">
        <f t="shared" si="16"/>
        <v>增产</v>
      </c>
      <c r="I101" s="1" t="s">
        <v>40</v>
      </c>
      <c r="J101" s="1">
        <f t="shared" si="17"/>
        <v>7.4413407821229045</v>
      </c>
      <c r="Q101" s="1">
        <f t="shared" si="18"/>
        <v>2.5665536036036038E-3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1440000000</v>
      </c>
      <c r="D102" s="1">
        <f>(G33+(6/B2)*(E6+2.5*B3*B9)+11*B16)/2.5</f>
        <v>2890458100.5586596</v>
      </c>
      <c r="E102" s="1">
        <f>(2*G33+(6/B2)*(E6+2.5*B3*B9)+22*B16)/4</f>
        <v>2263072625.6983242</v>
      </c>
      <c r="F102" s="1">
        <f t="shared" si="14"/>
        <v>1440000000</v>
      </c>
      <c r="G102" s="1">
        <f t="shared" si="15"/>
        <v>1440000000</v>
      </c>
      <c r="H102" s="1" t="str">
        <f t="shared" si="16"/>
        <v>不使用增产剂</v>
      </c>
      <c r="I102" s="1" t="s">
        <v>176</v>
      </c>
      <c r="J102" s="1">
        <f t="shared" si="17"/>
        <v>1.44</v>
      </c>
      <c r="Q102" s="1">
        <f t="shared" si="18"/>
        <v>1.3262916666666666E-2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((G52+20*C22+G91)+(12/B2)*(F6+B3*B9))/2</f>
        <v>12875570949.720669</v>
      </c>
      <c r="D103" s="1">
        <f>((G52+20*C22+G91)+(12/B2)*(F6+2.5*B3*B9)+22*B16)/2.5</f>
        <v>13777372960.893854</v>
      </c>
      <c r="E103" s="1">
        <f>(2*(G52+20*C22+G91)+(12/B2)*(F6+2.5*B3*B9)+44*B16)/4</f>
        <v>14521716201.117317</v>
      </c>
      <c r="F103" s="1">
        <f t="shared" si="14"/>
        <v>12875570949.720669</v>
      </c>
      <c r="G103" s="1">
        <f t="shared" si="15"/>
        <v>12875570949.720669</v>
      </c>
      <c r="H103" s="1" t="str">
        <f t="shared" si="16"/>
        <v>不使用增产剂</v>
      </c>
      <c r="I103" s="1" t="s">
        <v>178</v>
      </c>
      <c r="J103" s="1">
        <f t="shared" si="17"/>
        <v>12.875570949720668</v>
      </c>
      <c r="Q103" s="1">
        <f t="shared" si="18"/>
        <v>1.4833206290098024E-3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86760000000</v>
      </c>
      <c r="D104" s="1" t="s">
        <v>96</v>
      </c>
      <c r="E104" s="1">
        <f>(2*(12*G72+G96+G52)+(24/B2)*(G6+2.5*B3*B9)+52*B16)/4</f>
        <v>89147262569.832397</v>
      </c>
      <c r="F104" s="1">
        <f t="shared" si="14"/>
        <v>86760000000</v>
      </c>
      <c r="G104" s="1">
        <f t="shared" si="15"/>
        <v>86760000000</v>
      </c>
      <c r="H104" s="1" t="str">
        <f t="shared" si="16"/>
        <v>不使用增产剂</v>
      </c>
      <c r="I104" s="1" t="s">
        <v>180</v>
      </c>
      <c r="J104" s="1">
        <f t="shared" si="17"/>
        <v>86.76</v>
      </c>
      <c r="Q104" s="1">
        <f t="shared" si="18"/>
        <v>2.2013139695712311E-4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6840000000</v>
      </c>
      <c r="D105" s="1">
        <f>((2*G51+3*G31)+(4/B2)*(E6+2.5*B3*B9)+5*B16)/1.25</f>
        <v>7602234636.8715086</v>
      </c>
      <c r="E105" s="1">
        <f>(2*(2*G51+3*G31)+(4/B2)*(E6+2.5*B3*B9)+10*B16)/2</f>
        <v>7702793296.089386</v>
      </c>
      <c r="F105" s="1">
        <f t="shared" si="14"/>
        <v>6840000000</v>
      </c>
      <c r="G105" s="1">
        <f t="shared" si="15"/>
        <v>6840000000</v>
      </c>
      <c r="H105" s="1" t="str">
        <f t="shared" si="16"/>
        <v>不使用增产剂</v>
      </c>
      <c r="I105" s="1" t="s">
        <v>182</v>
      </c>
      <c r="J105" s="1">
        <f t="shared" si="17"/>
        <v>6.84</v>
      </c>
      <c r="Q105" s="1">
        <f t="shared" si="18"/>
        <v>2.7921929824561405E-3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62448938547.486031</v>
      </c>
      <c r="D106" s="1">
        <f>((5*G52+5*G61)+(6/B2)*(E6+2.5*B3*B9)+10*B16)/1.25</f>
        <v>53355620111.731842</v>
      </c>
      <c r="E106" s="1">
        <f>(2*(5*G52+5*G61)+(6/B2)*(E6+2.5*B3*B9)+20*B16)/2</f>
        <v>63994525139.664803</v>
      </c>
      <c r="F106" s="1">
        <f t="shared" si="14"/>
        <v>53355620111.731842</v>
      </c>
      <c r="G106" s="1">
        <f t="shared" si="15"/>
        <v>53355620111.731842</v>
      </c>
      <c r="H106" s="1" t="str">
        <f t="shared" si="16"/>
        <v>增产</v>
      </c>
      <c r="I106" s="1" t="s">
        <v>184</v>
      </c>
      <c r="J106" s="1">
        <f t="shared" si="17"/>
        <v>53.355620111731845</v>
      </c>
      <c r="Q106" s="1">
        <f t="shared" si="18"/>
        <v>3.5794917124017453E-4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3060000000</v>
      </c>
      <c r="D110" s="1">
        <f>((G50+G57)+(3/G2)*(P6+2.5*G3*B9)+2*B16)/1.25</f>
        <v>4336893854.7486029</v>
      </c>
      <c r="E110" s="1">
        <f>(2*(G50+G57)+(3/G2)*(P6+2.5*G3*B9)+4*B16)/2</f>
        <v>3621117318.4357543</v>
      </c>
      <c r="F110" s="1">
        <f t="shared" ref="F110:F115" si="19">MIN(C110:E110)</f>
        <v>3060000000</v>
      </c>
      <c r="G110" s="1">
        <f t="shared" ref="G110:G115" si="20">F110</f>
        <v>3060000000</v>
      </c>
      <c r="H110" s="1" t="str">
        <f t="shared" ref="H110:H115" si="21">IF(C110=G110,"不使用增产剂","")&amp;IF(D110=G110,"增产","")&amp;IF(E110=G110,"加速","")</f>
        <v>不使用增产剂</v>
      </c>
      <c r="I110" s="1" t="s">
        <v>187</v>
      </c>
      <c r="J110" s="1">
        <f t="shared" ref="J110:J115" si="22">G110/1000000000</f>
        <v>3.06</v>
      </c>
      <c r="Q110" s="1">
        <f t="shared" ref="Q110:Q115" si="23">60*318310/G110</f>
        <v>6.2413725490196078E-3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4320000000</v>
      </c>
      <c r="D111" s="1">
        <f>((2*G35)+(6/G2)*(P6+2.5*G3*B9)+4*B16)/1.25</f>
        <v>7233787709.4972057</v>
      </c>
      <c r="E111" s="1">
        <f>(2*(2*G35)+(6/G2)*(P6+2.5*G3*B9)+8*B16)/2</f>
        <v>5442234636.8715086</v>
      </c>
      <c r="F111" s="1">
        <f t="shared" si="19"/>
        <v>4320000000</v>
      </c>
      <c r="G111" s="1">
        <f t="shared" si="20"/>
        <v>4320000000</v>
      </c>
      <c r="H111" s="1" t="str">
        <f t="shared" si="21"/>
        <v>不使用增产剂</v>
      </c>
      <c r="I111" s="1" t="s">
        <v>189</v>
      </c>
      <c r="J111" s="1">
        <f t="shared" si="22"/>
        <v>4.32</v>
      </c>
      <c r="Q111" s="1">
        <f t="shared" si="23"/>
        <v>4.420972222222222E-3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((H22+G62)+(8/G2)*(P6+G3*B9))</f>
        <v>23062417877.094975</v>
      </c>
      <c r="D112" s="1">
        <f>((H22+G62)+(8/G2)*(P6+2.5*G3*B9)+2*B16)/1.25</f>
        <v>23218828156.424583</v>
      </c>
      <c r="E112" s="1">
        <f>(2*(H22+G62)+(8/G2)*(P6+2.5*G3*B9)+4*B16)/2</f>
        <v>24223535195.530727</v>
      </c>
      <c r="F112" s="1">
        <f t="shared" si="19"/>
        <v>23062417877.094975</v>
      </c>
      <c r="G112" s="1">
        <f t="shared" si="20"/>
        <v>23062417877.094975</v>
      </c>
      <c r="H112" s="1" t="str">
        <f t="shared" si="21"/>
        <v>不使用增产剂</v>
      </c>
      <c r="I112" s="1" t="s">
        <v>191</v>
      </c>
      <c r="J112" s="1">
        <f t="shared" si="22"/>
        <v>23.062417877094976</v>
      </c>
      <c r="Q112" s="1">
        <f t="shared" si="23"/>
        <v>8.2812652609890738E-4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35280000000</v>
      </c>
      <c r="D113" s="1">
        <f>((2*G59+G74)+(10/G2)*(P6+2.5*G3*B9)+3*B16)/1.25</f>
        <v>34225340782.122906</v>
      </c>
      <c r="E113" s="1">
        <f>(2*(2*G59+G74)+(10/G2)*(P6+2.5*G3*B9)+6*B16)/2</f>
        <v>36781675977.653633</v>
      </c>
      <c r="F113" s="1">
        <f t="shared" si="19"/>
        <v>34225340782.122906</v>
      </c>
      <c r="G113" s="1">
        <f t="shared" si="20"/>
        <v>34225340782.122906</v>
      </c>
      <c r="H113" s="1" t="str">
        <f t="shared" si="21"/>
        <v>增产</v>
      </c>
      <c r="I113" s="1" t="s">
        <v>193</v>
      </c>
      <c r="J113" s="1">
        <f t="shared" si="22"/>
        <v>34.225340782122906</v>
      </c>
      <c r="Q113" s="1">
        <f t="shared" si="23"/>
        <v>5.5802512300990345E-4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81922110355.307266</v>
      </c>
      <c r="D114" s="1">
        <f>((G93+G92)+(24/G2)*(P6+2.5*G3*B9)+2*B16)/2.5</f>
        <v>72530135211.620117</v>
      </c>
      <c r="E114" s="1">
        <f>(2*(G93+G92)+(24/G2)*(P6+2.5*G3*B9)+4*B16)/4</f>
        <v>83462669014.525146</v>
      </c>
      <c r="F114" s="1">
        <f t="shared" si="19"/>
        <v>72530135211.620117</v>
      </c>
      <c r="G114" s="1">
        <f t="shared" si="20"/>
        <v>72530135211.620117</v>
      </c>
      <c r="H114" s="1" t="str">
        <f t="shared" si="21"/>
        <v>增产</v>
      </c>
      <c r="I114" s="1" t="s">
        <v>195</v>
      </c>
      <c r="J114" s="1">
        <f t="shared" si="22"/>
        <v>72.53013521162012</v>
      </c>
      <c r="Q114" s="1">
        <f t="shared" si="23"/>
        <v>2.6331951463038494E-4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156397893870.83801</v>
      </c>
      <c r="D115" s="1">
        <f>((G110+G111+G112+G113+G114+G72)+(15/G2)*(Q6+2.5*G3*B9)+6*B16)/1.25</f>
        <v>134240996660.91621</v>
      </c>
      <c r="E115" s="1">
        <f>(2*(G110+G111+G112+G113+G114+G72)+(15/G2)*(Q6+2.5*G3*B9)+12*B16)/2</f>
        <v>158801245826.14526</v>
      </c>
      <c r="F115" s="1">
        <f t="shared" si="19"/>
        <v>134240996660.91621</v>
      </c>
      <c r="G115" s="1">
        <f t="shared" si="20"/>
        <v>134240996660.91621</v>
      </c>
      <c r="H115" s="1" t="str">
        <f t="shared" si="21"/>
        <v>增产</v>
      </c>
      <c r="I115" s="1" t="s">
        <v>197</v>
      </c>
      <c r="J115" s="1">
        <f t="shared" si="22"/>
        <v>134.24099666091621</v>
      </c>
      <c r="Q115" s="1">
        <f t="shared" si="23"/>
        <v>1.4227099377280242E-4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98" priority="4" operator="equal">
      <formula>"不使用增产剂"</formula>
    </cfRule>
    <cfRule type="cellIs" dxfId="97" priority="5" operator="equal">
      <formula>"加速"</formula>
    </cfRule>
    <cfRule type="cellIs" dxfId="96" priority="6" operator="equal">
      <formula>"增产"</formula>
    </cfRule>
  </conditionalFormatting>
  <conditionalFormatting sqref="A75:B75">
    <cfRule type="cellIs" dxfId="95" priority="10" operator="equal">
      <formula>"不使用增产剂"</formula>
    </cfRule>
    <cfRule type="cellIs" dxfId="94" priority="11" operator="equal">
      <formula>"加速"</formula>
    </cfRule>
    <cfRule type="cellIs" dxfId="93" priority="12" operator="equal">
      <formula>"增产"</formula>
    </cfRule>
  </conditionalFormatting>
  <conditionalFormatting sqref="A49:F49">
    <cfRule type="cellIs" dxfId="92" priority="31" operator="equal">
      <formula>"不使用增产剂"</formula>
    </cfRule>
    <cfRule type="cellIs" dxfId="91" priority="32" operator="equal">
      <formula>"加速"</formula>
    </cfRule>
    <cfRule type="cellIs" dxfId="90" priority="33" operator="equal">
      <formula>"增产"</formula>
    </cfRule>
  </conditionalFormatting>
  <conditionalFormatting sqref="A90:F90">
    <cfRule type="cellIs" dxfId="89" priority="28" operator="equal">
      <formula>"不使用增产剂"</formula>
    </cfRule>
    <cfRule type="cellIs" dxfId="88" priority="29" operator="equal">
      <formula>"加速"</formula>
    </cfRule>
    <cfRule type="cellIs" dxfId="87" priority="30" operator="equal">
      <formula>"增产"</formula>
    </cfRule>
  </conditionalFormatting>
  <conditionalFormatting sqref="A109:F109">
    <cfRule type="cellIs" dxfId="86" priority="25" operator="equal">
      <formula>"不使用增产剂"</formula>
    </cfRule>
    <cfRule type="cellIs" dxfId="85" priority="26" operator="equal">
      <formula>"加速"</formula>
    </cfRule>
    <cfRule type="cellIs" dxfId="84" priority="27" operator="equal">
      <formula>"增产"</formula>
    </cfRule>
  </conditionalFormatting>
  <conditionalFormatting sqref="A26:H38 A39:G42 H39:H49 A43:B44 F43:G44 A45:G47 F48 A50:H74 F75:H78">
    <cfRule type="cellIs" dxfId="83" priority="34" operator="equal">
      <formula>"不使用增产剂"</formula>
    </cfRule>
    <cfRule type="cellIs" dxfId="82" priority="35" operator="equal">
      <formula>"加速"</formula>
    </cfRule>
    <cfRule type="cellIs" dxfId="81" priority="36" operator="equal">
      <formula>"增产"</formula>
    </cfRule>
  </conditionalFormatting>
  <conditionalFormatting sqref="A91:I106">
    <cfRule type="cellIs" dxfId="80" priority="16" operator="equal">
      <formula>"不使用增产剂"</formula>
    </cfRule>
    <cfRule type="cellIs" dxfId="79" priority="17" operator="equal">
      <formula>"加速"</formula>
    </cfRule>
    <cfRule type="cellIs" dxfId="78" priority="18" operator="equal">
      <formula>"增产"</formula>
    </cfRule>
  </conditionalFormatting>
  <conditionalFormatting sqref="A110:I115">
    <cfRule type="cellIs" dxfId="77" priority="13" operator="equal">
      <formula>"不使用增产剂"</formula>
    </cfRule>
    <cfRule type="cellIs" dxfId="76" priority="14" operator="equal">
      <formula>"加速"</formula>
    </cfRule>
    <cfRule type="cellIs" dxfId="75" priority="15" operator="equal">
      <formula>"增产"</formula>
    </cfRule>
  </conditionalFormatting>
  <conditionalFormatting sqref="I30:I45">
    <cfRule type="cellIs" dxfId="74" priority="22" operator="equal">
      <formula>"不使用增产剂"</formula>
    </cfRule>
    <cfRule type="cellIs" dxfId="73" priority="23" operator="equal">
      <formula>"加速"</formula>
    </cfRule>
    <cfRule type="cellIs" dxfId="72" priority="24" operator="equal">
      <formula>"增产"</formula>
    </cfRule>
  </conditionalFormatting>
  <conditionalFormatting sqref="I50:I75">
    <cfRule type="cellIs" dxfId="71" priority="7" operator="equal">
      <formula>"不使用增产剂"</formula>
    </cfRule>
    <cfRule type="cellIs" dxfId="70" priority="8" operator="equal">
      <formula>"加速"</formula>
    </cfRule>
    <cfRule type="cellIs" dxfId="69" priority="9" operator="equal">
      <formula>"增产"</formula>
    </cfRule>
  </conditionalFormatting>
  <conditionalFormatting sqref="I77">
    <cfRule type="cellIs" dxfId="68" priority="1" operator="equal">
      <formula>"不使用增产剂"</formula>
    </cfRule>
    <cfRule type="cellIs" dxfId="67" priority="2" operator="equal">
      <formula>"加速"</formula>
    </cfRule>
    <cfRule type="cellIs" dxfId="66" priority="3" operator="equal">
      <formula>"增产"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C8A9-7C54-4842-8B05-8B5DB1C635F2}">
  <dimension ref="A1:U115"/>
  <sheetViews>
    <sheetView topLeftCell="C1" workbookViewId="0">
      <selection activeCell="G30" sqref="G30:I115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1</f>
        <v>1</v>
      </c>
    </row>
    <row r="3" spans="1:21" x14ac:dyDescent="0.2">
      <c r="A3" s="1" t="s">
        <v>9</v>
      </c>
      <c r="B3" s="1">
        <v>0.24</v>
      </c>
      <c r="C3" s="1">
        <v>0.24</v>
      </c>
      <c r="D3" s="1">
        <v>0.24</v>
      </c>
      <c r="E3" s="1">
        <v>0.24</v>
      </c>
      <c r="F3" s="1">
        <v>0.24</v>
      </c>
      <c r="G3" s="1">
        <v>0.24</v>
      </c>
      <c r="H3" s="1">
        <v>0.24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0</v>
      </c>
      <c r="C9" s="1">
        <f>(F104+F101/74+50*R6)/7200</f>
        <v>2.1840277777777778E-2</v>
      </c>
      <c r="D9" s="1">
        <f>50*R6/7200</f>
        <v>6.9444444444444441E-3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2.8750000000000001E-2</v>
      </c>
      <c r="D10" s="1">
        <f>100*R6/7200</f>
        <v>1.3888888888888888E-2</v>
      </c>
    </row>
    <row r="15" spans="1:21" x14ac:dyDescent="0.2">
      <c r="A15" s="1" t="s">
        <v>37</v>
      </c>
      <c r="B15" s="1" t="s">
        <v>38</v>
      </c>
      <c r="C15" s="1" t="s">
        <v>39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</row>
    <row r="16" spans="1:21" ht="14.25" customHeight="1" x14ac:dyDescent="0.2">
      <c r="A16" s="1" t="s">
        <v>40</v>
      </c>
      <c r="B16" s="1">
        <v>100558659.2178771</v>
      </c>
      <c r="C16" s="1">
        <f>F101/74</f>
        <v>0.25</v>
      </c>
      <c r="D16" s="1">
        <v>0</v>
      </c>
      <c r="E16" s="1">
        <v>97297297.297297299</v>
      </c>
      <c r="F16" s="1">
        <v>97297297.297297299</v>
      </c>
      <c r="G16" s="1">
        <v>100452885.31775019</v>
      </c>
      <c r="H16" s="1">
        <f>(G16-F16)/(1-(E16-G16)/(D16-F16))+F16</f>
        <v>100558659.2178771</v>
      </c>
    </row>
    <row r="17" spans="1:18" ht="15" customHeight="1" x14ac:dyDescent="0.2"/>
    <row r="18" spans="1:18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45</v>
      </c>
      <c r="F18" s="1" t="s">
        <v>46</v>
      </c>
      <c r="G18" s="1" t="s">
        <v>47</v>
      </c>
      <c r="H18" s="1" t="s">
        <v>233</v>
      </c>
      <c r="I18" s="1" t="s">
        <v>231</v>
      </c>
      <c r="J18" s="1" t="s">
        <v>232</v>
      </c>
    </row>
    <row r="19" spans="1:18" x14ac:dyDescent="0.2">
      <c r="A19" s="1" t="s">
        <v>48</v>
      </c>
      <c r="B19" s="1" t="s">
        <v>49</v>
      </c>
      <c r="C19" s="1">
        <v>0</v>
      </c>
      <c r="D19" s="1" t="s">
        <v>49</v>
      </c>
      <c r="E19" s="1" t="s">
        <v>49</v>
      </c>
      <c r="F19" s="1">
        <v>0</v>
      </c>
      <c r="G19" s="1" t="s">
        <v>49</v>
      </c>
      <c r="H19" s="1" t="s">
        <v>49</v>
      </c>
      <c r="I19" s="1" t="s">
        <v>49</v>
      </c>
      <c r="J19" s="1">
        <v>0</v>
      </c>
    </row>
    <row r="20" spans="1:18" x14ac:dyDescent="0.2">
      <c r="A20" s="1" t="s">
        <v>51</v>
      </c>
      <c r="B20" s="1">
        <f>G67</f>
        <v>56</v>
      </c>
      <c r="C20" s="1">
        <f>G43</f>
        <v>100558660.2178771</v>
      </c>
      <c r="D20" s="1">
        <f>G64</f>
        <v>42</v>
      </c>
      <c r="E20" s="1">
        <f>G69</f>
        <v>13</v>
      </c>
      <c r="F20" s="1">
        <f>10*S6</f>
        <v>10</v>
      </c>
      <c r="G20" s="1">
        <f>G75</f>
        <v>4.5</v>
      </c>
      <c r="H20" s="1">
        <f>G76</f>
        <v>4</v>
      </c>
      <c r="I20" s="1">
        <f>G77</f>
        <v>4</v>
      </c>
      <c r="J20" s="1">
        <f>G78</f>
        <v>26</v>
      </c>
    </row>
    <row r="21" spans="1:18" x14ac:dyDescent="0.2">
      <c r="A21" s="1" t="s">
        <v>52</v>
      </c>
      <c r="B21" s="1">
        <f>G66</f>
        <v>6</v>
      </c>
      <c r="C21" s="1">
        <f>G44</f>
        <v>0.5</v>
      </c>
      <c r="D21" s="1">
        <f>G63</f>
        <v>6</v>
      </c>
      <c r="E21" s="1">
        <f>G70</f>
        <v>5</v>
      </c>
      <c r="F21" s="1">
        <f>G45</f>
        <v>5.3666666666666671</v>
      </c>
      <c r="G21" s="1">
        <f>G41</f>
        <v>2</v>
      </c>
      <c r="H21" s="1">
        <f>G38</f>
        <v>0.75</v>
      </c>
      <c r="I21" s="1">
        <f>G37</f>
        <v>0.75</v>
      </c>
      <c r="J21" s="1" t="s">
        <v>234</v>
      </c>
    </row>
    <row r="22" spans="1:18" x14ac:dyDescent="0.2">
      <c r="A22" s="1" t="s">
        <v>53</v>
      </c>
      <c r="B22" s="1">
        <f>B21</f>
        <v>6</v>
      </c>
      <c r="C22" s="1">
        <f>C19</f>
        <v>0</v>
      </c>
      <c r="D22" s="1">
        <f>D20</f>
        <v>42</v>
      </c>
      <c r="E22" s="1">
        <f>E21</f>
        <v>5</v>
      </c>
      <c r="F22" s="1">
        <f>F20</f>
        <v>10</v>
      </c>
      <c r="G22" s="1">
        <f>G20</f>
        <v>4.5</v>
      </c>
      <c r="H22" s="1">
        <f>H20</f>
        <v>4</v>
      </c>
      <c r="I22" s="1">
        <f>I20</f>
        <v>4</v>
      </c>
      <c r="J22" s="1">
        <f>J20</f>
        <v>26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1</v>
      </c>
      <c r="D30" s="1">
        <f>((B6+C3*B9*2.5)/C2+B16)/1.25</f>
        <v>80446928.174301684</v>
      </c>
      <c r="E30" s="1">
        <f>((B6+C3*B9*2.5)/C2+2*B16)/2</f>
        <v>100558659.7178771</v>
      </c>
      <c r="F30" s="1">
        <f>MIN(C30:E30)</f>
        <v>1</v>
      </c>
      <c r="G30" s="1">
        <f>F30</f>
        <v>1</v>
      </c>
      <c r="H30" s="1" t="str">
        <f t="shared" ref="H30:H37" si="0">IF(C30=G30,"不使用增产剂","")&amp;IF(D30=G30,"增产","")&amp;IF(E30=G30,"加速","")</f>
        <v>不使用增产剂</v>
      </c>
      <c r="I30" s="1" t="s">
        <v>66</v>
      </c>
      <c r="J30" s="1">
        <f t="shared" ref="J30:J45" si="1">G30/1000000000</f>
        <v>1.0000000000000001E-9</v>
      </c>
      <c r="Q30" s="1">
        <f t="shared" ref="Q30:Q45" si="2">60*318310/G30</f>
        <v>19098600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1</v>
      </c>
      <c r="D31" s="1">
        <f>((B6+C3*B9*2.5)/C2+B16)/1.25</f>
        <v>80446928.174301684</v>
      </c>
      <c r="E31" s="1">
        <f>((B6+C3*B9*2.5)/C2+2*B16)/2</f>
        <v>100558659.7178771</v>
      </c>
      <c r="F31" s="1">
        <f t="shared" ref="F31:F44" si="3">MIN(C31:E31)</f>
        <v>1</v>
      </c>
      <c r="G31" s="1">
        <f t="shared" ref="G31:G44" si="4">F31</f>
        <v>1</v>
      </c>
      <c r="H31" s="1" t="str">
        <f t="shared" si="0"/>
        <v>不使用增产剂</v>
      </c>
      <c r="I31" s="1" t="s">
        <v>69</v>
      </c>
      <c r="J31" s="1">
        <f t="shared" si="1"/>
        <v>1.0000000000000001E-9</v>
      </c>
      <c r="Q31" s="1">
        <f t="shared" si="2"/>
        <v>19098600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2</v>
      </c>
      <c r="D32" s="1">
        <f>(2*(B6+C3*B9*2.5)/C2+2*B16)/1.25</f>
        <v>160893856.34860337</v>
      </c>
      <c r="E32" s="1">
        <f>(2*(B6+C3*B9*2.5)/C2+4*B16)/2</f>
        <v>201117319.43575421</v>
      </c>
      <c r="F32" s="1">
        <f t="shared" si="3"/>
        <v>2</v>
      </c>
      <c r="G32" s="1">
        <f t="shared" si="4"/>
        <v>2</v>
      </c>
      <c r="H32" s="1" t="str">
        <f>IF(C32=G32,"不使用增产剂","")&amp;IF(D32=G32,"增产","")&amp;IF(E32=G32,"加速","")</f>
        <v>不使用增产剂</v>
      </c>
      <c r="I32" s="1" t="s">
        <v>71</v>
      </c>
      <c r="J32" s="1">
        <f t="shared" si="1"/>
        <v>2.0000000000000001E-9</v>
      </c>
      <c r="Q32" s="1">
        <f t="shared" si="2"/>
        <v>9549300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2</v>
      </c>
      <c r="D33" s="1">
        <f>(2*(B6+C3*B9*2.5)/C2+2*B16)/1.25</f>
        <v>160893856.34860337</v>
      </c>
      <c r="E33" s="1">
        <f>(2*(B6+C3*B9*2.5)/C2+4*B16)/2</f>
        <v>201117319.43575421</v>
      </c>
      <c r="F33" s="1">
        <f t="shared" si="3"/>
        <v>2</v>
      </c>
      <c r="G33" s="1">
        <f t="shared" si="4"/>
        <v>2</v>
      </c>
      <c r="H33" s="1" t="str">
        <f t="shared" si="0"/>
        <v>不使用增产剂</v>
      </c>
      <c r="I33" s="1" t="s">
        <v>73</v>
      </c>
      <c r="J33" s="1">
        <f t="shared" si="1"/>
        <v>2.0000000000000001E-9</v>
      </c>
      <c r="Q33" s="1">
        <f t="shared" si="2"/>
        <v>9549300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1</v>
      </c>
      <c r="D34" s="1">
        <f>((B6+C3*B9*2.5)/C2+B16)/1.25</f>
        <v>80446928.174301684</v>
      </c>
      <c r="E34" s="1">
        <f>((B6+C3*B9*2.5)/C2+2*B16)/2</f>
        <v>100558659.7178771</v>
      </c>
      <c r="F34" s="1">
        <f t="shared" si="3"/>
        <v>1</v>
      </c>
      <c r="G34" s="1">
        <f t="shared" si="4"/>
        <v>1</v>
      </c>
      <c r="H34" s="1" t="str">
        <f t="shared" si="0"/>
        <v>不使用增产剂</v>
      </c>
      <c r="I34" s="1" t="s">
        <v>75</v>
      </c>
      <c r="J34" s="1">
        <f t="shared" si="1"/>
        <v>1.0000000000000001E-9</v>
      </c>
      <c r="Q34" s="1">
        <f t="shared" si="2"/>
        <v>19098600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2</v>
      </c>
      <c r="D35" s="1">
        <f>(2*(B6+C3*B9*2.5)/C2+2*B16)/1.25</f>
        <v>160893856.34860337</v>
      </c>
      <c r="E35" s="1">
        <f>(2*(B6+C3*B9*2.5)/C2+4*B16)/2</f>
        <v>201117319.43575421</v>
      </c>
      <c r="F35" s="1">
        <f t="shared" si="3"/>
        <v>2</v>
      </c>
      <c r="G35" s="1">
        <f t="shared" si="4"/>
        <v>2</v>
      </c>
      <c r="H35" s="1" t="str">
        <f t="shared" si="0"/>
        <v>不使用增产剂</v>
      </c>
      <c r="I35" s="1" t="s">
        <v>77</v>
      </c>
      <c r="J35" s="1">
        <f t="shared" si="1"/>
        <v>2.0000000000000001E-9</v>
      </c>
      <c r="Q35" s="1">
        <f t="shared" si="2"/>
        <v>9549300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2</v>
      </c>
      <c r="D36" s="1">
        <f>(2*(B6+C3*B9*2.5)/C2+2*B16)/1.25</f>
        <v>160893856.34860337</v>
      </c>
      <c r="E36" s="1">
        <f>(2*(B6+C3*B9*2.5)/C2+4*B16)/2</f>
        <v>201117319.43575421</v>
      </c>
      <c r="F36" s="1">
        <f t="shared" si="3"/>
        <v>2</v>
      </c>
      <c r="G36" s="1">
        <f t="shared" si="4"/>
        <v>2</v>
      </c>
      <c r="H36" s="1" t="str">
        <f t="shared" si="0"/>
        <v>不使用增产剂</v>
      </c>
      <c r="I36" s="1" t="s">
        <v>79</v>
      </c>
      <c r="J36" s="1">
        <f t="shared" si="1"/>
        <v>2.0000000000000001E-9</v>
      </c>
      <c r="Q36" s="1">
        <f t="shared" si="2"/>
        <v>9549300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0.75</v>
      </c>
      <c r="D37" s="1">
        <f>(1.5*(D6+B3*B9*2.5)/B2+B16)/2.5</f>
        <v>40223464.287150845</v>
      </c>
      <c r="E37" s="1">
        <f>(1.5*(D6+B3*B9*2.5)/B2+2*B16)/4</f>
        <v>50279329.983938552</v>
      </c>
      <c r="F37" s="1">
        <f t="shared" si="3"/>
        <v>0.75</v>
      </c>
      <c r="G37" s="1">
        <f t="shared" si="4"/>
        <v>0.75</v>
      </c>
      <c r="H37" s="1" t="str">
        <f t="shared" si="0"/>
        <v>不使用增产剂</v>
      </c>
      <c r="I37" s="1" t="s">
        <v>81</v>
      </c>
      <c r="J37" s="1">
        <f t="shared" si="1"/>
        <v>7.5E-10</v>
      </c>
      <c r="Q37" s="1">
        <f t="shared" si="2"/>
        <v>25464800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0.75</v>
      </c>
      <c r="D38" s="1">
        <f>(1.5*(B6+C3*B9*2.5)/C2+B16)/2.5</f>
        <v>40223464.287150845</v>
      </c>
      <c r="E38" s="1">
        <f>(1.5*(B6+C3*B9*2.5)/C2+2*B16)/4</f>
        <v>50279329.983938552</v>
      </c>
      <c r="F38" s="1">
        <f t="shared" si="3"/>
        <v>0.75</v>
      </c>
      <c r="G38" s="1">
        <f t="shared" si="4"/>
        <v>0.75</v>
      </c>
      <c r="H38" s="1" t="str">
        <f>IF(C38=G38,"不使用增产剂","")&amp;IF(D38=G38,"增产","")&amp;IF(E38=G38,"加速","")</f>
        <v>不使用增产剂</v>
      </c>
      <c r="I38" s="1" t="s">
        <v>83</v>
      </c>
      <c r="J38" s="1">
        <f t="shared" si="1"/>
        <v>7.5E-10</v>
      </c>
      <c r="Q38" s="1">
        <f t="shared" si="2"/>
        <v>25464800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1</v>
      </c>
      <c r="D39" s="1">
        <f>(2*(I6+D3*B9*2.5)/D2+2*B16)/2.5</f>
        <v>80446928.174301684</v>
      </c>
      <c r="E39" s="1">
        <f>(2*(I6+D3*B9*2.5)/D2+4*B16)/4</f>
        <v>100558659.7178771</v>
      </c>
      <c r="F39" s="1">
        <f t="shared" si="3"/>
        <v>1</v>
      </c>
      <c r="G39" s="1">
        <f t="shared" si="4"/>
        <v>1</v>
      </c>
      <c r="H39" s="1" t="str">
        <f t="shared" ref="H39:H45" si="5">IF(C39=G39,"不使用增产剂","")&amp;IF(D39=G39,"增产","")&amp;IF(E39=G39,"加速","")</f>
        <v>不使用增产剂</v>
      </c>
      <c r="I39" s="1" t="s">
        <v>85</v>
      </c>
      <c r="J39" s="1">
        <f t="shared" si="1"/>
        <v>1.0000000000000001E-9</v>
      </c>
      <c r="Q39" s="1">
        <f t="shared" si="2"/>
        <v>19098600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2</v>
      </c>
      <c r="D40" s="1">
        <f>((4/E2)*(N6+B9*E3*2.5)+2*B16)/2.5</f>
        <v>80446928.974301681</v>
      </c>
      <c r="E40" s="1">
        <f>((4/E2)*(N6+B9*E3*2.5)+4*B16)/4</f>
        <v>100558660.2178771</v>
      </c>
      <c r="F40" s="1">
        <f t="shared" si="3"/>
        <v>2</v>
      </c>
      <c r="G40" s="1">
        <f t="shared" si="4"/>
        <v>2</v>
      </c>
      <c r="H40" s="1" t="str">
        <f t="shared" si="5"/>
        <v>不使用增产剂</v>
      </c>
      <c r="I40" s="1" t="s">
        <v>87</v>
      </c>
      <c r="J40" s="1">
        <f t="shared" si="1"/>
        <v>2.0000000000000001E-9</v>
      </c>
      <c r="Q40" s="1">
        <f t="shared" si="2"/>
        <v>9549300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2</v>
      </c>
      <c r="D41" s="1">
        <f>(4*(I6+D3*B9*2.5)/D2+6*B16)/2.5</f>
        <v>241340783.72290507</v>
      </c>
      <c r="E41" s="1">
        <f>(4*(I6+D3*B9*2.5)/D2+12*B16)/4</f>
        <v>301675978.65363133</v>
      </c>
      <c r="F41" s="1">
        <f t="shared" si="3"/>
        <v>2</v>
      </c>
      <c r="G41" s="1">
        <f t="shared" si="4"/>
        <v>2</v>
      </c>
      <c r="H41" s="1" t="str">
        <f t="shared" si="5"/>
        <v>不使用增产剂</v>
      </c>
      <c r="I41" s="1" t="s">
        <v>89</v>
      </c>
      <c r="J41" s="1">
        <f t="shared" si="1"/>
        <v>2.0000000000000001E-9</v>
      </c>
      <c r="Q41" s="1">
        <f t="shared" si="2"/>
        <v>9549300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1.5</v>
      </c>
      <c r="D42" s="1">
        <f>(1.5*(B6+C3*B9*2.5)/C2+B16)/1.25</f>
        <v>80446928.57430169</v>
      </c>
      <c r="E42" s="1">
        <f>(1.5*(B6+C3*B9*2.5)/C2+2*B16)/2</f>
        <v>100558659.9678771</v>
      </c>
      <c r="F42" s="1">
        <f t="shared" si="3"/>
        <v>1.5</v>
      </c>
      <c r="G42" s="1">
        <f t="shared" si="4"/>
        <v>1.5</v>
      </c>
      <c r="H42" s="1" t="str">
        <f t="shared" si="5"/>
        <v>不使用增产剂</v>
      </c>
      <c r="I42" s="1" t="s">
        <v>91</v>
      </c>
      <c r="J42" s="1">
        <f t="shared" si="1"/>
        <v>1.5E-9</v>
      </c>
      <c r="Q42" s="1">
        <f t="shared" si="2"/>
        <v>12732400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(T6+B9*H3+H2*B16)/H2</f>
        <v>100558660.2178771</v>
      </c>
      <c r="F43" s="1">
        <f t="shared" si="3"/>
        <v>100558660.2178771</v>
      </c>
      <c r="G43" s="1">
        <f t="shared" si="4"/>
        <v>100558660.2178771</v>
      </c>
      <c r="H43" s="1" t="str">
        <f t="shared" si="5"/>
        <v>加速</v>
      </c>
      <c r="I43" s="1" t="s">
        <v>93</v>
      </c>
      <c r="J43" s="1">
        <f t="shared" si="1"/>
        <v>0.1005586602178771</v>
      </c>
      <c r="K43" s="1" t="s">
        <v>241</v>
      </c>
      <c r="Q43" s="1">
        <f t="shared" si="2"/>
        <v>0.18992496477796839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0.5</v>
      </c>
      <c r="D44" s="1">
        <f>(2.5*(J6+F3*B9*2.5)/F2+10*B16)/6.25</f>
        <v>160893855.14860335</v>
      </c>
      <c r="E44" s="1">
        <f>(2.5*(J6+F3*B9*2.5)/F2+20*B16)/10</f>
        <v>201117318.68575421</v>
      </c>
      <c r="F44" s="1">
        <f t="shared" si="3"/>
        <v>0.5</v>
      </c>
      <c r="G44" s="1">
        <f t="shared" si="4"/>
        <v>0.5</v>
      </c>
      <c r="H44" s="1" t="str">
        <f>IF(C44=G44,"不使用增产剂","")&amp;IF(D44=G44,"增产","")&amp;IF(E44=G44,"加速","")</f>
        <v>不使用增产剂</v>
      </c>
      <c r="I44" s="1" t="s">
        <v>97</v>
      </c>
      <c r="J44" s="1">
        <f t="shared" si="1"/>
        <v>5.0000000000000003E-10</v>
      </c>
      <c r="Q44" s="1">
        <f t="shared" si="2"/>
        <v>38197200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5.3666666666666671</v>
      </c>
      <c r="D45" s="1" t="s">
        <v>96</v>
      </c>
      <c r="E45" s="1">
        <f>((0.1*G92)+60*S6+0.1*B16)/24</f>
        <v>418997.09674115462</v>
      </c>
      <c r="F45" s="1">
        <f>MIN(C45:E45)</f>
        <v>5.3666666666666671</v>
      </c>
      <c r="G45" s="1">
        <f>F45</f>
        <v>5.3666666666666671</v>
      </c>
      <c r="H45" s="1" t="str">
        <f t="shared" si="5"/>
        <v>不使用增产剂</v>
      </c>
      <c r="I45" s="1" t="s">
        <v>101</v>
      </c>
      <c r="J45" s="1">
        <f t="shared" si="1"/>
        <v>5.3666666666666667E-9</v>
      </c>
      <c r="K45" s="1" t="s">
        <v>240</v>
      </c>
      <c r="Q45" s="1">
        <f t="shared" si="2"/>
        <v>3558745.3416149067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2.5</v>
      </c>
      <c r="D50" s="1">
        <f>((2*G42+G31)+(E6+B3*B9*2.5)/B2+3*B16)/2.5</f>
        <v>120670393.06145254</v>
      </c>
      <c r="E50" s="1">
        <f>(2*(2*G42+G31)+(E6+2.5*B3*B9)/B2+6*B16)/4</f>
        <v>150837991.07681566</v>
      </c>
      <c r="F50" s="1">
        <f t="shared" ref="F50:F78" si="6">MIN(C50:E50)</f>
        <v>2.5</v>
      </c>
      <c r="G50" s="1">
        <f t="shared" ref="G50:G78" si="7">F50</f>
        <v>2.5</v>
      </c>
      <c r="H50" s="1" t="str">
        <f t="shared" ref="H50:H78" si="8">IF(C50=G50,"不使用增产剂","")&amp;IF(D50=G50,"增产","")&amp;IF(E50=G50,"加速","")</f>
        <v>不使用增产剂</v>
      </c>
      <c r="I50" s="1" t="s">
        <v>103</v>
      </c>
      <c r="J50" s="1">
        <f t="shared" ref="J50:J78" si="9">G50/1000000000</f>
        <v>2.5000000000000001E-9</v>
      </c>
      <c r="Q50" s="1">
        <f t="shared" ref="Q50:Q78" si="10">60*318310/G50</f>
        <v>7639440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6</v>
      </c>
      <c r="D51" s="1">
        <f>((3*G30)+3*(B6+C3*B9*2.5)/C2+3*B16)/1.25</f>
        <v>241340786.92290506</v>
      </c>
      <c r="E51" s="1">
        <f>(2*(3*G30)+3*(B6+C3*B9*2.5)/C2+6*B16)/2</f>
        <v>301675982.15363133</v>
      </c>
      <c r="F51" s="1">
        <f t="shared" si="6"/>
        <v>6</v>
      </c>
      <c r="G51" s="1">
        <f t="shared" si="7"/>
        <v>6</v>
      </c>
      <c r="H51" s="1" t="str">
        <f t="shared" si="8"/>
        <v>不使用增产剂</v>
      </c>
      <c r="I51" s="1" t="s">
        <v>105</v>
      </c>
      <c r="J51" s="1">
        <f t="shared" si="9"/>
        <v>6E-9</v>
      </c>
      <c r="Q51" s="1">
        <f t="shared" si="10"/>
        <v>3183100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11</v>
      </c>
      <c r="D52" s="1">
        <f>((4*G33+4*G51)+(12/C2)*(C6+C3*B9*2.5)+16*B16)/5</f>
        <v>321787718.29720676</v>
      </c>
      <c r="E52" s="1">
        <f>(2*(4*G33+4*G51)+(12/C2)*(C6+C3*B9*2.5)+32*B16)/8</f>
        <v>402234646.37150842</v>
      </c>
      <c r="F52" s="1">
        <f t="shared" si="6"/>
        <v>11</v>
      </c>
      <c r="G52" s="1">
        <f t="shared" si="7"/>
        <v>11</v>
      </c>
      <c r="H52" s="1" t="str">
        <f t="shared" si="8"/>
        <v>不使用增产剂</v>
      </c>
      <c r="I52" s="1" t="s">
        <v>107</v>
      </c>
      <c r="J52" s="1">
        <f t="shared" si="9"/>
        <v>1.0999999999999999E-8</v>
      </c>
      <c r="Q52" s="1">
        <f t="shared" si="10"/>
        <v>1736236.3636363635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6.5</v>
      </c>
      <c r="D53" s="1">
        <f>((2*G36+2*G33)+(5/B2)*(F6+2.5*B3*B9)+6*B16)/2.5</f>
        <v>241340787.32290506</v>
      </c>
      <c r="E53" s="1">
        <f>(2*(2*G36+2*G33)+(5/B2)*(F6+2.5*B3*B9)+12*B16)/4</f>
        <v>301675982.90363133</v>
      </c>
      <c r="F53" s="1">
        <f t="shared" si="6"/>
        <v>6.5</v>
      </c>
      <c r="G53" s="1">
        <f t="shared" si="7"/>
        <v>6.5</v>
      </c>
      <c r="H53" s="1" t="str">
        <f t="shared" si="8"/>
        <v>不使用增产剂</v>
      </c>
      <c r="I53" s="1" t="s">
        <v>109</v>
      </c>
      <c r="J53" s="1">
        <f t="shared" si="9"/>
        <v>6.5000000000000003E-9</v>
      </c>
      <c r="Q53" s="1">
        <f t="shared" si="10"/>
        <v>2938246.153846154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4</v>
      </c>
      <c r="D54" s="1">
        <f>((3*G36)+(2/B2)*(D6+B3*B9*2.5)+3*B16)/2.5</f>
        <v>120670394.26145253</v>
      </c>
      <c r="E54" s="1">
        <f>((6*G36)+(2/B2)*(D6+B3*B9*2.5)+6*B16)/4</f>
        <v>150837992.32681566</v>
      </c>
      <c r="F54" s="1">
        <f t="shared" si="6"/>
        <v>4</v>
      </c>
      <c r="G54" s="1">
        <f t="shared" si="7"/>
        <v>4</v>
      </c>
      <c r="H54" s="1" t="str">
        <f t="shared" si="8"/>
        <v>不使用增产剂</v>
      </c>
      <c r="I54" s="1" t="s">
        <v>111</v>
      </c>
      <c r="J54" s="1">
        <f t="shared" si="9"/>
        <v>4.0000000000000002E-9</v>
      </c>
      <c r="Q54" s="1">
        <f t="shared" si="10"/>
        <v>4774650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20</v>
      </c>
      <c r="D55" s="1">
        <f>((4*G50+2*G54)+(2/B2)*(E6+2.5*B3*B9)+6*B16)/1.25</f>
        <v>482681580.24581015</v>
      </c>
      <c r="E55" s="1">
        <f>(2*(4*G50+2*G54)+(2/B2)*(E6+2.5*B3*B9)+12*B16)/2</f>
        <v>603351974.30726266</v>
      </c>
      <c r="F55" s="1">
        <f t="shared" si="6"/>
        <v>20</v>
      </c>
      <c r="G55" s="1">
        <f t="shared" si="7"/>
        <v>20</v>
      </c>
      <c r="H55" s="1" t="str">
        <f t="shared" si="8"/>
        <v>不使用增产剂</v>
      </c>
      <c r="I55" s="1" t="s">
        <v>113</v>
      </c>
      <c r="J55" s="1">
        <f t="shared" si="9"/>
        <v>2E-8</v>
      </c>
      <c r="Q55" s="1">
        <f t="shared" si="10"/>
        <v>954930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2</v>
      </c>
      <c r="D56" s="1">
        <f>(G30+(1/B2)*(D6+2.5*B3*B9)+B16)/1.25</f>
        <v>80446928.974301681</v>
      </c>
      <c r="E56" s="1">
        <f>(2*G30+(1/B2)*(D6+2.5*B3*B9)+2*B16)/2</f>
        <v>100558660.7178771</v>
      </c>
      <c r="F56" s="1">
        <f t="shared" si="6"/>
        <v>2</v>
      </c>
      <c r="G56" s="1">
        <f t="shared" si="7"/>
        <v>2</v>
      </c>
      <c r="H56" s="1" t="str">
        <f t="shared" si="8"/>
        <v>不使用增产剂</v>
      </c>
      <c r="I56" s="1" t="s">
        <v>115</v>
      </c>
      <c r="J56" s="1">
        <f t="shared" si="9"/>
        <v>2.0000000000000001E-9</v>
      </c>
      <c r="Q56" s="1">
        <f t="shared" si="10"/>
        <v>9549300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2</v>
      </c>
      <c r="D57" s="1">
        <f>((2*G30+G31)+(E6+B3*B9*2.5)/B2+3*B16)/2.5</f>
        <v>120670392.66145253</v>
      </c>
      <c r="E57" s="1">
        <f>(2*(2*G30+G31)+(E6+B3*B9*2.5)/B2+6*B16)/4</f>
        <v>150837990.57681566</v>
      </c>
      <c r="F57" s="1">
        <f t="shared" si="6"/>
        <v>2</v>
      </c>
      <c r="G57" s="1">
        <f t="shared" si="7"/>
        <v>2</v>
      </c>
      <c r="H57" s="1" t="str">
        <f t="shared" si="8"/>
        <v>不使用增产剂</v>
      </c>
      <c r="I57" s="1" t="s">
        <v>117</v>
      </c>
      <c r="J57" s="1">
        <f t="shared" si="9"/>
        <v>2.0000000000000001E-9</v>
      </c>
      <c r="Q57" s="1">
        <f t="shared" si="10"/>
        <v>9549300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7</v>
      </c>
      <c r="D58" s="1">
        <f>((2*G32+G31)+2*(E6+B3*B9*2.5)/B2+3*B16)/1.25</f>
        <v>241340787.72290507</v>
      </c>
      <c r="E58" s="1">
        <f>(2*(2*G32+G31)+2*(E6+B3*B9*2.5)/B2+6*B16)/2</f>
        <v>301675983.65363133</v>
      </c>
      <c r="F58" s="1">
        <f t="shared" si="6"/>
        <v>7</v>
      </c>
      <c r="G58" s="1">
        <f t="shared" si="7"/>
        <v>7</v>
      </c>
      <c r="H58" s="1" t="str">
        <f t="shared" si="8"/>
        <v>不使用增产剂</v>
      </c>
      <c r="I58" s="1" t="s">
        <v>119</v>
      </c>
      <c r="J58" s="1">
        <f t="shared" si="9"/>
        <v>6.9999999999999998E-9</v>
      </c>
      <c r="Q58" s="1">
        <f t="shared" si="10"/>
        <v>2728371.4285714286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21</v>
      </c>
      <c r="D59" s="1">
        <f>((2*G57+2*G58)+(3/B2)*(E6+B3*B9*2.5)+4*B16)/1.25</f>
        <v>321787726.29720676</v>
      </c>
      <c r="E59" s="1">
        <f>(2*(2*G57+2*G58)+(3/B2)*(E6+B3*B9*2.5)+8*B16)/2</f>
        <v>402234656.37150842</v>
      </c>
      <c r="F59" s="1">
        <f t="shared" si="6"/>
        <v>21</v>
      </c>
      <c r="G59" s="1">
        <f t="shared" si="7"/>
        <v>21</v>
      </c>
      <c r="H59" s="1" t="str">
        <f t="shared" si="8"/>
        <v>不使用增产剂</v>
      </c>
      <c r="I59" s="1" t="s">
        <v>121</v>
      </c>
      <c r="J59" s="1">
        <f t="shared" si="9"/>
        <v>2.0999999999999999E-8</v>
      </c>
      <c r="Q59" s="1">
        <f t="shared" si="10"/>
        <v>909457.14285714284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8.5</v>
      </c>
      <c r="D60" s="1">
        <f>((2*G30+G56+G50)+(2/B2)*(F6+2.5*B3*B9)+4*B16)/1.25</f>
        <v>321787716.29720676</v>
      </c>
      <c r="E60" s="1">
        <f>(2*(2*G30+G56+G50)+(2/B2)*(F6+2.5*B3*B9)+8*B16)/2</f>
        <v>402234644.37150842</v>
      </c>
      <c r="F60" s="1">
        <f t="shared" si="6"/>
        <v>8.5</v>
      </c>
      <c r="G60" s="1">
        <f t="shared" si="7"/>
        <v>8.5</v>
      </c>
      <c r="H60" s="1" t="str">
        <f t="shared" si="8"/>
        <v>不使用增产剂</v>
      </c>
      <c r="I60" s="1" t="s">
        <v>123</v>
      </c>
      <c r="J60" s="1">
        <f t="shared" si="9"/>
        <v>8.5E-9</v>
      </c>
      <c r="Q60" s="1">
        <f t="shared" si="10"/>
        <v>2246894.1176470588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24</v>
      </c>
      <c r="D61" s="1">
        <f>((2*G60+2*G50)+(2/B2)*(E6+2.5*B3*B9)+4*B16)/1.25</f>
        <v>321787728.69720674</v>
      </c>
      <c r="E61" s="1">
        <f>(2*(2*G60+2*G50)+(2/B2)*(E6+2.5*B3*B9)+8*B16)/2</f>
        <v>402234659.87150842</v>
      </c>
      <c r="F61" s="1">
        <f t="shared" si="6"/>
        <v>24</v>
      </c>
      <c r="G61" s="1">
        <f t="shared" si="7"/>
        <v>24</v>
      </c>
      <c r="H61" s="1" t="str">
        <f t="shared" si="8"/>
        <v>不使用增产剂</v>
      </c>
      <c r="I61" s="1" t="s">
        <v>125</v>
      </c>
      <c r="J61" s="1">
        <f t="shared" si="9"/>
        <v>2.4E-8</v>
      </c>
      <c r="Q61" s="1">
        <f t="shared" si="10"/>
        <v>795775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((J22+3*G33)+(4/B2)*(E6+B3*B9))</f>
        <v>36</v>
      </c>
      <c r="D62" s="1">
        <f>((J22+3*G33)+(4/B2)*(E6+B3*B9*2.5)+4*B16)/1.25</f>
        <v>321787738.29720676</v>
      </c>
      <c r="E62" s="1">
        <f>(2*(J22+3*G33)+(4/B2)*(E6+B3*B9*2.5)+8*B16)/2</f>
        <v>402234670.87150842</v>
      </c>
      <c r="F62" s="1">
        <f t="shared" si="6"/>
        <v>36</v>
      </c>
      <c r="G62" s="1">
        <f t="shared" si="7"/>
        <v>36</v>
      </c>
      <c r="H62" s="1" t="str">
        <f t="shared" si="8"/>
        <v>不使用增产剂</v>
      </c>
      <c r="I62" s="1" t="s">
        <v>235</v>
      </c>
      <c r="J62" s="1">
        <f t="shared" si="9"/>
        <v>3.5999999999999998E-8</v>
      </c>
      <c r="Q62" s="1">
        <f t="shared" si="10"/>
        <v>530516.66666666663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6</v>
      </c>
      <c r="D63" s="1">
        <f>((J22+2*G39)+(4/B2)*(F6+2.5*B3*B9)+22*B16)/1.25</f>
        <v>1769832427.8346372</v>
      </c>
      <c r="E63" s="1">
        <f>(2*(J22+2*G39)+(4/B2)*(F6+2.5*B3*B9)+44*B16)/2</f>
        <v>2212290532.7932963</v>
      </c>
      <c r="F63" s="1">
        <f t="shared" si="6"/>
        <v>6</v>
      </c>
      <c r="G63" s="1">
        <f t="shared" si="7"/>
        <v>6</v>
      </c>
      <c r="H63" s="1" t="str">
        <f t="shared" si="8"/>
        <v>不使用增产剂</v>
      </c>
      <c r="I63" s="1" t="s">
        <v>128</v>
      </c>
      <c r="J63" s="1">
        <f t="shared" si="9"/>
        <v>6E-9</v>
      </c>
      <c r="Q63" s="1">
        <f t="shared" si="10"/>
        <v>3183100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42</v>
      </c>
      <c r="D64" s="1">
        <f>((G62+2*G39)+(4/B2)*(F6+2.5*B3*B9)+18*B16)/1.25</f>
        <v>1448044726.3374305</v>
      </c>
      <c r="E64" s="1">
        <f>(2*(G62+2*G39)+(4/B2)*(F6+2.5*B3*B9)+36*B16)/2</f>
        <v>1810055905.921788</v>
      </c>
      <c r="F64" s="1">
        <f t="shared" si="6"/>
        <v>42</v>
      </c>
      <c r="G64" s="1">
        <f t="shared" si="7"/>
        <v>42</v>
      </c>
      <c r="H64" s="1" t="str">
        <f t="shared" si="8"/>
        <v>不使用增产剂</v>
      </c>
      <c r="I64" s="1" t="s">
        <v>130</v>
      </c>
      <c r="J64" s="1">
        <f t="shared" si="9"/>
        <v>4.1999999999999999E-8</v>
      </c>
      <c r="Q64" s="1">
        <f t="shared" si="10"/>
        <v>454728.57142857142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((D22+2*G53)+(12/B2)*(E6+B3*B9))</f>
        <v>67</v>
      </c>
      <c r="D65" s="1">
        <f>((D22+2*G53)+(12/B2)*(E6+2.5*B3*B9)+3*B16)/1.25</f>
        <v>241340835.72290507</v>
      </c>
      <c r="E65" s="1">
        <f>(2*(D22+2*G53)+(12/B2)*(E6+2.5*B3*B9)+6*B16)/2</f>
        <v>301676038.65363133</v>
      </c>
      <c r="F65" s="1">
        <f t="shared" si="6"/>
        <v>67</v>
      </c>
      <c r="G65" s="1">
        <f t="shared" si="7"/>
        <v>67</v>
      </c>
      <c r="H65" s="1" t="str">
        <f t="shared" si="8"/>
        <v>不使用增产剂</v>
      </c>
      <c r="I65" s="1" t="s">
        <v>132</v>
      </c>
      <c r="J65" s="1">
        <f t="shared" si="9"/>
        <v>6.7000000000000004E-8</v>
      </c>
      <c r="Q65" s="1">
        <f t="shared" si="10"/>
        <v>285053.73134328361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6</v>
      </c>
      <c r="D66" s="1">
        <f>((2*G31)+(4/B2)*(E6+2.5*B3*B9)+12*B16)/1.25</f>
        <v>965363133.29162025</v>
      </c>
      <c r="E66" s="1">
        <f>(2*(2*G31)+(4/B2)*(E6+2.5*B3*B9)+24*B16)/2</f>
        <v>1206703914.6145253</v>
      </c>
      <c r="F66" s="1">
        <f t="shared" si="6"/>
        <v>6</v>
      </c>
      <c r="G66" s="1">
        <f t="shared" si="7"/>
        <v>6</v>
      </c>
      <c r="H66" s="1" t="str">
        <f t="shared" si="8"/>
        <v>不使用增产剂</v>
      </c>
      <c r="I66" s="1" t="s">
        <v>134</v>
      </c>
      <c r="J66" s="1">
        <f t="shared" si="9"/>
        <v>6E-9</v>
      </c>
      <c r="Q66" s="1">
        <f t="shared" si="10"/>
        <v>3183100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56</v>
      </c>
      <c r="D67" s="1">
        <f>((2*G61+2*G31+2*G39)+(4/B2)*(F6+2.5*B3*B9)+6*B16)/1.25</f>
        <v>482681609.0458101</v>
      </c>
      <c r="E67" s="1">
        <f>(2*(2*G61+2*G31+2*G39)+(4/B2)*(F6+2.5*B3*B9)+12*B16)/2</f>
        <v>603352009.30726266</v>
      </c>
      <c r="F67" s="1">
        <f t="shared" si="6"/>
        <v>56</v>
      </c>
      <c r="G67" s="1">
        <f t="shared" si="7"/>
        <v>56</v>
      </c>
      <c r="H67" s="1" t="str">
        <f t="shared" si="8"/>
        <v>不使用增产剂</v>
      </c>
      <c r="I67" s="1" t="s">
        <v>136</v>
      </c>
      <c r="J67" s="1">
        <f t="shared" si="9"/>
        <v>5.5999999999999999E-8</v>
      </c>
      <c r="Q67" s="1">
        <f t="shared" si="10"/>
        <v>341046.42857142858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((2*B22+2*G30+10*C22)+(8/F2)*(L6+F3*B9))</f>
        <v>22</v>
      </c>
      <c r="D68" s="1">
        <f>((2*B22+2*G30+10*C22)+(8/F2)*(L6+2.5*F3*B9)+14*B16)/1.25</f>
        <v>1126257000.8402236</v>
      </c>
      <c r="E68" s="1">
        <f>(2*(2*B22+2*G30+10*C22)+(8/F2)*(L6+2.5*F3*B9)+28*B16)/2</f>
        <v>1407821247.0502794</v>
      </c>
      <c r="F68" s="1">
        <f t="shared" si="6"/>
        <v>22</v>
      </c>
      <c r="G68" s="1">
        <f t="shared" si="7"/>
        <v>22</v>
      </c>
      <c r="H68" s="1" t="s">
        <v>257</v>
      </c>
      <c r="I68" s="1" t="s">
        <v>138</v>
      </c>
      <c r="J68" s="1">
        <f t="shared" si="9"/>
        <v>2.1999999999999998E-8</v>
      </c>
      <c r="Q68" s="1">
        <f t="shared" si="10"/>
        <v>868118.18181818177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13</v>
      </c>
      <c r="D69" s="1">
        <f>((2*G54+G57)+(3/B2)*(E6+2.5*B3*B9)+3*B16)/1.25</f>
        <v>241340792.52290505</v>
      </c>
      <c r="E69" s="1">
        <f>(2*(2*G54+G57)+(3/B2)*(E6+2.5*B3*B9)+6*B16)/2</f>
        <v>301675989.15363133</v>
      </c>
      <c r="F69" s="1">
        <f t="shared" si="6"/>
        <v>13</v>
      </c>
      <c r="G69" s="1">
        <f t="shared" si="7"/>
        <v>13</v>
      </c>
      <c r="H69" s="1" t="str">
        <f t="shared" si="8"/>
        <v>不使用增产剂</v>
      </c>
      <c r="I69" s="1" t="s">
        <v>140</v>
      </c>
      <c r="J69" s="1">
        <f t="shared" si="9"/>
        <v>1.3000000000000001E-8</v>
      </c>
      <c r="Q69" s="1">
        <f t="shared" si="10"/>
        <v>1469123.076923077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5</v>
      </c>
      <c r="D70" s="1">
        <f>((G57)+(3/B2)*(E6+2.5*B3*B9)+2*B16)/1.25</f>
        <v>160893858.74860337</v>
      </c>
      <c r="E70" s="1">
        <f>(2*(G57)+(3/B2)*(E6+2.5*B3*B9)+4*B16)/2</f>
        <v>201117321.93575421</v>
      </c>
      <c r="F70" s="1">
        <f t="shared" si="6"/>
        <v>5</v>
      </c>
      <c r="G70" s="1">
        <f t="shared" si="7"/>
        <v>5</v>
      </c>
      <c r="H70" s="1" t="str">
        <f t="shared" si="8"/>
        <v>不使用增产剂</v>
      </c>
      <c r="I70" s="1" t="s">
        <v>142</v>
      </c>
      <c r="J70" s="1">
        <f t="shared" si="9"/>
        <v>5.0000000000000001E-9</v>
      </c>
      <c r="Q70" s="1">
        <f t="shared" si="10"/>
        <v>3819720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((G39+E22)+(4/B2)*(E6+B3*B9))/2</f>
        <v>5</v>
      </c>
      <c r="D71" s="1">
        <f>((G39+E22)+(4/B2)*(E6+2.5*B3*B9)+2*B16)/2.5</f>
        <v>80446931.374301687</v>
      </c>
      <c r="E71" s="1">
        <f>(2*(G39+E22)+(4/B2)*(E6+2.5*B3*B9)+4*B16)/4</f>
        <v>100558663.2178771</v>
      </c>
      <c r="F71" s="1">
        <f t="shared" si="6"/>
        <v>5</v>
      </c>
      <c r="G71" s="1">
        <f t="shared" si="7"/>
        <v>5</v>
      </c>
      <c r="H71" s="1" t="str">
        <f t="shared" si="8"/>
        <v>不使用增产剂</v>
      </c>
      <c r="I71" s="1" t="s">
        <v>144</v>
      </c>
      <c r="J71" s="1">
        <f t="shared" si="9"/>
        <v>5.0000000000000001E-9</v>
      </c>
      <c r="Q71" s="1">
        <f t="shared" si="10"/>
        <v>3819720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((2*F22)+(2/F2)*(L6+F3*B9))/2</f>
        <v>11</v>
      </c>
      <c r="D72" s="1" t="s">
        <v>96</v>
      </c>
      <c r="E72" s="1">
        <f>(2*(2*F22)+(2/F2)*(L6+2.5*F3*B9)+4*B16)/4</f>
        <v>100558669.7178771</v>
      </c>
      <c r="F72" s="1">
        <f t="shared" si="6"/>
        <v>11</v>
      </c>
      <c r="G72" s="1">
        <f t="shared" si="7"/>
        <v>11</v>
      </c>
      <c r="H72" s="1" t="str">
        <f t="shared" si="8"/>
        <v>不使用增产剂</v>
      </c>
      <c r="I72" s="1" t="s">
        <v>146</v>
      </c>
      <c r="J72" s="1">
        <f t="shared" si="9"/>
        <v>1.0999999999999999E-8</v>
      </c>
      <c r="Q72" s="1">
        <f t="shared" si="10"/>
        <v>1736236.3636363635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9</v>
      </c>
      <c r="D73" s="1">
        <f>((2*G40+G35)+(3/D2)*(I6+2.5*D3*B9)+3*B16)/1.25</f>
        <v>241340789.32290506</v>
      </c>
      <c r="E73" s="1">
        <f>(2*(2*G40+G35)+(3/D2)*(I6+2.5*D3*B9)+6*B16)/2</f>
        <v>301675985.15363133</v>
      </c>
      <c r="F73" s="1">
        <f t="shared" si="6"/>
        <v>9</v>
      </c>
      <c r="G73" s="1">
        <f t="shared" si="7"/>
        <v>9</v>
      </c>
      <c r="H73" s="1" t="str">
        <f t="shared" si="8"/>
        <v>不使用增产剂</v>
      </c>
      <c r="I73" s="1" t="s">
        <v>148</v>
      </c>
      <c r="J73" s="1">
        <f t="shared" si="9"/>
        <v>8.9999999999999995E-9</v>
      </c>
      <c r="Q73" s="1">
        <f t="shared" si="10"/>
        <v>2122066.6666666665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((2*G41+2*I22+G73)+(8/B2)*(F6+B3*B9))</f>
        <v>29</v>
      </c>
      <c r="D74" s="1">
        <f>((2*G41+2*I22+G73)+(8/B2)*(F6+2.5*B3*B9)+5*B16)/1.25</f>
        <v>402234660.07150841</v>
      </c>
      <c r="E74" s="1">
        <f>(2*(2*G41+2*I22+G73)+(8/B2)*(F6+2.5*B3*B9)+10*B16)/2</f>
        <v>502793321.08938551</v>
      </c>
      <c r="F74" s="1">
        <f t="shared" si="6"/>
        <v>29</v>
      </c>
      <c r="G74" s="1">
        <f t="shared" si="7"/>
        <v>29</v>
      </c>
      <c r="H74" s="1" t="str">
        <f t="shared" si="8"/>
        <v>不使用增产剂</v>
      </c>
      <c r="I74" s="1" t="s">
        <v>150</v>
      </c>
      <c r="J74" s="1">
        <f t="shared" si="9"/>
        <v>2.9000000000000002E-8</v>
      </c>
      <c r="Q74" s="1">
        <f t="shared" si="10"/>
        <v>658572.41379310342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4.5</v>
      </c>
      <c r="D75" s="1">
        <f>((3*G39+G33)+(4/D2)*(I6+2.5*D3*B9)+4*B16)/2.5</f>
        <v>160893858.34860337</v>
      </c>
      <c r="E75" s="1">
        <f>((3*G39+G33)+(2/D2)*(I6+2.5*D3*B9)+4*B16)/2</f>
        <v>201117321.93575421</v>
      </c>
      <c r="F75" s="1">
        <f t="shared" si="6"/>
        <v>4.5</v>
      </c>
      <c r="G75" s="1">
        <f t="shared" si="7"/>
        <v>4.5</v>
      </c>
      <c r="H75" s="1" t="str">
        <f t="shared" si="8"/>
        <v>不使用增产剂</v>
      </c>
      <c r="I75" s="1" t="s">
        <v>152</v>
      </c>
      <c r="J75" s="1">
        <f t="shared" si="9"/>
        <v>4.4999999999999998E-9</v>
      </c>
      <c r="Q75" s="1">
        <f t="shared" si="10"/>
        <v>4244133.333333333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4</v>
      </c>
      <c r="D76" s="1">
        <f>((G35)+2*(B6+2.5*C3*B9)/C2+B16)/1.25</f>
        <v>80446930.57430169</v>
      </c>
      <c r="E76" s="1">
        <f>((G35)+1*(B6+2.5*C3*B9)/C2+B16)/1</f>
        <v>100558662.2178771</v>
      </c>
      <c r="F76" s="1">
        <f t="shared" si="6"/>
        <v>4</v>
      </c>
      <c r="G76" s="1">
        <f t="shared" si="7"/>
        <v>4</v>
      </c>
      <c r="H76" s="1" t="str">
        <f t="shared" si="8"/>
        <v>不使用增产剂</v>
      </c>
      <c r="I76" s="1" t="s">
        <v>227</v>
      </c>
      <c r="J76" s="1">
        <f t="shared" si="9"/>
        <v>4.0000000000000002E-9</v>
      </c>
      <c r="Q76" s="1">
        <f t="shared" si="10"/>
        <v>4774650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4</v>
      </c>
      <c r="D77" s="1">
        <f>((G32)+2*(B6+2.5*C3*B9)/C2+B16)/1.25</f>
        <v>80446930.57430169</v>
      </c>
      <c r="E77" s="1">
        <f>((G32)+1*(B6+2.5*C3*B9)/C2+B16)/1</f>
        <v>100558662.2178771</v>
      </c>
      <c r="F77" s="1">
        <f t="shared" si="6"/>
        <v>4</v>
      </c>
      <c r="G77" s="1">
        <f t="shared" si="7"/>
        <v>4</v>
      </c>
      <c r="H77" s="1" t="str">
        <f t="shared" si="8"/>
        <v>不使用增产剂</v>
      </c>
      <c r="I77" s="1" t="s">
        <v>228</v>
      </c>
      <c r="J77" s="1">
        <f t="shared" si="9"/>
        <v>4.0000000000000002E-9</v>
      </c>
      <c r="Q77" s="1">
        <f t="shared" si="10"/>
        <v>4774650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26</v>
      </c>
      <c r="D78" s="1">
        <f>((2*G73+F40)+(6/D2)*(I6+D3*B9)+4*B16)/1.25</f>
        <v>321787730.29720676</v>
      </c>
      <c r="E78" s="1">
        <f>((2*G73+F40)+(3/D2)*(I6+D3*B9)+4*B16)/1</f>
        <v>402234659.87150842</v>
      </c>
      <c r="F78" s="1">
        <f t="shared" si="6"/>
        <v>26</v>
      </c>
      <c r="G78" s="1">
        <f t="shared" si="7"/>
        <v>26</v>
      </c>
      <c r="H78" s="1" t="str">
        <f t="shared" si="8"/>
        <v>不使用增产剂</v>
      </c>
      <c r="I78" s="1" t="s">
        <v>236</v>
      </c>
      <c r="J78" s="1">
        <f t="shared" si="9"/>
        <v>2.6000000000000001E-8</v>
      </c>
      <c r="Q78" s="1">
        <f t="shared" si="10"/>
        <v>734561.5384615385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57.5</v>
      </c>
      <c r="D91" s="1">
        <f>((2*G61+3*G42+G35)+(3/B2)*(F6+2.5*B3*B9)+6*B16)/1.25</f>
        <v>482681610.24581015</v>
      </c>
      <c r="E91" s="1">
        <f>(2*(2*G61+3*G42+G35)+(3/B2)*(F6+2.5*B3*B9)+12*B16)/2</f>
        <v>603352011.30726266</v>
      </c>
      <c r="F91" s="1">
        <f t="shared" ref="F91:F106" si="11">MIN(C91:E91)</f>
        <v>57.5</v>
      </c>
      <c r="G91" s="1">
        <f t="shared" ref="G91:G106" si="12">F91</f>
        <v>57.5</v>
      </c>
      <c r="H91" s="1" t="str">
        <f t="shared" ref="H91:H106" si="13">IF(C91=G91,"不使用增产剂","")&amp;IF(D91=G91,"增产","")&amp;IF(E91=G91,"加速","")</f>
        <v>不使用增产剂</v>
      </c>
      <c r="I91" s="1" t="s">
        <v>155</v>
      </c>
      <c r="J91" s="1">
        <f t="shared" ref="J91:J106" si="14">G91/1000000000</f>
        <v>5.7499999999999999E-8</v>
      </c>
      <c r="Q91" s="1">
        <f t="shared" ref="Q91:Q106" si="15">60*318310/G91</f>
        <v>332149.5652173913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(4*H22+G68)+(6/B2)*(E6+B3*B9)</f>
        <v>44</v>
      </c>
      <c r="D92" s="1">
        <f>((4*H22+G68)+(6/B2)*(E6+2.5*B3*B9)+5*B16)/1.25</f>
        <v>402234672.07150841</v>
      </c>
      <c r="E92" s="1">
        <f>(2*(4*H22+G68)+(6/B2)*(E6+2.5*B3*B9)+10*B16)/2</f>
        <v>502793337.08938551</v>
      </c>
      <c r="F92" s="1">
        <f t="shared" si="11"/>
        <v>44</v>
      </c>
      <c r="G92" s="1">
        <f t="shared" si="12"/>
        <v>44</v>
      </c>
      <c r="H92" s="1" t="str">
        <f t="shared" si="13"/>
        <v>不使用增产剂</v>
      </c>
      <c r="I92" s="1" t="s">
        <v>157</v>
      </c>
      <c r="J92" s="1">
        <f t="shared" si="14"/>
        <v>4.3999999999999997E-8</v>
      </c>
      <c r="Q92" s="1">
        <f t="shared" si="15"/>
        <v>434059.09090909088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182</v>
      </c>
      <c r="D93" s="1">
        <f>((2*G59+2*G65)+(6/B2)*(E6+2.5*B3*B9)+4*B16)/1.25</f>
        <v>321787855.09720671</v>
      </c>
      <c r="E93" s="1">
        <f>(2*(2*G59+2*G65)+(6/B2)*(E6+2.5*B3*B9)+8*B16)/2</f>
        <v>402234815.87150842</v>
      </c>
      <c r="F93" s="1">
        <f t="shared" si="11"/>
        <v>182</v>
      </c>
      <c r="G93" s="1">
        <f t="shared" si="12"/>
        <v>182</v>
      </c>
      <c r="H93" s="1" t="str">
        <f t="shared" si="13"/>
        <v>不使用增产剂</v>
      </c>
      <c r="I93" s="1" t="s">
        <v>159</v>
      </c>
      <c r="J93" s="1">
        <f t="shared" si="14"/>
        <v>1.8199999999999999E-7</v>
      </c>
      <c r="Q93" s="1">
        <f t="shared" si="15"/>
        <v>104937.36263736263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27</v>
      </c>
      <c r="D94" s="1">
        <f>((4*G41+G52+G32)+(6/B2)*(F6+2.5*B3*B9)+6*B16)/1.25</f>
        <v>482681585.84581012</v>
      </c>
      <c r="E94" s="1">
        <f>(2*(4*G41+G52+G32)+(6/B2)*(F6+2.5*B3*B9)+12*B16)/2</f>
        <v>603351979.30726266</v>
      </c>
      <c r="F94" s="1">
        <f t="shared" si="11"/>
        <v>27</v>
      </c>
      <c r="G94" s="1">
        <f t="shared" si="12"/>
        <v>27</v>
      </c>
      <c r="H94" s="1" t="str">
        <f t="shared" si="13"/>
        <v>不使用增产剂</v>
      </c>
      <c r="I94" s="1" t="s">
        <v>161</v>
      </c>
      <c r="J94" s="1">
        <f t="shared" si="14"/>
        <v>2.7E-8</v>
      </c>
      <c r="Q94" s="1">
        <f t="shared" si="15"/>
        <v>707355.5555555555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167</v>
      </c>
      <c r="D95" s="1">
        <f>((3*G94+3*G71+3*G59)+(8/B2)*(F6+2.5*B3*B9)+9*B16)/1.25</f>
        <v>724022479.96871519</v>
      </c>
      <c r="E95" s="1">
        <f>(2*(3*G94+3*G71+3*G59)+(8/B2)*(F6+2.5*B3*B9)+18*B16)/2</f>
        <v>905028095.96089399</v>
      </c>
      <c r="F95" s="1">
        <f t="shared" si="11"/>
        <v>167</v>
      </c>
      <c r="G95" s="1">
        <f t="shared" si="12"/>
        <v>167</v>
      </c>
      <c r="H95" s="1" t="str">
        <f t="shared" si="13"/>
        <v>不使用增产剂</v>
      </c>
      <c r="I95" s="1" t="s">
        <v>163</v>
      </c>
      <c r="J95" s="1">
        <f t="shared" si="14"/>
        <v>1.67E-7</v>
      </c>
      <c r="Q95" s="1">
        <f t="shared" si="15"/>
        <v>114362.87425149701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((B22+G59)+(20/B2)*(E6+B3*B9))</f>
        <v>47</v>
      </c>
      <c r="D96" s="1">
        <f>((B22+G59)+(20/B2)*(E6+2.5*B3*B9)+2*B16)/1.25</f>
        <v>160893892.34860337</v>
      </c>
      <c r="E96" s="1">
        <f>(2*(B22+G59)+(20/B2)*(E6+2.5*B3*B9)+4*B16)/2</f>
        <v>201117355.43575421</v>
      </c>
      <c r="F96" s="1">
        <f t="shared" si="11"/>
        <v>47</v>
      </c>
      <c r="G96" s="1">
        <f t="shared" si="12"/>
        <v>47</v>
      </c>
      <c r="H96" s="1" t="str">
        <f t="shared" si="13"/>
        <v>不使用增产剂</v>
      </c>
      <c r="I96" s="1" t="s">
        <v>165</v>
      </c>
      <c r="J96" s="1">
        <f t="shared" si="14"/>
        <v>4.6999999999999997E-8</v>
      </c>
      <c r="Q96" s="1">
        <f t="shared" si="15"/>
        <v>406353.19148936169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16.875</v>
      </c>
      <c r="D97" s="1">
        <f>(G114+(10/B2)*(D6+2.5*B3*B9)+B16)/10</f>
        <v>10055879.421787711</v>
      </c>
      <c r="E97" s="1">
        <f>(2*G114+(10/B2)*(D6+2.5*B3*B9)+2*B16)/16</f>
        <v>12569848.652234638</v>
      </c>
      <c r="F97" s="1">
        <f t="shared" si="11"/>
        <v>16.875</v>
      </c>
      <c r="G97" s="1">
        <f t="shared" si="12"/>
        <v>16.875</v>
      </c>
      <c r="H97" s="1" t="str">
        <f t="shared" si="13"/>
        <v>不使用增产剂</v>
      </c>
      <c r="I97" s="1" t="s">
        <v>167</v>
      </c>
      <c r="J97" s="1">
        <f t="shared" si="14"/>
        <v>1.6875000000000001E-8</v>
      </c>
      <c r="Q97" s="1">
        <f t="shared" si="15"/>
        <v>1131768.888888889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865</v>
      </c>
      <c r="D98" s="1">
        <f>((2*G95+4*G103+2*G93)+(6/B2)*(F6+2.5*B3*B9)+8*B16)/1.25</f>
        <v>643576110.9944135</v>
      </c>
      <c r="E98" s="1">
        <f>(2*(2*G95+4*G103+2*G93)+(6/B2)*(F6+2.5*B3*B9)+16*B16)/2</f>
        <v>804470135.74301684</v>
      </c>
      <c r="F98" s="1">
        <f t="shared" si="11"/>
        <v>865</v>
      </c>
      <c r="G98" s="1">
        <f t="shared" si="12"/>
        <v>865</v>
      </c>
      <c r="H98" s="1" t="str">
        <f t="shared" si="13"/>
        <v>不使用增产剂</v>
      </c>
      <c r="I98" s="1" t="s">
        <v>169</v>
      </c>
      <c r="J98" s="1">
        <f t="shared" si="14"/>
        <v>8.6499999999999998E-7</v>
      </c>
      <c r="Q98" s="1">
        <f t="shared" si="15"/>
        <v>22079.306358381502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0.5</v>
      </c>
      <c r="D99" s="1">
        <f>((0.5/B2)*(D6+2.5*B3*B9)+B16)/1.25</f>
        <v>80446927.774301678</v>
      </c>
      <c r="E99" s="1">
        <f>((0.5/B2)*(D6+2.5*B3*B9)+2*B16)/2</f>
        <v>100558659.4678771</v>
      </c>
      <c r="F99" s="1">
        <f t="shared" si="11"/>
        <v>0.5</v>
      </c>
      <c r="G99" s="1">
        <f t="shared" si="12"/>
        <v>0.5</v>
      </c>
      <c r="H99" s="1" t="str">
        <f t="shared" si="13"/>
        <v>不使用增产剂</v>
      </c>
      <c r="I99" s="1" t="s">
        <v>171</v>
      </c>
      <c r="J99" s="1">
        <f t="shared" si="14"/>
        <v>5.0000000000000003E-10</v>
      </c>
      <c r="Q99" s="1">
        <f t="shared" si="15"/>
        <v>38197200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((2*G99+H22)+(1/B2)*(E6+B3*B9))</f>
        <v>6</v>
      </c>
      <c r="D100" s="1">
        <f>((2*G99+H22)+(1/B2)*(E6+2.5*B3*B9)+3*B16)/1.25</f>
        <v>241340786.92290506</v>
      </c>
      <c r="E100" s="1">
        <f>(2*(2*G99+H22)+(1/B2)*(E6+2.5*B3*B9)+6*B16)/2</f>
        <v>301675983.15363133</v>
      </c>
      <c r="F100" s="1">
        <f t="shared" si="11"/>
        <v>6</v>
      </c>
      <c r="G100" s="1">
        <f t="shared" si="12"/>
        <v>6</v>
      </c>
      <c r="H100" s="1" t="str">
        <f t="shared" si="13"/>
        <v>不使用增产剂</v>
      </c>
      <c r="I100" s="1" t="s">
        <v>173</v>
      </c>
      <c r="J100" s="1">
        <f t="shared" si="14"/>
        <v>6E-9</v>
      </c>
      <c r="Q100" s="1">
        <f t="shared" si="15"/>
        <v>3183100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((2*G100+G22)+(2/B2)*(E6+B3*B9))</f>
        <v>18.5</v>
      </c>
      <c r="D101" s="1">
        <f>((2*G100+G22)+(2/B2)*(E6+2.5*B3*B9)+3*B16)/1.25</f>
        <v>241340796.92290506</v>
      </c>
      <c r="E101" s="1">
        <f>(2*(2*G100+G22)+(2/B2)*(E6+2.5*B3*B9)+6*B16)/2</f>
        <v>301675995.15363133</v>
      </c>
      <c r="F101" s="1">
        <f t="shared" si="11"/>
        <v>18.5</v>
      </c>
      <c r="G101" s="1">
        <f t="shared" si="12"/>
        <v>18.5</v>
      </c>
      <c r="H101" s="1" t="str">
        <f t="shared" si="13"/>
        <v>不使用增产剂</v>
      </c>
      <c r="I101" s="1" t="s">
        <v>40</v>
      </c>
      <c r="J101" s="1">
        <f t="shared" si="14"/>
        <v>1.85E-8</v>
      </c>
      <c r="Q101" s="1">
        <f t="shared" si="15"/>
        <v>1032356.7567567568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4</v>
      </c>
      <c r="D102" s="1">
        <f>(G33+(6/B2)*(E6+2.5*B3*B9)+11*B16)/2.5</f>
        <v>442458103.75865924</v>
      </c>
      <c r="E102" s="1">
        <f>(2*G33+(6/B2)*(E6+2.5*B3*B9)+22*B16)/4</f>
        <v>553072628.19832408</v>
      </c>
      <c r="F102" s="1">
        <f t="shared" si="11"/>
        <v>4</v>
      </c>
      <c r="G102" s="1">
        <f t="shared" si="12"/>
        <v>4</v>
      </c>
      <c r="H102" s="1" t="str">
        <f t="shared" si="13"/>
        <v>不使用增产剂</v>
      </c>
      <c r="I102" s="1" t="s">
        <v>176</v>
      </c>
      <c r="J102" s="1">
        <f t="shared" si="14"/>
        <v>4.0000000000000002E-9</v>
      </c>
      <c r="Q102" s="1">
        <f t="shared" si="15"/>
        <v>4774650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((G52+20*C22+G91)+(12/B2)*(F6+B3*B9))/2</f>
        <v>40.25</v>
      </c>
      <c r="D103" s="1">
        <f>((G52+20*C22+G91)+(12/B2)*(F6+2.5*B3*B9)+22*B16)/2.5</f>
        <v>884916233.31731856</v>
      </c>
      <c r="E103" s="1">
        <f>(2*(G52+20*C22+G91)+(12/B2)*(F6+2.5*B3*B9)+44*B16)/4</f>
        <v>1106145288.6466482</v>
      </c>
      <c r="F103" s="1">
        <f t="shared" si="11"/>
        <v>40.25</v>
      </c>
      <c r="G103" s="1">
        <f t="shared" si="12"/>
        <v>40.25</v>
      </c>
      <c r="H103" s="1" t="str">
        <f t="shared" si="13"/>
        <v>不使用增产剂</v>
      </c>
      <c r="I103" s="1" t="s">
        <v>178</v>
      </c>
      <c r="J103" s="1">
        <f t="shared" si="14"/>
        <v>4.025E-8</v>
      </c>
      <c r="Q103" s="1">
        <f t="shared" si="15"/>
        <v>474499.37888198759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107</v>
      </c>
      <c r="D104" s="1" t="s">
        <v>96</v>
      </c>
      <c r="E104" s="1">
        <f>(2*(12*G72+G96+G52)+(24/B2)*(G6+2.5*B3*B9)+52*B16)/4</f>
        <v>1307262670.8324025</v>
      </c>
      <c r="F104" s="1">
        <f t="shared" si="11"/>
        <v>107</v>
      </c>
      <c r="G104" s="1">
        <f t="shared" si="12"/>
        <v>107</v>
      </c>
      <c r="H104" s="1" t="str">
        <f t="shared" si="13"/>
        <v>不使用增产剂</v>
      </c>
      <c r="I104" s="1" t="s">
        <v>180</v>
      </c>
      <c r="J104" s="1">
        <f t="shared" si="14"/>
        <v>1.0700000000000001E-7</v>
      </c>
      <c r="Q104" s="1">
        <f t="shared" si="15"/>
        <v>178491.58878504674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19</v>
      </c>
      <c r="D105" s="1">
        <f>((2*G51+3*G31)+(4/B2)*(E6+2.5*B3*B9)+5*B16)/1.25</f>
        <v>402234652.07150841</v>
      </c>
      <c r="E105" s="1">
        <f>(2*(2*G51+3*G31)+(4/B2)*(E6+2.5*B3*B9)+10*B16)/2</f>
        <v>502793313.08938551</v>
      </c>
      <c r="F105" s="1">
        <f t="shared" si="11"/>
        <v>19</v>
      </c>
      <c r="G105" s="1">
        <f t="shared" si="12"/>
        <v>19</v>
      </c>
      <c r="H105" s="1" t="str">
        <f t="shared" si="13"/>
        <v>不使用增产剂</v>
      </c>
      <c r="I105" s="1" t="s">
        <v>182</v>
      </c>
      <c r="J105" s="1">
        <f t="shared" si="14"/>
        <v>1.9000000000000001E-8</v>
      </c>
      <c r="Q105" s="1">
        <f t="shared" si="15"/>
        <v>1005189.4736842106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181</v>
      </c>
      <c r="D106" s="1">
        <f>((5*G52+5*G61)+(6/B2)*(E6+2.5*B3*B9)+10*B16)/1.25</f>
        <v>804469418.54301679</v>
      </c>
      <c r="E106" s="1">
        <f>(2*(5*G52+5*G61)+(6/B2)*(E6+2.5*B3*B9)+20*B16)/2</f>
        <v>1005586770.178771</v>
      </c>
      <c r="F106" s="1">
        <f t="shared" si="11"/>
        <v>181</v>
      </c>
      <c r="G106" s="1">
        <f t="shared" si="12"/>
        <v>181</v>
      </c>
      <c r="H106" s="1" t="str">
        <f t="shared" si="13"/>
        <v>不使用增产剂</v>
      </c>
      <c r="I106" s="1" t="s">
        <v>184</v>
      </c>
      <c r="J106" s="1">
        <f t="shared" si="14"/>
        <v>1.8099999999999999E-7</v>
      </c>
      <c r="Q106" s="1">
        <f t="shared" si="15"/>
        <v>105517.1270718232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7.5</v>
      </c>
      <c r="D110" s="1">
        <f>((G50+G57)+(3/G2)*(P6+2.5*G3*B9)+2*B16)/1.25</f>
        <v>160893860.74860337</v>
      </c>
      <c r="E110" s="1">
        <f>(2*(G50+G57)+(3/G2)*(P6+2.5*G3*B9)+4*B16)/2</f>
        <v>201117324.43575421</v>
      </c>
      <c r="F110" s="1">
        <f t="shared" ref="F110:F115" si="16">MIN(C110:E110)</f>
        <v>7.5</v>
      </c>
      <c r="G110" s="1">
        <f t="shared" ref="G110:G115" si="17">F110</f>
        <v>7.5</v>
      </c>
      <c r="H110" s="1" t="str">
        <f t="shared" ref="H110:H115" si="18">IF(C110=G110,"不使用增产剂","")&amp;IF(D110=G110,"增产","")&amp;IF(E110=G110,"加速","")</f>
        <v>不使用增产剂</v>
      </c>
      <c r="I110" s="1" t="s">
        <v>187</v>
      </c>
      <c r="J110" s="1">
        <f t="shared" ref="J110:J115" si="19">G110/1000000000</f>
        <v>7.4999999999999993E-9</v>
      </c>
      <c r="Q110" s="1">
        <f t="shared" ref="Q110:Q115" si="20">60*318310/G110</f>
        <v>2546480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10</v>
      </c>
      <c r="D111" s="1">
        <f>((2*G35)+(6/G2)*(P6+2.5*G3*B9)+4*B16)/1.25</f>
        <v>321787717.49720675</v>
      </c>
      <c r="E111" s="1">
        <f>(2*(2*G35)+(6/G2)*(P6+2.5*G3*B9)+8*B16)/2</f>
        <v>402234643.87150842</v>
      </c>
      <c r="F111" s="1">
        <f t="shared" si="16"/>
        <v>10</v>
      </c>
      <c r="G111" s="1">
        <f t="shared" si="17"/>
        <v>10</v>
      </c>
      <c r="H111" s="1" t="str">
        <f t="shared" si="18"/>
        <v>不使用增产剂</v>
      </c>
      <c r="I111" s="1" t="s">
        <v>189</v>
      </c>
      <c r="J111" s="1">
        <f t="shared" si="19"/>
        <v>1E-8</v>
      </c>
      <c r="Q111" s="1">
        <f t="shared" si="20"/>
        <v>1909860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((H22+G62)+(8/G2)*(P6+G3*B9))</f>
        <v>48</v>
      </c>
      <c r="D112" s="1">
        <f>((H22+G62)+(8/G2)*(P6+2.5*G3*B9)+2*B16)/1.25</f>
        <v>160893893.14860338</v>
      </c>
      <c r="E112" s="1">
        <f>(2*(H22+G62)+(8/G2)*(P6+2.5*G3*B9)+4*B16)/2</f>
        <v>201117362.43575421</v>
      </c>
      <c r="F112" s="1">
        <f t="shared" si="16"/>
        <v>48</v>
      </c>
      <c r="G112" s="1">
        <f t="shared" si="17"/>
        <v>48</v>
      </c>
      <c r="H112" s="1" t="str">
        <f t="shared" si="18"/>
        <v>不使用增产剂</v>
      </c>
      <c r="I112" s="1" t="s">
        <v>191</v>
      </c>
      <c r="J112" s="1">
        <f t="shared" si="19"/>
        <v>4.8E-8</v>
      </c>
      <c r="Q112" s="1">
        <f t="shared" si="20"/>
        <v>397887.5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81</v>
      </c>
      <c r="D113" s="1">
        <f>((2*G59+G74)+(10/G2)*(P6+2.5*G3*B9)+3*B16)/1.25</f>
        <v>241340846.92290506</v>
      </c>
      <c r="E113" s="1">
        <f>(2*(2*G59+G74)+(10/G2)*(P6+2.5*G3*B9)+6*B16)/2</f>
        <v>301676053.65363133</v>
      </c>
      <c r="F113" s="1">
        <f t="shared" si="16"/>
        <v>81</v>
      </c>
      <c r="G113" s="1">
        <f t="shared" si="17"/>
        <v>81</v>
      </c>
      <c r="H113" s="1" t="str">
        <f t="shared" si="18"/>
        <v>不使用增产剂</v>
      </c>
      <c r="I113" s="1" t="s">
        <v>193</v>
      </c>
      <c r="J113" s="1">
        <f t="shared" si="19"/>
        <v>8.0999999999999997E-8</v>
      </c>
      <c r="Q113" s="1">
        <f t="shared" si="20"/>
        <v>235785.1851851852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125</v>
      </c>
      <c r="D114" s="1">
        <f>((G93+G92)+(24/G2)*(P6+2.5*G3*B9)+2*B16)/2.5</f>
        <v>80447027.374301687</v>
      </c>
      <c r="E114" s="1">
        <f>(2*(G93+G92)+(24/G2)*(P6+2.5*G3*B9)+4*B16)/4</f>
        <v>100558778.2178771</v>
      </c>
      <c r="F114" s="1">
        <f t="shared" si="16"/>
        <v>125</v>
      </c>
      <c r="G114" s="1">
        <f t="shared" si="17"/>
        <v>125</v>
      </c>
      <c r="H114" s="1" t="str">
        <f t="shared" si="18"/>
        <v>不使用增产剂</v>
      </c>
      <c r="I114" s="1" t="s">
        <v>195</v>
      </c>
      <c r="J114" s="1">
        <f t="shared" si="19"/>
        <v>1.2499999999999999E-7</v>
      </c>
      <c r="Q114" s="1">
        <f t="shared" si="20"/>
        <v>152788.79999999999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297.5</v>
      </c>
      <c r="D115" s="1">
        <f>((G110+G111+G112+G113+G114+G72)+(15/G2)*(Q6+2.5*G3*B9)+6*B16)/1.25</f>
        <v>482681802.24581015</v>
      </c>
      <c r="E115" s="1">
        <f>(2*(G110+G111+G112+G113+G114+G72)+(15/G2)*(Q6+2.5*G3*B9)+12*B16)/2</f>
        <v>603352245.30726266</v>
      </c>
      <c r="F115" s="1">
        <f t="shared" si="16"/>
        <v>297.5</v>
      </c>
      <c r="G115" s="1">
        <f t="shared" si="17"/>
        <v>297.5</v>
      </c>
      <c r="H115" s="1" t="str">
        <f t="shared" si="18"/>
        <v>不使用增产剂</v>
      </c>
      <c r="I115" s="1" t="s">
        <v>197</v>
      </c>
      <c r="J115" s="1">
        <f t="shared" si="19"/>
        <v>2.9750000000000001E-7</v>
      </c>
      <c r="Q115" s="1">
        <f t="shared" si="20"/>
        <v>64196.974789915963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65" priority="4" operator="equal">
      <formula>"不使用增产剂"</formula>
    </cfRule>
    <cfRule type="cellIs" dxfId="64" priority="5" operator="equal">
      <formula>"加速"</formula>
    </cfRule>
    <cfRule type="cellIs" dxfId="63" priority="6" operator="equal">
      <formula>"增产"</formula>
    </cfRule>
  </conditionalFormatting>
  <conditionalFormatting sqref="A75:B75">
    <cfRule type="cellIs" dxfId="62" priority="10" operator="equal">
      <formula>"不使用增产剂"</formula>
    </cfRule>
    <cfRule type="cellIs" dxfId="61" priority="11" operator="equal">
      <formula>"加速"</formula>
    </cfRule>
    <cfRule type="cellIs" dxfId="60" priority="12" operator="equal">
      <formula>"增产"</formula>
    </cfRule>
  </conditionalFormatting>
  <conditionalFormatting sqref="A49:F49">
    <cfRule type="cellIs" dxfId="59" priority="28" operator="equal">
      <formula>"不使用增产剂"</formula>
    </cfRule>
    <cfRule type="cellIs" dxfId="58" priority="29" operator="equal">
      <formula>"加速"</formula>
    </cfRule>
    <cfRule type="cellIs" dxfId="57" priority="30" operator="equal">
      <formula>"增产"</formula>
    </cfRule>
  </conditionalFormatting>
  <conditionalFormatting sqref="A90:F90">
    <cfRule type="cellIs" dxfId="56" priority="25" operator="equal">
      <formula>"不使用增产剂"</formula>
    </cfRule>
    <cfRule type="cellIs" dxfId="55" priority="26" operator="equal">
      <formula>"加速"</formula>
    </cfRule>
    <cfRule type="cellIs" dxfId="54" priority="27" operator="equal">
      <formula>"增产"</formula>
    </cfRule>
  </conditionalFormatting>
  <conditionalFormatting sqref="A109:F109">
    <cfRule type="cellIs" dxfId="53" priority="22" operator="equal">
      <formula>"不使用增产剂"</formula>
    </cfRule>
    <cfRule type="cellIs" dxfId="52" priority="23" operator="equal">
      <formula>"加速"</formula>
    </cfRule>
    <cfRule type="cellIs" dxfId="51" priority="24" operator="equal">
      <formula>"增产"</formula>
    </cfRule>
  </conditionalFormatting>
  <conditionalFormatting sqref="A26:H38 A39:G42 H39:H49 A43:B44 F43:G44 A45:G47 F48 A50:H74 F75:H78">
    <cfRule type="cellIs" dxfId="50" priority="31" operator="equal">
      <formula>"不使用增产剂"</formula>
    </cfRule>
    <cfRule type="cellIs" dxfId="49" priority="32" operator="equal">
      <formula>"加速"</formula>
    </cfRule>
    <cfRule type="cellIs" dxfId="48" priority="33" operator="equal">
      <formula>"增产"</formula>
    </cfRule>
  </conditionalFormatting>
  <conditionalFormatting sqref="A91:I106">
    <cfRule type="cellIs" dxfId="47" priority="16" operator="equal">
      <formula>"不使用增产剂"</formula>
    </cfRule>
    <cfRule type="cellIs" dxfId="46" priority="17" operator="equal">
      <formula>"加速"</formula>
    </cfRule>
    <cfRule type="cellIs" dxfId="45" priority="18" operator="equal">
      <formula>"增产"</formula>
    </cfRule>
  </conditionalFormatting>
  <conditionalFormatting sqref="A110:I115">
    <cfRule type="cellIs" dxfId="44" priority="13" operator="equal">
      <formula>"不使用增产剂"</formula>
    </cfRule>
    <cfRule type="cellIs" dxfId="43" priority="14" operator="equal">
      <formula>"加速"</formula>
    </cfRule>
    <cfRule type="cellIs" dxfId="42" priority="15" operator="equal">
      <formula>"增产"</formula>
    </cfRule>
  </conditionalFormatting>
  <conditionalFormatting sqref="I30:I45">
    <cfRule type="cellIs" dxfId="41" priority="19" operator="equal">
      <formula>"不使用增产剂"</formula>
    </cfRule>
    <cfRule type="cellIs" dxfId="40" priority="20" operator="equal">
      <formula>"加速"</formula>
    </cfRule>
    <cfRule type="cellIs" dxfId="39" priority="21" operator="equal">
      <formula>"增产"</formula>
    </cfRule>
  </conditionalFormatting>
  <conditionalFormatting sqref="I50:I75">
    <cfRule type="cellIs" dxfId="38" priority="7" operator="equal">
      <formula>"不使用增产剂"</formula>
    </cfRule>
    <cfRule type="cellIs" dxfId="37" priority="8" operator="equal">
      <formula>"加速"</formula>
    </cfRule>
    <cfRule type="cellIs" dxfId="36" priority="9" operator="equal">
      <formula>"增产"</formula>
    </cfRule>
  </conditionalFormatting>
  <conditionalFormatting sqref="I77">
    <cfRule type="cellIs" dxfId="35" priority="1" operator="equal">
      <formula>"不使用增产剂"</formula>
    </cfRule>
    <cfRule type="cellIs" dxfId="34" priority="2" operator="equal">
      <formula>"加速"</formula>
    </cfRule>
    <cfRule type="cellIs" dxfId="33" priority="3" operator="equal">
      <formula>"增产"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D461-360C-45B9-A8D0-1FC7D82742C3}">
  <dimension ref="A1:U115"/>
  <sheetViews>
    <sheetView workbookViewId="0">
      <selection activeCell="G16" sqref="G1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22.75" style="1" customWidth="1"/>
    <col min="13" max="13" width="11.125" style="1" customWidth="1"/>
    <col min="14" max="14" width="11.25" style="1" customWidth="1"/>
    <col min="15" max="15" width="11.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0.75</v>
      </c>
      <c r="C2" s="1">
        <v>1</v>
      </c>
      <c r="D2" s="1">
        <v>1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0.27</v>
      </c>
      <c r="C3" s="1">
        <v>0.36</v>
      </c>
      <c r="D3" s="1">
        <v>0.72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239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31</v>
      </c>
      <c r="B8" s="1" t="s">
        <v>32</v>
      </c>
      <c r="C8" s="1" t="s">
        <v>33</v>
      </c>
      <c r="D8" s="1" t="s">
        <v>34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</row>
    <row r="9" spans="1:21" x14ac:dyDescent="0.2">
      <c r="A9" s="1" t="s">
        <v>35</v>
      </c>
      <c r="B9" s="1">
        <v>1000000000</v>
      </c>
      <c r="C9" s="1">
        <f>(F104+F101/74+50*R6)/7200</f>
        <v>12014412.746079413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36</v>
      </c>
      <c r="C10" s="1">
        <f>(F104+100*R6)/7200</f>
        <v>12001111.111111112</v>
      </c>
      <c r="D10" s="1">
        <f>100*R6/7200</f>
        <v>0</v>
      </c>
    </row>
    <row r="14" spans="1:21" x14ac:dyDescent="0.2">
      <c r="A14" s="1" t="s">
        <v>248</v>
      </c>
      <c r="B14" s="1">
        <v>15000000</v>
      </c>
      <c r="C14" s="1">
        <v>1.125</v>
      </c>
      <c r="D14" s="1">
        <v>1.25</v>
      </c>
      <c r="E14" s="1">
        <v>1.3</v>
      </c>
    </row>
    <row r="15" spans="1:21" x14ac:dyDescent="0.2">
      <c r="A15" s="1" t="s">
        <v>37</v>
      </c>
      <c r="B15" s="1" t="s">
        <v>249</v>
      </c>
      <c r="C15" s="1" t="s">
        <v>251</v>
      </c>
      <c r="D15" s="1" t="s">
        <v>252</v>
      </c>
      <c r="E15" s="1" t="s">
        <v>250</v>
      </c>
      <c r="F15" s="1" t="s">
        <v>39</v>
      </c>
      <c r="G15" s="1" t="s">
        <v>242</v>
      </c>
      <c r="H15" s="1" t="s">
        <v>243</v>
      </c>
      <c r="I15" s="1" t="s">
        <v>244</v>
      </c>
      <c r="J15" s="1" t="s">
        <v>245</v>
      </c>
      <c r="K15" s="1" t="s">
        <v>246</v>
      </c>
    </row>
    <row r="16" spans="1:21" ht="14.25" customHeight="1" x14ac:dyDescent="0.2">
      <c r="A16" s="1" t="s">
        <v>40</v>
      </c>
      <c r="B16" s="1">
        <v>100558659.2178771</v>
      </c>
      <c r="C16" s="1">
        <v>1.25</v>
      </c>
      <c r="D16" s="1">
        <v>2</v>
      </c>
      <c r="E16" s="1">
        <v>2.5</v>
      </c>
      <c r="F16" s="1">
        <f>F101/74</f>
        <v>95771771.771771759</v>
      </c>
      <c r="G16" s="1">
        <v>0</v>
      </c>
      <c r="H16" s="1">
        <v>97297297.297297299</v>
      </c>
      <c r="I16" s="1">
        <v>97297297.297297299</v>
      </c>
      <c r="J16" s="1">
        <v>100452885.31775019</v>
      </c>
      <c r="K16" s="1">
        <f>(J16-I16)/(1-(H16-J16)/(G16-I16))+I16</f>
        <v>100558659.2178771</v>
      </c>
    </row>
    <row r="17" spans="1:18" ht="15" customHeight="1" x14ac:dyDescent="0.2">
      <c r="A17" s="1" t="s">
        <v>173</v>
      </c>
      <c r="B17" s="1">
        <v>80000000</v>
      </c>
      <c r="C17" s="1">
        <v>1.2</v>
      </c>
      <c r="D17" s="1">
        <v>1.5</v>
      </c>
      <c r="E17" s="1">
        <v>1.7</v>
      </c>
      <c r="F17" s="1">
        <f>G100/27</f>
        <v>76148148.148148149</v>
      </c>
    </row>
    <row r="18" spans="1:18" x14ac:dyDescent="0.2">
      <c r="A18" s="1" t="s">
        <v>171</v>
      </c>
      <c r="B18" s="1">
        <v>15000000</v>
      </c>
      <c r="C18" s="1">
        <v>1.125</v>
      </c>
      <c r="D18" s="1">
        <v>1.25</v>
      </c>
      <c r="E18" s="1">
        <v>1.3</v>
      </c>
      <c r="F18" s="1">
        <f>G99/12</f>
        <v>15000000</v>
      </c>
    </row>
    <row r="21" spans="1:18" x14ac:dyDescent="0.2">
      <c r="A21" s="1" t="s">
        <v>41</v>
      </c>
      <c r="B21" s="1" t="s">
        <v>42</v>
      </c>
      <c r="C21" s="1" t="s">
        <v>43</v>
      </c>
      <c r="D21" s="1" t="s">
        <v>44</v>
      </c>
      <c r="E21" s="1" t="s">
        <v>45</v>
      </c>
      <c r="F21" s="1" t="s">
        <v>46</v>
      </c>
      <c r="G21" s="1" t="s">
        <v>47</v>
      </c>
      <c r="H21" s="1" t="s">
        <v>233</v>
      </c>
      <c r="I21" s="1" t="s">
        <v>231</v>
      </c>
      <c r="J21" s="1" t="s">
        <v>232</v>
      </c>
    </row>
    <row r="22" spans="1:18" x14ac:dyDescent="0.2">
      <c r="A22" s="1" t="s">
        <v>48</v>
      </c>
      <c r="B22" s="1" t="s">
        <v>49</v>
      </c>
      <c r="C22" s="1">
        <v>0</v>
      </c>
      <c r="D22" s="1" t="s">
        <v>49</v>
      </c>
      <c r="E22" s="1" t="s">
        <v>49</v>
      </c>
      <c r="F22" s="1">
        <v>0</v>
      </c>
      <c r="G22" s="1" t="s">
        <v>49</v>
      </c>
      <c r="H22" s="1" t="s">
        <v>49</v>
      </c>
      <c r="I22" s="1" t="s">
        <v>49</v>
      </c>
      <c r="J22" s="1">
        <v>0</v>
      </c>
    </row>
    <row r="23" spans="1:18" x14ac:dyDescent="0.2">
      <c r="A23" s="1" t="s">
        <v>51</v>
      </c>
      <c r="B23" s="1">
        <f>G67</f>
        <v>17263253772.290813</v>
      </c>
      <c r="C23" s="1">
        <f>G43</f>
        <v>4278245240.429491</v>
      </c>
      <c r="D23" s="1">
        <f>G64</f>
        <v>20613069958.847733</v>
      </c>
      <c r="E23" s="1">
        <f>G69</f>
        <v>4399111111.1111107</v>
      </c>
      <c r="F23" s="1">
        <f>10*S6</f>
        <v>0</v>
      </c>
      <c r="G23" s="1">
        <f>G75</f>
        <v>2880000000</v>
      </c>
      <c r="H23" s="1">
        <f>G76</f>
        <v>1440000000</v>
      </c>
      <c r="I23" s="1">
        <f>G77</f>
        <v>1440000000</v>
      </c>
      <c r="J23" s="1">
        <f>G78</f>
        <v>17966666666.666664</v>
      </c>
    </row>
    <row r="24" spans="1:18" x14ac:dyDescent="0.2">
      <c r="A24" s="1" t="s">
        <v>52</v>
      </c>
      <c r="B24" s="1">
        <f>G66</f>
        <v>2160000000</v>
      </c>
      <c r="C24" s="1">
        <f>G44</f>
        <v>6000000000</v>
      </c>
      <c r="D24" s="1">
        <f>G63</f>
        <v>2880000000</v>
      </c>
      <c r="E24" s="1">
        <f>G70</f>
        <v>1788000000</v>
      </c>
      <c r="F24" s="1">
        <f>G45</f>
        <v>406295833.33333331</v>
      </c>
      <c r="G24" s="1">
        <f>G41</f>
        <v>1440000000</v>
      </c>
      <c r="H24" s="1">
        <f>G38</f>
        <v>270000000</v>
      </c>
      <c r="I24" s="1">
        <f>G37</f>
        <v>270000000</v>
      </c>
      <c r="J24" s="1" t="s">
        <v>234</v>
      </c>
    </row>
    <row r="25" spans="1:18" x14ac:dyDescent="0.2">
      <c r="A25" s="1" t="s">
        <v>53</v>
      </c>
      <c r="B25" s="1">
        <f>B24</f>
        <v>2160000000</v>
      </c>
      <c r="C25" s="1">
        <f>C22</f>
        <v>0</v>
      </c>
      <c r="D25" s="1">
        <f>D23</f>
        <v>20613069958.847733</v>
      </c>
      <c r="E25" s="1">
        <f>E24</f>
        <v>1788000000</v>
      </c>
      <c r="F25" s="1">
        <f>F23</f>
        <v>0</v>
      </c>
      <c r="G25" s="1">
        <f>G23</f>
        <v>2880000000</v>
      </c>
      <c r="H25" s="1">
        <f>H23</f>
        <v>1440000000</v>
      </c>
      <c r="I25" s="1">
        <f>I23</f>
        <v>1440000000</v>
      </c>
      <c r="J25" s="1">
        <f>J23</f>
        <v>17966666666.666664</v>
      </c>
    </row>
    <row r="26" spans="1:18" ht="25.5" x14ac:dyDescent="0.2">
      <c r="A26" s="3" t="s">
        <v>54</v>
      </c>
      <c r="B26" s="3"/>
      <c r="C26" s="3"/>
      <c r="D26" s="3"/>
      <c r="E26" s="3"/>
      <c r="F26" s="3"/>
    </row>
    <row r="27" spans="1:18" x14ac:dyDescent="0.2">
      <c r="C27" s="4" t="s">
        <v>55</v>
      </c>
      <c r="D27" s="4"/>
      <c r="E27" s="4"/>
      <c r="F27" s="4"/>
      <c r="G27" s="4"/>
    </row>
    <row r="28" spans="1:18" x14ac:dyDescent="0.2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  <c r="G28" s="1" t="s">
        <v>62</v>
      </c>
      <c r="H28" s="1" t="s">
        <v>63</v>
      </c>
      <c r="J28" s="1" t="s">
        <v>238</v>
      </c>
      <c r="Q28" s="1" t="s">
        <v>64</v>
      </c>
    </row>
    <row r="29" spans="1:18" ht="19.5" x14ac:dyDescent="0.2">
      <c r="A29" s="2" t="s">
        <v>65</v>
      </c>
      <c r="B29" s="2"/>
      <c r="C29" s="2"/>
      <c r="D29" s="2"/>
      <c r="E29" s="2"/>
      <c r="F29" s="2"/>
    </row>
    <row r="30" spans="1:18" x14ac:dyDescent="0.2">
      <c r="A30" s="1" t="s">
        <v>66</v>
      </c>
      <c r="B30" s="1" t="s">
        <v>67</v>
      </c>
      <c r="C30" s="1">
        <f>(B6+C3*B9)/C2</f>
        <v>360000000</v>
      </c>
      <c r="D30" s="1">
        <f>((B6+C3*B9*E14)/C2+B14)/C14</f>
        <v>429333333.33333331</v>
      </c>
      <c r="E30" s="1">
        <f>((B6+C3*B9*E14)/C2+2*B14)/D14</f>
        <v>398400000</v>
      </c>
      <c r="F30" s="1">
        <f>MIN(C30:E30)</f>
        <v>360000000</v>
      </c>
      <c r="G30" s="1">
        <f>F30</f>
        <v>360000000</v>
      </c>
      <c r="H30" s="1" t="str">
        <f t="shared" ref="H30:H37" si="0">IF(C30=G30,"不使用增产剂","")&amp;IF(D30=G30,"增产","")&amp;IF(E30=G30,"加速","")</f>
        <v>不使用增产剂</v>
      </c>
      <c r="I30" s="1" t="s">
        <v>66</v>
      </c>
      <c r="J30" s="1">
        <f t="shared" ref="J30:J45" si="1">G30/1000000000</f>
        <v>0.36</v>
      </c>
      <c r="Q30" s="1">
        <f t="shared" ref="Q30:Q45" si="2">60*318310/G30</f>
        <v>5.3051666666666664E-2</v>
      </c>
      <c r="R30" s="1" t="s">
        <v>68</v>
      </c>
    </row>
    <row r="31" spans="1:18" x14ac:dyDescent="0.2">
      <c r="A31" s="1" t="s">
        <v>69</v>
      </c>
      <c r="B31" s="1" t="s">
        <v>70</v>
      </c>
      <c r="C31" s="1">
        <f>(B6+C3*B9)/C2</f>
        <v>360000000</v>
      </c>
      <c r="D31" s="1">
        <f>((B6+C3*B9*E14)/C2+B14)/C14</f>
        <v>429333333.33333331</v>
      </c>
      <c r="E31" s="1">
        <f>((B6+C3*B9*2.5)/C2+2*B14)/2</f>
        <v>465000000</v>
      </c>
      <c r="F31" s="1">
        <f t="shared" ref="F31:F44" si="3">MIN(C31:E31)</f>
        <v>360000000</v>
      </c>
      <c r="G31" s="1">
        <f t="shared" ref="G31:G44" si="4">F31</f>
        <v>360000000</v>
      </c>
      <c r="H31" s="1" t="str">
        <f t="shared" si="0"/>
        <v>不使用增产剂</v>
      </c>
      <c r="I31" s="1" t="s">
        <v>69</v>
      </c>
      <c r="J31" s="1">
        <f t="shared" si="1"/>
        <v>0.36</v>
      </c>
      <c r="Q31" s="1">
        <f t="shared" si="2"/>
        <v>5.3051666666666664E-2</v>
      </c>
      <c r="R31" s="1" t="s">
        <v>68</v>
      </c>
    </row>
    <row r="32" spans="1:18" x14ac:dyDescent="0.2">
      <c r="A32" s="1" t="s">
        <v>71</v>
      </c>
      <c r="B32" s="1" t="s">
        <v>72</v>
      </c>
      <c r="C32" s="1">
        <f>2*(B6+C3*B9)/C2</f>
        <v>720000000</v>
      </c>
      <c r="D32" s="1">
        <f>(2*(B6+C3*B9*E14)/C2+2*B14)/C14</f>
        <v>858666666.66666663</v>
      </c>
      <c r="E32" s="1">
        <f>(2*(B6+C3*B9*2.5)/C2+4*B14)/2</f>
        <v>930000000</v>
      </c>
      <c r="F32" s="1">
        <f t="shared" si="3"/>
        <v>720000000</v>
      </c>
      <c r="G32" s="1">
        <f t="shared" si="4"/>
        <v>720000000</v>
      </c>
      <c r="H32" s="1" t="str">
        <f>IF(C32=G32,"不使用增产剂","")&amp;IF(D32=G32,"增产","")&amp;IF(E32=G32,"加速","")</f>
        <v>不使用增产剂</v>
      </c>
      <c r="I32" s="1" t="s">
        <v>71</v>
      </c>
      <c r="J32" s="1">
        <f t="shared" si="1"/>
        <v>0.72</v>
      </c>
      <c r="Q32" s="1">
        <f t="shared" si="2"/>
        <v>2.6525833333333332E-2</v>
      </c>
      <c r="R32" s="1" t="s">
        <v>68</v>
      </c>
    </row>
    <row r="33" spans="1:18" x14ac:dyDescent="0.2">
      <c r="A33" s="1" t="s">
        <v>73</v>
      </c>
      <c r="B33" s="1" t="s">
        <v>74</v>
      </c>
      <c r="C33" s="1">
        <f>2*(B6+C3*B9)/C2</f>
        <v>720000000</v>
      </c>
      <c r="D33" s="1">
        <f>(2*(B6+C3*B9*E14)/C2+2*B14)/C14</f>
        <v>858666666.66666663</v>
      </c>
      <c r="E33" s="1">
        <f>(2*(B6+C3*B9*2.5)/C2+4*B14)/2</f>
        <v>930000000</v>
      </c>
      <c r="F33" s="1">
        <f t="shared" si="3"/>
        <v>720000000</v>
      </c>
      <c r="G33" s="1">
        <f t="shared" si="4"/>
        <v>720000000</v>
      </c>
      <c r="H33" s="1" t="str">
        <f t="shared" si="0"/>
        <v>不使用增产剂</v>
      </c>
      <c r="I33" s="1" t="s">
        <v>73</v>
      </c>
      <c r="J33" s="1">
        <f t="shared" si="1"/>
        <v>0.72</v>
      </c>
      <c r="Q33" s="1">
        <f t="shared" si="2"/>
        <v>2.6525833333333332E-2</v>
      </c>
      <c r="R33" s="1" t="s">
        <v>68</v>
      </c>
    </row>
    <row r="34" spans="1:18" x14ac:dyDescent="0.2">
      <c r="A34" s="1" t="s">
        <v>75</v>
      </c>
      <c r="B34" s="1" t="s">
        <v>76</v>
      </c>
      <c r="C34" s="1">
        <f>(B6+C3*B9)/C2</f>
        <v>360000000</v>
      </c>
      <c r="D34" s="1">
        <f>((B6+C3*B9*E14)/C2+B14)/C14</f>
        <v>429333333.33333331</v>
      </c>
      <c r="E34" s="1">
        <f>((B6+C3*B9*2.5)/C2+2*B14)/2</f>
        <v>465000000</v>
      </c>
      <c r="F34" s="1">
        <f t="shared" si="3"/>
        <v>360000000</v>
      </c>
      <c r="G34" s="1">
        <f t="shared" si="4"/>
        <v>360000000</v>
      </c>
      <c r="H34" s="1" t="str">
        <f t="shared" si="0"/>
        <v>不使用增产剂</v>
      </c>
      <c r="I34" s="1" t="s">
        <v>75</v>
      </c>
      <c r="J34" s="1">
        <f t="shared" si="1"/>
        <v>0.36</v>
      </c>
      <c r="Q34" s="1">
        <f t="shared" si="2"/>
        <v>5.3051666666666664E-2</v>
      </c>
      <c r="R34" s="1" t="s">
        <v>68</v>
      </c>
    </row>
    <row r="35" spans="1:18" x14ac:dyDescent="0.2">
      <c r="A35" s="1" t="s">
        <v>77</v>
      </c>
      <c r="B35" s="1" t="s">
        <v>78</v>
      </c>
      <c r="C35" s="1">
        <f>2*(B6+C3*B9)/C2</f>
        <v>720000000</v>
      </c>
      <c r="D35" s="1">
        <f>(2*(B6+C3*B9*E14)/C2+2*B14)/C14</f>
        <v>858666666.66666663</v>
      </c>
      <c r="E35" s="1">
        <f>(2*(B6+C3*B9*2.5)/C2+4*B14)/2</f>
        <v>930000000</v>
      </c>
      <c r="F35" s="1">
        <f t="shared" si="3"/>
        <v>720000000</v>
      </c>
      <c r="G35" s="1">
        <f t="shared" si="4"/>
        <v>720000000</v>
      </c>
      <c r="H35" s="1" t="str">
        <f t="shared" si="0"/>
        <v>不使用增产剂</v>
      </c>
      <c r="I35" s="1" t="s">
        <v>77</v>
      </c>
      <c r="J35" s="1">
        <f t="shared" si="1"/>
        <v>0.72</v>
      </c>
      <c r="Q35" s="1">
        <f t="shared" si="2"/>
        <v>2.6525833333333332E-2</v>
      </c>
      <c r="R35" s="1" t="s">
        <v>68</v>
      </c>
    </row>
    <row r="36" spans="1:18" x14ac:dyDescent="0.2">
      <c r="A36" s="1" t="s">
        <v>79</v>
      </c>
      <c r="B36" s="1" t="s">
        <v>80</v>
      </c>
      <c r="C36" s="1">
        <f>2*(B6+C3*B9)/C2</f>
        <v>720000000</v>
      </c>
      <c r="D36" s="1">
        <f>(2*(B6+C3*B9*E14)/C2+2*B14)/C14</f>
        <v>858666666.66666663</v>
      </c>
      <c r="E36" s="1">
        <f>(2*(B6+C3*B9*2.5)/C2+4*B14)/2</f>
        <v>930000000</v>
      </c>
      <c r="F36" s="1">
        <f t="shared" si="3"/>
        <v>720000000</v>
      </c>
      <c r="G36" s="1">
        <f t="shared" si="4"/>
        <v>720000000</v>
      </c>
      <c r="H36" s="1" t="str">
        <f t="shared" si="0"/>
        <v>不使用增产剂</v>
      </c>
      <c r="I36" s="1" t="s">
        <v>79</v>
      </c>
      <c r="J36" s="1">
        <f t="shared" si="1"/>
        <v>0.72</v>
      </c>
      <c r="Q36" s="1">
        <f t="shared" si="2"/>
        <v>2.6525833333333332E-2</v>
      </c>
      <c r="R36" s="1" t="s">
        <v>68</v>
      </c>
    </row>
    <row r="37" spans="1:18" x14ac:dyDescent="0.2">
      <c r="A37" s="1" t="s">
        <v>81</v>
      </c>
      <c r="B37" s="1" t="s">
        <v>82</v>
      </c>
      <c r="C37" s="1">
        <f>1.5*(D6+B3*B9)/(2*B2)</f>
        <v>270000000</v>
      </c>
      <c r="D37" s="1">
        <f>(1.5*(D6+B3*B9*E14)/B2+B14)/C14</f>
        <v>637333333.33333337</v>
      </c>
      <c r="E37" s="1">
        <f>(1.5*(D6+B3*B9*2.5)/B2+2*B14)/4</f>
        <v>345000000</v>
      </c>
      <c r="F37" s="1">
        <f t="shared" si="3"/>
        <v>270000000</v>
      </c>
      <c r="G37" s="1">
        <f t="shared" si="4"/>
        <v>270000000</v>
      </c>
      <c r="H37" s="1" t="str">
        <f t="shared" si="0"/>
        <v>不使用增产剂</v>
      </c>
      <c r="I37" s="1" t="s">
        <v>81</v>
      </c>
      <c r="J37" s="1">
        <f t="shared" si="1"/>
        <v>0.27</v>
      </c>
      <c r="Q37" s="1">
        <f t="shared" si="2"/>
        <v>7.0735555555555552E-2</v>
      </c>
      <c r="R37" s="1" t="s">
        <v>68</v>
      </c>
    </row>
    <row r="38" spans="1:18" x14ac:dyDescent="0.2">
      <c r="A38" s="1" t="s">
        <v>83</v>
      </c>
      <c r="B38" s="1" t="s">
        <v>84</v>
      </c>
      <c r="C38" s="1">
        <f>1.5*(B6+C3*B9)/(2*C2)</f>
        <v>270000000</v>
      </c>
      <c r="D38" s="1">
        <f>(1.5*(B6+C3*B9*E14)/C2+B14)/(2*C14)</f>
        <v>318666666.66666669</v>
      </c>
      <c r="E38" s="1">
        <f>(1.5*(B6+C3*B9*2.5)/C2+2*B14)/4</f>
        <v>345000000</v>
      </c>
      <c r="F38" s="1">
        <f t="shared" si="3"/>
        <v>270000000</v>
      </c>
      <c r="G38" s="1">
        <f t="shared" si="4"/>
        <v>270000000</v>
      </c>
      <c r="H38" s="1" t="str">
        <f>IF(C38=G38,"不使用增产剂","")&amp;IF(D38=G38,"增产","")&amp;IF(E38=G38,"加速","")</f>
        <v>不使用增产剂</v>
      </c>
      <c r="I38" s="1" t="s">
        <v>83</v>
      </c>
      <c r="J38" s="1">
        <f t="shared" si="1"/>
        <v>0.27</v>
      </c>
      <c r="Q38" s="1">
        <f t="shared" si="2"/>
        <v>7.0735555555555552E-2</v>
      </c>
      <c r="R38" s="1" t="s">
        <v>68</v>
      </c>
    </row>
    <row r="39" spans="1:18" x14ac:dyDescent="0.2">
      <c r="A39" s="1" t="s">
        <v>85</v>
      </c>
      <c r="B39" s="1" t="s">
        <v>86</v>
      </c>
      <c r="C39" s="1">
        <f>2*(I6+D3*B9)/(2*D2)</f>
        <v>720000000</v>
      </c>
      <c r="D39" s="1">
        <f>(2*(I6+D3*B9*E14)/D2+2*B14)/(2*C14)</f>
        <v>845333333.33333337</v>
      </c>
      <c r="E39" s="1">
        <f>(2*(I6+D3*B9*2.5)/D2+4*B14)/4</f>
        <v>915000000</v>
      </c>
      <c r="F39" s="1">
        <f t="shared" si="3"/>
        <v>720000000</v>
      </c>
      <c r="G39" s="1">
        <f t="shared" si="4"/>
        <v>720000000</v>
      </c>
      <c r="H39" s="1" t="str">
        <f t="shared" ref="H39:H45" si="5">IF(C39=G39,"不使用增产剂","")&amp;IF(D39=G39,"增产","")&amp;IF(E39=G39,"加速","")</f>
        <v>不使用增产剂</v>
      </c>
      <c r="I39" s="1" t="s">
        <v>85</v>
      </c>
      <c r="J39" s="1">
        <f t="shared" si="1"/>
        <v>0.72</v>
      </c>
      <c r="Q39" s="1">
        <f t="shared" si="2"/>
        <v>2.6525833333333332E-2</v>
      </c>
      <c r="R39" s="1" t="s">
        <v>68</v>
      </c>
    </row>
    <row r="40" spans="1:18" x14ac:dyDescent="0.2">
      <c r="A40" s="1" t="s">
        <v>87</v>
      </c>
      <c r="B40" s="1" t="s">
        <v>88</v>
      </c>
      <c r="C40" s="1">
        <f>(4/E2)*(N6+B9*E3)/2</f>
        <v>1920000000</v>
      </c>
      <c r="D40" s="1">
        <f>((4/E2)*(N6+B9*E3*E14)+2*B14)/(2*C14)</f>
        <v>2232000000</v>
      </c>
      <c r="E40" s="1">
        <f>((4/E2)*(N6+B9*E3*2.5)+4*B14)/4</f>
        <v>2415000000</v>
      </c>
      <c r="F40" s="1">
        <f t="shared" si="3"/>
        <v>1920000000</v>
      </c>
      <c r="G40" s="1">
        <f t="shared" si="4"/>
        <v>1920000000</v>
      </c>
      <c r="H40" s="1" t="str">
        <f t="shared" si="5"/>
        <v>不使用增产剂</v>
      </c>
      <c r="I40" s="1" t="s">
        <v>87</v>
      </c>
      <c r="J40" s="1">
        <f t="shared" si="1"/>
        <v>1.92</v>
      </c>
      <c r="Q40" s="1">
        <f t="shared" si="2"/>
        <v>9.9471874999999994E-3</v>
      </c>
      <c r="R40" s="1" t="s">
        <v>68</v>
      </c>
    </row>
    <row r="41" spans="1:18" x14ac:dyDescent="0.2">
      <c r="A41" s="1" t="s">
        <v>89</v>
      </c>
      <c r="B41" s="1" t="s">
        <v>90</v>
      </c>
      <c r="C41" s="1">
        <f>4*(I6+D3*B9)/(2*D2)</f>
        <v>1440000000</v>
      </c>
      <c r="D41" s="1">
        <f>(4*(I6+D3*B9*E14)/D2+6*B14)/(2*C14)</f>
        <v>1704000000</v>
      </c>
      <c r="E41" s="1">
        <f>(4*(I6+D3*B9*2.5)/D2+12*B14)/4</f>
        <v>1845000000</v>
      </c>
      <c r="F41" s="1">
        <f t="shared" si="3"/>
        <v>1440000000</v>
      </c>
      <c r="G41" s="1">
        <f t="shared" si="4"/>
        <v>1440000000</v>
      </c>
      <c r="H41" s="1" t="str">
        <f t="shared" si="5"/>
        <v>不使用增产剂</v>
      </c>
      <c r="I41" s="1" t="s">
        <v>89</v>
      </c>
      <c r="J41" s="1">
        <f t="shared" si="1"/>
        <v>1.44</v>
      </c>
      <c r="Q41" s="1">
        <f t="shared" si="2"/>
        <v>1.3262916666666666E-2</v>
      </c>
      <c r="R41" s="1" t="s">
        <v>68</v>
      </c>
    </row>
    <row r="42" spans="1:18" x14ac:dyDescent="0.2">
      <c r="A42" s="1" t="s">
        <v>91</v>
      </c>
      <c r="B42" s="1" t="s">
        <v>92</v>
      </c>
      <c r="C42" s="1">
        <f>1.5*(B6+C3*B9)/C2</f>
        <v>540000000</v>
      </c>
      <c r="D42" s="1">
        <f>(1.5*(B6+C3*B9*E14)/C2+B14)/C14</f>
        <v>637333333.33333337</v>
      </c>
      <c r="E42" s="1">
        <f>(1.5*(B6+C3*B9*2.5)/C2+2*B14)/2</f>
        <v>690000000</v>
      </c>
      <c r="F42" s="1">
        <f t="shared" si="3"/>
        <v>540000000</v>
      </c>
      <c r="G42" s="1">
        <f t="shared" si="4"/>
        <v>540000000</v>
      </c>
      <c r="H42" s="1" t="str">
        <f t="shared" si="5"/>
        <v>不使用增产剂</v>
      </c>
      <c r="I42" s="1" t="s">
        <v>91</v>
      </c>
      <c r="J42" s="1">
        <f t="shared" si="1"/>
        <v>0.54</v>
      </c>
      <c r="Q42" s="1">
        <f t="shared" si="2"/>
        <v>3.5367777777777776E-2</v>
      </c>
      <c r="R42" s="1" t="s">
        <v>68</v>
      </c>
    </row>
    <row r="43" spans="1:18" x14ac:dyDescent="0.2">
      <c r="A43" s="1" t="s">
        <v>93</v>
      </c>
      <c r="B43" s="1" t="s">
        <v>94</v>
      </c>
      <c r="C43" s="1" t="s">
        <v>95</v>
      </c>
      <c r="D43" s="1" t="s">
        <v>96</v>
      </c>
      <c r="E43" s="1">
        <f>(T6+B9*H3+H2*B14)/H2</f>
        <v>4278245240.429491</v>
      </c>
      <c r="F43" s="1">
        <f t="shared" si="3"/>
        <v>4278245240.429491</v>
      </c>
      <c r="G43" s="1">
        <f t="shared" si="4"/>
        <v>4278245240.429491</v>
      </c>
      <c r="H43" s="1" t="str">
        <f t="shared" si="5"/>
        <v>加速</v>
      </c>
      <c r="I43" s="1" t="s">
        <v>93</v>
      </c>
      <c r="J43" s="1">
        <f t="shared" si="1"/>
        <v>4.2782452404294906</v>
      </c>
      <c r="K43" s="1" t="s">
        <v>241</v>
      </c>
      <c r="Q43" s="1">
        <f t="shared" si="2"/>
        <v>4.4641199666437779E-3</v>
      </c>
      <c r="R43" s="1" t="s">
        <v>68</v>
      </c>
    </row>
    <row r="44" spans="1:18" x14ac:dyDescent="0.2">
      <c r="A44" s="1" t="s">
        <v>97</v>
      </c>
      <c r="B44" s="1" t="s">
        <v>98</v>
      </c>
      <c r="C44" s="1">
        <f>2.5*(J6+F3*B9)/F2/5</f>
        <v>6000000000</v>
      </c>
      <c r="D44" s="1">
        <f>(2.5*(J6+F3*B9*E14)/F2+10*B14)/(5*C14)</f>
        <v>6960000000</v>
      </c>
      <c r="E44" s="1">
        <f>(2.5*(J6+F3*B9*2.5)/F2+20*B14)/10</f>
        <v>7530000000</v>
      </c>
      <c r="F44" s="1">
        <f t="shared" si="3"/>
        <v>6000000000</v>
      </c>
      <c r="G44" s="1">
        <f t="shared" si="4"/>
        <v>6000000000</v>
      </c>
      <c r="H44" s="1" t="str">
        <f>IF(C44=G44,"不使用增产剂","")&amp;IF(D44=G44,"增产","")&amp;IF(E44=G44,"加速","")</f>
        <v>不使用增产剂</v>
      </c>
      <c r="I44" s="1" t="s">
        <v>97</v>
      </c>
      <c r="J44" s="1">
        <f t="shared" si="1"/>
        <v>6</v>
      </c>
      <c r="Q44" s="1">
        <f t="shared" si="2"/>
        <v>3.1830999999999999E-3</v>
      </c>
      <c r="R44" s="1" t="s">
        <v>68</v>
      </c>
    </row>
    <row r="45" spans="1:18" x14ac:dyDescent="0.2">
      <c r="A45" s="1" t="s">
        <v>99</v>
      </c>
      <c r="B45" s="1" t="s">
        <v>100</v>
      </c>
      <c r="C45" s="1">
        <f>((0.1*G92)+60*S6)/12</f>
        <v>812466666.66666663</v>
      </c>
      <c r="D45" s="1" t="s">
        <v>96</v>
      </c>
      <c r="E45" s="1">
        <f>((0.1*G92)+60*S6+0.1*B14)/24</f>
        <v>406295833.33333331</v>
      </c>
      <c r="F45" s="1">
        <f>MIN(C45:E45)</f>
        <v>406295833.33333331</v>
      </c>
      <c r="G45" s="1">
        <f>F45</f>
        <v>406295833.33333331</v>
      </c>
      <c r="H45" s="1" t="str">
        <f t="shared" si="5"/>
        <v>加速</v>
      </c>
      <c r="I45" s="1" t="s">
        <v>101</v>
      </c>
      <c r="J45" s="1">
        <f t="shared" si="1"/>
        <v>0.4062958333333333</v>
      </c>
      <c r="K45" s="1" t="s">
        <v>240</v>
      </c>
      <c r="Q45" s="1">
        <f t="shared" si="2"/>
        <v>4.7006635148855003E-2</v>
      </c>
      <c r="R45" s="1" t="s">
        <v>68</v>
      </c>
    </row>
    <row r="49" spans="1:18" ht="19.5" x14ac:dyDescent="0.2">
      <c r="A49" s="2" t="s">
        <v>102</v>
      </c>
      <c r="B49" s="2"/>
      <c r="C49" s="2"/>
      <c r="D49" s="2"/>
      <c r="E49" s="2"/>
      <c r="F49" s="2"/>
    </row>
    <row r="50" spans="1:18" x14ac:dyDescent="0.2">
      <c r="A50" s="1" t="s">
        <v>103</v>
      </c>
      <c r="B50" s="1" t="s">
        <v>104</v>
      </c>
      <c r="C50" s="1">
        <f>((2*G42+G31)+(E6+B3*B9)/B2)/2</f>
        <v>900000000</v>
      </c>
      <c r="D50" s="1">
        <f>((2*G42+G31)+(E6+B3*B9*E14)/B2+3*B14)/(2*C14)</f>
        <v>868000000</v>
      </c>
      <c r="E50" s="1">
        <f>(2*(2*G42+G31)+(E6+2.5*B3*B9)/B2+6*B14)/4</f>
        <v>967500000</v>
      </c>
      <c r="F50" s="1">
        <f t="shared" ref="F50:F78" si="6">MIN(C50:E50)</f>
        <v>868000000</v>
      </c>
      <c r="G50" s="1">
        <f t="shared" ref="G50:G78" si="7">F50</f>
        <v>868000000</v>
      </c>
      <c r="H50" s="1" t="str">
        <f t="shared" ref="H50:H78" si="8">IF(C50=G50,"不使用增产剂","")&amp;IF(D50=G50,"增产","")&amp;IF(E50=G50,"加速","")</f>
        <v>增产</v>
      </c>
      <c r="I50" s="1" t="s">
        <v>103</v>
      </c>
      <c r="J50" s="1">
        <f t="shared" ref="J50:J78" si="9">G50/1000000000</f>
        <v>0.86799999999999999</v>
      </c>
      <c r="Q50" s="1">
        <f t="shared" ref="Q50:Q78" si="10">60*318310/G50</f>
        <v>2.2002995391705069E-2</v>
      </c>
      <c r="R50" s="1" t="s">
        <v>68</v>
      </c>
    </row>
    <row r="51" spans="1:18" x14ac:dyDescent="0.2">
      <c r="A51" s="1" t="s">
        <v>105</v>
      </c>
      <c r="B51" s="1" t="s">
        <v>106</v>
      </c>
      <c r="C51" s="1">
        <f>((3*G30)+3*(B6+C3*B9)/C2)/1</f>
        <v>2160000000</v>
      </c>
      <c r="D51" s="1">
        <f>((3*G30)+3*(B6+C3*B9*E14)/C2+3*B14)/C14</f>
        <v>2248000000</v>
      </c>
      <c r="E51" s="1">
        <f>(2*(3*G30)+3*(B6+C3*B9*2.5)/C2+6*B14)/2</f>
        <v>2475000000</v>
      </c>
      <c r="F51" s="1">
        <f t="shared" si="6"/>
        <v>2160000000</v>
      </c>
      <c r="G51" s="1">
        <f t="shared" si="7"/>
        <v>2160000000</v>
      </c>
      <c r="H51" s="1" t="str">
        <f t="shared" si="8"/>
        <v>不使用增产剂</v>
      </c>
      <c r="I51" s="1" t="s">
        <v>105</v>
      </c>
      <c r="J51" s="1">
        <f t="shared" si="9"/>
        <v>2.16</v>
      </c>
      <c r="Q51" s="1">
        <f t="shared" si="10"/>
        <v>8.8419444444444439E-3</v>
      </c>
      <c r="R51" s="1" t="s">
        <v>68</v>
      </c>
    </row>
    <row r="52" spans="1:18" x14ac:dyDescent="0.2">
      <c r="A52" s="1" t="s">
        <v>107</v>
      </c>
      <c r="B52" s="1" t="s">
        <v>108</v>
      </c>
      <c r="C52" s="1">
        <f>((4*G33+4*G51)+(12/C2)*(C6+C3*B9))/4</f>
        <v>3960000000</v>
      </c>
      <c r="D52" s="1">
        <f>((4*G33+4*G51)+(12/C2)*(C6+C3*B9*E14)+16*B14)/(4*C14)</f>
        <v>3861333333.3333335</v>
      </c>
      <c r="E52" s="1">
        <f>(2*(4*G33+4*G51)+(12/C2)*(C6+C3*B9*2.5)+32*B14)/8</f>
        <v>4290000000</v>
      </c>
      <c r="F52" s="1">
        <f t="shared" si="6"/>
        <v>3861333333.3333335</v>
      </c>
      <c r="G52" s="1">
        <f t="shared" si="7"/>
        <v>3861333333.3333335</v>
      </c>
      <c r="H52" s="1" t="str">
        <f t="shared" si="8"/>
        <v>增产</v>
      </c>
      <c r="I52" s="1" t="s">
        <v>107</v>
      </c>
      <c r="J52" s="1">
        <f t="shared" si="9"/>
        <v>3.8613333333333335</v>
      </c>
      <c r="Q52" s="1">
        <f t="shared" si="10"/>
        <v>4.9461153314917126E-3</v>
      </c>
      <c r="R52" s="1" t="s">
        <v>68</v>
      </c>
    </row>
    <row r="53" spans="1:18" x14ac:dyDescent="0.2">
      <c r="A53" s="1" t="s">
        <v>109</v>
      </c>
      <c r="B53" s="1" t="s">
        <v>110</v>
      </c>
      <c r="C53" s="1">
        <f>((2*G36+2*G33)+(5/B2)*(F6+B3*B9))/2</f>
        <v>2340000000</v>
      </c>
      <c r="D53" s="1">
        <f>((2*G36+2*G33)+(5/B2)*(F6+E14*B3*B9)+6*B14)/(2*C14)</f>
        <v>2360000000</v>
      </c>
      <c r="E53" s="1">
        <f>(2*(2*G36+2*G33)+(5/B2)*(F6+2.5*B3*B9)+12*B14)/4</f>
        <v>2610000000</v>
      </c>
      <c r="F53" s="1">
        <f t="shared" si="6"/>
        <v>2340000000</v>
      </c>
      <c r="G53" s="1">
        <f t="shared" si="7"/>
        <v>2340000000</v>
      </c>
      <c r="H53" s="1" t="str">
        <f t="shared" si="8"/>
        <v>不使用增产剂</v>
      </c>
      <c r="I53" s="1" t="s">
        <v>109</v>
      </c>
      <c r="J53" s="1">
        <f t="shared" si="9"/>
        <v>2.34</v>
      </c>
      <c r="Q53" s="1">
        <f t="shared" si="10"/>
        <v>8.1617948717948724E-3</v>
      </c>
      <c r="R53" s="1" t="s">
        <v>68</v>
      </c>
    </row>
    <row r="54" spans="1:18" x14ac:dyDescent="0.2">
      <c r="A54" s="1" t="s">
        <v>111</v>
      </c>
      <c r="B54" s="1" t="s">
        <v>112</v>
      </c>
      <c r="C54" s="1">
        <f>((3*G36)+(2/B2)*(D6+B3*B9))/2</f>
        <v>1440000000</v>
      </c>
      <c r="D54" s="1">
        <f>((3*G36)+(2/B2)*(D6+B3*B9*E14)+3*B14)/(2*C14)</f>
        <v>1396000000</v>
      </c>
      <c r="E54" s="1">
        <f>((6*G36)+(2/B2)*(D6+B3*B9*2.5)+6*B14)/4</f>
        <v>1552500000</v>
      </c>
      <c r="F54" s="1">
        <f t="shared" si="6"/>
        <v>1396000000</v>
      </c>
      <c r="G54" s="1">
        <f t="shared" si="7"/>
        <v>1396000000</v>
      </c>
      <c r="H54" s="1" t="str">
        <f t="shared" si="8"/>
        <v>增产</v>
      </c>
      <c r="I54" s="1" t="s">
        <v>111</v>
      </c>
      <c r="J54" s="1">
        <f t="shared" si="9"/>
        <v>1.3959999999999999</v>
      </c>
      <c r="Q54" s="1">
        <f t="shared" si="10"/>
        <v>1.3680945558739254E-2</v>
      </c>
      <c r="R54" s="1" t="s">
        <v>68</v>
      </c>
    </row>
    <row r="55" spans="1:18" x14ac:dyDescent="0.2">
      <c r="A55" s="1" t="s">
        <v>113</v>
      </c>
      <c r="B55" s="1" t="s">
        <v>114</v>
      </c>
      <c r="C55" s="1">
        <f>((4*G50+2*G54)+(2/B2)*(E6+B3*B9))/1</f>
        <v>6984000000</v>
      </c>
      <c r="D55" s="1">
        <f>((4*G50+2*G54)+(2/B2)*(E6+E14*B3*B9)+6*B14)/C14</f>
        <v>6480000000</v>
      </c>
      <c r="E55" s="1">
        <f>(2*(4*G50+2*G54)+(2/B2)*(E6+2.5*B3*B9)+12*B14)/2</f>
        <v>7254000000</v>
      </c>
      <c r="F55" s="1">
        <f t="shared" si="6"/>
        <v>6480000000</v>
      </c>
      <c r="G55" s="1">
        <f t="shared" si="7"/>
        <v>6480000000</v>
      </c>
      <c r="H55" s="1" t="str">
        <f t="shared" si="8"/>
        <v>增产</v>
      </c>
      <c r="I55" s="1" t="s">
        <v>113</v>
      </c>
      <c r="J55" s="1">
        <f t="shared" si="9"/>
        <v>6.48</v>
      </c>
      <c r="Q55" s="1">
        <f t="shared" si="10"/>
        <v>2.9473148148148149E-3</v>
      </c>
      <c r="R55" s="1" t="s">
        <v>68</v>
      </c>
    </row>
    <row r="56" spans="1:18" x14ac:dyDescent="0.2">
      <c r="A56" s="1" t="s">
        <v>115</v>
      </c>
      <c r="B56" s="1" t="s">
        <v>116</v>
      </c>
      <c r="C56" s="1">
        <f>(G30+(1/B2)*(D6+B3*B9))</f>
        <v>720000000</v>
      </c>
      <c r="D56" s="1">
        <f>(G30+(1/B2)*(D6+E14*B3*B9)+B14)/C14</f>
        <v>749333333.33333337</v>
      </c>
      <c r="E56" s="1">
        <f>(2*G30+(1/B2)*(D6+2.5*B3*B9)+2*B14)/2</f>
        <v>825000000</v>
      </c>
      <c r="F56" s="1">
        <f t="shared" si="6"/>
        <v>720000000</v>
      </c>
      <c r="G56" s="1">
        <f t="shared" si="7"/>
        <v>720000000</v>
      </c>
      <c r="H56" s="1" t="str">
        <f t="shared" si="8"/>
        <v>不使用增产剂</v>
      </c>
      <c r="I56" s="1" t="s">
        <v>115</v>
      </c>
      <c r="J56" s="1">
        <f t="shared" si="9"/>
        <v>0.72</v>
      </c>
      <c r="Q56" s="1">
        <f t="shared" si="10"/>
        <v>2.6525833333333332E-2</v>
      </c>
      <c r="R56" s="1" t="s">
        <v>68</v>
      </c>
    </row>
    <row r="57" spans="1:18" x14ac:dyDescent="0.2">
      <c r="A57" s="1" t="s">
        <v>117</v>
      </c>
      <c r="B57" s="1" t="s">
        <v>118</v>
      </c>
      <c r="C57" s="1">
        <f>((2*G30+G31)+(E6+B3*B9)/B2)/2</f>
        <v>720000000</v>
      </c>
      <c r="D57" s="1">
        <f>((2*G30+G31)+(E6+B3*B9*E14)/B2+3*B14)/(2*C14)</f>
        <v>708000000</v>
      </c>
      <c r="E57" s="1">
        <f>(2*(2*G30+G31)+(E6+B3*B9*2.5)/B2+6*B14)/4</f>
        <v>787500000</v>
      </c>
      <c r="F57" s="1">
        <f t="shared" si="6"/>
        <v>708000000</v>
      </c>
      <c r="G57" s="1">
        <f t="shared" si="7"/>
        <v>708000000</v>
      </c>
      <c r="H57" s="1" t="str">
        <f t="shared" si="8"/>
        <v>增产</v>
      </c>
      <c r="I57" s="1" t="s">
        <v>117</v>
      </c>
      <c r="J57" s="1">
        <f t="shared" si="9"/>
        <v>0.70799999999999996</v>
      </c>
      <c r="Q57" s="1">
        <f t="shared" si="10"/>
        <v>2.697542372881356E-2</v>
      </c>
      <c r="R57" s="1" t="s">
        <v>68</v>
      </c>
    </row>
    <row r="58" spans="1:18" x14ac:dyDescent="0.2">
      <c r="A58" s="1" t="s">
        <v>119</v>
      </c>
      <c r="B58" s="1" t="s">
        <v>120</v>
      </c>
      <c r="C58" s="1">
        <f>((2*G32+G31)+2*(E6+B3*B9)/B2)</f>
        <v>2520000000</v>
      </c>
      <c r="D58" s="1">
        <f>((2*G32+G31)+2*(E6+B3*B9*E14)/B2+3*B14)/C14</f>
        <v>2472000000</v>
      </c>
      <c r="E58" s="1">
        <f>(2*(2*G32+G31)+2*(E6+B3*B9*2.5)/B2+6*B14)/2</f>
        <v>2745000000</v>
      </c>
      <c r="F58" s="1">
        <f t="shared" si="6"/>
        <v>2472000000</v>
      </c>
      <c r="G58" s="1">
        <f t="shared" si="7"/>
        <v>2472000000</v>
      </c>
      <c r="H58" s="1" t="str">
        <f t="shared" si="8"/>
        <v>增产</v>
      </c>
      <c r="I58" s="1" t="s">
        <v>119</v>
      </c>
      <c r="J58" s="1">
        <f t="shared" si="9"/>
        <v>2.472</v>
      </c>
      <c r="Q58" s="1">
        <f t="shared" si="10"/>
        <v>7.7259708737864074E-3</v>
      </c>
      <c r="R58" s="1" t="s">
        <v>68</v>
      </c>
    </row>
    <row r="59" spans="1:18" x14ac:dyDescent="0.2">
      <c r="A59" s="1" t="s">
        <v>121</v>
      </c>
      <c r="B59" s="1" t="s">
        <v>122</v>
      </c>
      <c r="C59" s="1">
        <f>((2*G57+2*G58)+(3/B2)*(E6+B3*B9))</f>
        <v>7440000000</v>
      </c>
      <c r="D59" s="1">
        <f>((2*G57+2*G58)+(3/B2)*(E6+B3*B9*E14)+4*B14)/C14</f>
        <v>6954666666.666667</v>
      </c>
      <c r="E59" s="1">
        <f>(2*(2*G57+2*G58)+(3/B2)*(E6+B3*B9*2.5)+8*B14)/2</f>
        <v>7770000000</v>
      </c>
      <c r="F59" s="1">
        <f t="shared" si="6"/>
        <v>6954666666.666667</v>
      </c>
      <c r="G59" s="1">
        <f t="shared" si="7"/>
        <v>6954666666.666667</v>
      </c>
      <c r="H59" s="1" t="str">
        <f t="shared" si="8"/>
        <v>增产</v>
      </c>
      <c r="I59" s="1" t="s">
        <v>121</v>
      </c>
      <c r="J59" s="1">
        <f t="shared" si="9"/>
        <v>6.9546666666666672</v>
      </c>
      <c r="Q59" s="1">
        <f t="shared" si="10"/>
        <v>2.7461560582822085E-3</v>
      </c>
      <c r="R59" s="1" t="s">
        <v>68</v>
      </c>
    </row>
    <row r="60" spans="1:18" x14ac:dyDescent="0.2">
      <c r="A60" s="1" t="s">
        <v>123</v>
      </c>
      <c r="B60" s="1" t="s">
        <v>124</v>
      </c>
      <c r="C60" s="1">
        <f>((2*G30+G56+G50)+(2/B2)*(F6+B3*B9))</f>
        <v>3028000000</v>
      </c>
      <c r="D60" s="1">
        <f>((2*G30+G56+G50)+(2/B2)*(F6+E14*B3*B9)+4*B14)/C14</f>
        <v>2936888888.8888888</v>
      </c>
      <c r="E60" s="1">
        <f>(2*(2*G30+G56+G50)+(2/B2)*(F6+2.5*B3*B9)+8*B14)/2</f>
        <v>3268000000</v>
      </c>
      <c r="F60" s="1">
        <f t="shared" si="6"/>
        <v>2936888888.8888888</v>
      </c>
      <c r="G60" s="1">
        <f t="shared" si="7"/>
        <v>2936888888.8888888</v>
      </c>
      <c r="H60" s="1" t="str">
        <f t="shared" si="8"/>
        <v>增产</v>
      </c>
      <c r="I60" s="1" t="s">
        <v>123</v>
      </c>
      <c r="J60" s="1">
        <f t="shared" si="9"/>
        <v>2.9368888888888889</v>
      </c>
      <c r="Q60" s="1">
        <f t="shared" si="10"/>
        <v>6.5030039346246973E-3</v>
      </c>
      <c r="R60" s="1" t="s">
        <v>68</v>
      </c>
    </row>
    <row r="61" spans="1:18" x14ac:dyDescent="0.2">
      <c r="A61" s="1" t="s">
        <v>125</v>
      </c>
      <c r="B61" s="1" t="s">
        <v>126</v>
      </c>
      <c r="C61" s="1">
        <f>((2*G60+2*G50)+(2/B2)*(E6+B3*B9))</f>
        <v>8329777777.7777777</v>
      </c>
      <c r="D61" s="1">
        <f>((2*G60+2*G50)+(2/B2)*(E6+E14*B3*B9)+4*B14)/C14</f>
        <v>7649580246.9135809</v>
      </c>
      <c r="E61" s="1">
        <f>(2*(2*G60+2*G50)+(2/B2)*(E6+2.5*B3*B9)+8*B14)/2</f>
        <v>8569777777.7777777</v>
      </c>
      <c r="F61" s="1">
        <f t="shared" si="6"/>
        <v>7649580246.9135809</v>
      </c>
      <c r="G61" s="1">
        <f t="shared" si="7"/>
        <v>7649580246.9135809</v>
      </c>
      <c r="H61" s="1" t="str">
        <f t="shared" si="8"/>
        <v>增产</v>
      </c>
      <c r="I61" s="1" t="s">
        <v>125</v>
      </c>
      <c r="J61" s="1">
        <f t="shared" si="9"/>
        <v>7.6495802469135805</v>
      </c>
      <c r="Q61" s="1">
        <f t="shared" si="10"/>
        <v>2.4966860119816142E-3</v>
      </c>
      <c r="R61" s="1" t="s">
        <v>68</v>
      </c>
    </row>
    <row r="62" spans="1:18" x14ac:dyDescent="0.2">
      <c r="A62" s="1" t="s">
        <v>235</v>
      </c>
      <c r="B62" s="1" t="s">
        <v>127</v>
      </c>
      <c r="C62" s="1">
        <f>((J25+3*G33)+(4/B2)*(E6+B3*B9))</f>
        <v>21566666666.666664</v>
      </c>
      <c r="D62" s="1">
        <f>((J25+3*G33)+(4/B2)*(E6+B3*B9*E14)+4*B14)/C14</f>
        <v>19607703703.703701</v>
      </c>
      <c r="E62" s="1">
        <f>(2*(J25+3*G33)+(4/B2)*(E6+B3*B9*2.5)+8*B14)/2</f>
        <v>21986666666.666664</v>
      </c>
      <c r="F62" s="1">
        <f t="shared" si="6"/>
        <v>19607703703.703701</v>
      </c>
      <c r="G62" s="1">
        <f t="shared" si="7"/>
        <v>19607703703.703701</v>
      </c>
      <c r="H62" s="1" t="str">
        <f t="shared" si="8"/>
        <v>增产</v>
      </c>
      <c r="I62" s="1" t="s">
        <v>235</v>
      </c>
      <c r="J62" s="1">
        <f t="shared" si="9"/>
        <v>19.607703703703702</v>
      </c>
      <c r="Q62" s="1">
        <f t="shared" si="10"/>
        <v>9.7403552647485508E-4</v>
      </c>
      <c r="R62" s="1" t="s">
        <v>68</v>
      </c>
    </row>
    <row r="63" spans="1:18" x14ac:dyDescent="0.2">
      <c r="A63" s="1" t="s">
        <v>128</v>
      </c>
      <c r="B63" s="1" t="s">
        <v>129</v>
      </c>
      <c r="C63" s="1">
        <f>((2*G39)+(4/B2)*(F6+B3*B9))</f>
        <v>2880000000</v>
      </c>
      <c r="D63" s="1">
        <f>((J25+2*G39)+(4/B2)*(F6+E14*B3*B9)+22*B14)/C14</f>
        <v>19207703703.703701</v>
      </c>
      <c r="E63" s="1">
        <f>(2*(J25+2*G39)+(4/B2)*(F6+2.5*B3*B9)+44*B14)/2</f>
        <v>21536666666.666664</v>
      </c>
      <c r="F63" s="1">
        <f t="shared" si="6"/>
        <v>2880000000</v>
      </c>
      <c r="G63" s="1">
        <f t="shared" si="7"/>
        <v>2880000000</v>
      </c>
      <c r="H63" s="1" t="str">
        <f t="shared" si="8"/>
        <v>不使用增产剂</v>
      </c>
      <c r="I63" s="1" t="s">
        <v>128</v>
      </c>
      <c r="J63" s="1">
        <f t="shared" si="9"/>
        <v>2.88</v>
      </c>
      <c r="Q63" s="1">
        <f t="shared" si="10"/>
        <v>6.631458333333333E-3</v>
      </c>
      <c r="R63" s="1" t="s">
        <v>68</v>
      </c>
    </row>
    <row r="64" spans="1:18" x14ac:dyDescent="0.2">
      <c r="A64" s="1" t="s">
        <v>130</v>
      </c>
      <c r="B64" s="1" t="s">
        <v>131</v>
      </c>
      <c r="C64" s="1">
        <f>((G62+2*G39)+(4/B2)*(F6+B3*B9))</f>
        <v>22487703703.703701</v>
      </c>
      <c r="D64" s="1">
        <f>((G62+2*G39)+(4/B2)*(F6+E14*B3*B9)+18*B14)/C14</f>
        <v>20613069958.847733</v>
      </c>
      <c r="E64" s="1">
        <f>(2*(G62+2*G39)+(4/B2)*(F6+2.5*B3*B9)+36*B14)/2</f>
        <v>23117703703.703701</v>
      </c>
      <c r="F64" s="1">
        <f t="shared" si="6"/>
        <v>20613069958.847733</v>
      </c>
      <c r="G64" s="1">
        <f t="shared" si="7"/>
        <v>20613069958.847733</v>
      </c>
      <c r="H64" s="1" t="str">
        <f t="shared" si="8"/>
        <v>增产</v>
      </c>
      <c r="I64" s="1" t="s">
        <v>130</v>
      </c>
      <c r="J64" s="1">
        <f t="shared" si="9"/>
        <v>20.613069958847731</v>
      </c>
      <c r="Q64" s="1">
        <f t="shared" si="10"/>
        <v>9.2652865575718491E-4</v>
      </c>
      <c r="R64" s="1" t="s">
        <v>68</v>
      </c>
    </row>
    <row r="65" spans="1:18" x14ac:dyDescent="0.2">
      <c r="A65" s="1" t="s">
        <v>132</v>
      </c>
      <c r="B65" s="1" t="s">
        <v>133</v>
      </c>
      <c r="C65" s="1">
        <f>((D25+2*G53)+(12/B2)*(E6+B3*B9))</f>
        <v>29613069958.847733</v>
      </c>
      <c r="D65" s="1">
        <f>((D25+2*G53)+(12/B2)*(E6+E14*B3*B9)+3*B14)/C14</f>
        <v>27514728852.309097</v>
      </c>
      <c r="E65" s="1">
        <f>(2*(D25+2*G53)+(12/B2)*(E6+2.5*B3*B9)+6*B14)/2</f>
        <v>30738069958.847733</v>
      </c>
      <c r="F65" s="1">
        <f t="shared" si="6"/>
        <v>27514728852.309097</v>
      </c>
      <c r="G65" s="1">
        <f t="shared" si="7"/>
        <v>27514728852.309097</v>
      </c>
      <c r="H65" s="1" t="str">
        <f t="shared" si="8"/>
        <v>增产</v>
      </c>
      <c r="I65" s="1" t="s">
        <v>132</v>
      </c>
      <c r="J65" s="1">
        <f t="shared" si="9"/>
        <v>27.514728852309098</v>
      </c>
      <c r="Q65" s="1">
        <f t="shared" si="10"/>
        <v>6.9412277702301259E-4</v>
      </c>
      <c r="R65" s="1" t="s">
        <v>68</v>
      </c>
    </row>
    <row r="66" spans="1:18" x14ac:dyDescent="0.2">
      <c r="A66" s="1" t="s">
        <v>134</v>
      </c>
      <c r="B66" s="1" t="s">
        <v>135</v>
      </c>
      <c r="C66" s="1">
        <f>((2*G31)+(4/B2)*(E6+B3*B9))</f>
        <v>2160000000</v>
      </c>
      <c r="D66" s="1">
        <f>((2*G31)+(4/B2)*(E6+E14*B3*B9)+12*B14)/C14</f>
        <v>2464000000</v>
      </c>
      <c r="E66" s="1">
        <f>(2*(2*G31)+(4/B2)*(E6+2.5*B3*B9)+24*B14)/2</f>
        <v>2700000000</v>
      </c>
      <c r="F66" s="1">
        <f t="shared" si="6"/>
        <v>2160000000</v>
      </c>
      <c r="G66" s="1">
        <f t="shared" si="7"/>
        <v>2160000000</v>
      </c>
      <c r="H66" s="1" t="str">
        <f t="shared" si="8"/>
        <v>不使用增产剂</v>
      </c>
      <c r="I66" s="1" t="s">
        <v>134</v>
      </c>
      <c r="J66" s="1">
        <f t="shared" si="9"/>
        <v>2.16</v>
      </c>
      <c r="Q66" s="1">
        <f t="shared" si="10"/>
        <v>8.8419444444444439E-3</v>
      </c>
      <c r="R66" s="1" t="s">
        <v>68</v>
      </c>
    </row>
    <row r="67" spans="1:18" x14ac:dyDescent="0.2">
      <c r="A67" s="1" t="s">
        <v>136</v>
      </c>
      <c r="B67" s="1" t="s">
        <v>137</v>
      </c>
      <c r="C67" s="1">
        <f>((2*G61+2*G31+2*G39)+(4/B2)*(F6+B3*B9))</f>
        <v>18899160493.827164</v>
      </c>
      <c r="D67" s="1">
        <f>((2*G61+2*G31+2*G39)+(4/B2)*(F6+E14*B3*B9)+6*B14)/C14</f>
        <v>17263253772.290813</v>
      </c>
      <c r="E67" s="1">
        <f>(2*(2*G61+2*G31+2*G39)+(4/B2)*(F6+2.5*B3*B9)+12*B14)/2</f>
        <v>19349160493.827164</v>
      </c>
      <c r="F67" s="1">
        <f t="shared" si="6"/>
        <v>17263253772.290813</v>
      </c>
      <c r="G67" s="1">
        <f t="shared" si="7"/>
        <v>17263253772.290813</v>
      </c>
      <c r="H67" s="1" t="str">
        <f t="shared" si="8"/>
        <v>增产</v>
      </c>
      <c r="I67" s="1" t="s">
        <v>136</v>
      </c>
      <c r="J67" s="1">
        <f t="shared" si="9"/>
        <v>17.263253772290813</v>
      </c>
      <c r="Q67" s="1">
        <f t="shared" si="10"/>
        <v>1.1063151971185811E-3</v>
      </c>
      <c r="R67" s="1" t="s">
        <v>68</v>
      </c>
    </row>
    <row r="68" spans="1:18" x14ac:dyDescent="0.2">
      <c r="A68" s="1" t="s">
        <v>138</v>
      </c>
      <c r="B68" s="1" t="s">
        <v>139</v>
      </c>
      <c r="C68" s="1">
        <f>((2*B25+2*G30+10*C25)+(8/F2)*(L6+F3*B9))</f>
        <v>101040000000</v>
      </c>
      <c r="D68" s="1">
        <f>((2*B25+2*G30+10*C25)+(8/F2)*(L6+E14*F3*B9)+14*B14)/C14</f>
        <v>115600000000.00002</v>
      </c>
      <c r="E68" s="1">
        <f>(2*(2*B25+2*G30+10*C25)+(8/F2)*(L6+2.5*F3*B9)+28*B14)/2</f>
        <v>125250000000</v>
      </c>
      <c r="F68" s="1">
        <f t="shared" si="6"/>
        <v>101040000000</v>
      </c>
      <c r="G68" s="1">
        <f t="shared" si="7"/>
        <v>101040000000</v>
      </c>
      <c r="H68" s="1" t="str">
        <f t="shared" si="8"/>
        <v>不使用增产剂</v>
      </c>
      <c r="I68" s="1" t="s">
        <v>138</v>
      </c>
      <c r="J68" s="1">
        <f t="shared" si="9"/>
        <v>101.04</v>
      </c>
      <c r="Q68" s="1">
        <f t="shared" si="10"/>
        <v>1.8902019002375297E-4</v>
      </c>
      <c r="R68" s="1" t="s">
        <v>68</v>
      </c>
    </row>
    <row r="69" spans="1:18" x14ac:dyDescent="0.2">
      <c r="A69" s="1" t="s">
        <v>140</v>
      </c>
      <c r="B69" s="1" t="s">
        <v>141</v>
      </c>
      <c r="C69" s="1">
        <f>((2*G54+G57)+(3/B2)*(E6+B3*B9))</f>
        <v>4580000000</v>
      </c>
      <c r="D69" s="1">
        <f>((2*G54+G57)+(3/B2)*(E6+E14*B3*B9)+3*B14)/C14</f>
        <v>4399111111.1111107</v>
      </c>
      <c r="E69" s="1">
        <f>(2*(2*G54+G57)+(3/B2)*(E6+2.5*B3*B9)+6*B14)/2</f>
        <v>4895000000</v>
      </c>
      <c r="F69" s="1">
        <f t="shared" si="6"/>
        <v>4399111111.1111107</v>
      </c>
      <c r="G69" s="1">
        <f t="shared" si="7"/>
        <v>4399111111.1111107</v>
      </c>
      <c r="H69" s="1" t="str">
        <f t="shared" si="8"/>
        <v>增产</v>
      </c>
      <c r="I69" s="1" t="s">
        <v>140</v>
      </c>
      <c r="J69" s="1">
        <f t="shared" si="9"/>
        <v>4.399111111111111</v>
      </c>
      <c r="Q69" s="1">
        <f t="shared" si="10"/>
        <v>4.341467973327945E-3</v>
      </c>
      <c r="R69" s="1" t="s">
        <v>68</v>
      </c>
    </row>
    <row r="70" spans="1:18" x14ac:dyDescent="0.2">
      <c r="A70" s="1" t="s">
        <v>142</v>
      </c>
      <c r="B70" s="1" t="s">
        <v>143</v>
      </c>
      <c r="C70" s="1">
        <f>((G57)+(3/B2)*(E6+B3*B9))</f>
        <v>1788000000</v>
      </c>
      <c r="D70" s="1">
        <f>((G57)+(3/B2)*(E6+E14*B3*B9)+2*B14)/C14</f>
        <v>1904000000.0000002</v>
      </c>
      <c r="E70" s="1">
        <f>(2*(G57)+(3/B2)*(E6+2.5*B3*B9)+4*B14)/2</f>
        <v>2088000000</v>
      </c>
      <c r="F70" s="1">
        <f t="shared" si="6"/>
        <v>1788000000</v>
      </c>
      <c r="G70" s="1">
        <f t="shared" si="7"/>
        <v>1788000000</v>
      </c>
      <c r="H70" s="1" t="str">
        <f t="shared" si="8"/>
        <v>不使用增产剂</v>
      </c>
      <c r="I70" s="1" t="s">
        <v>142</v>
      </c>
      <c r="J70" s="1">
        <f t="shared" si="9"/>
        <v>1.788</v>
      </c>
      <c r="Q70" s="1">
        <f t="shared" si="10"/>
        <v>1.0681543624161073E-2</v>
      </c>
      <c r="R70" s="1" t="s">
        <v>68</v>
      </c>
    </row>
    <row r="71" spans="1:18" x14ac:dyDescent="0.2">
      <c r="A71" s="1" t="s">
        <v>144</v>
      </c>
      <c r="B71" s="1" t="s">
        <v>145</v>
      </c>
      <c r="C71" s="1">
        <f>((G39+E25)+(4/B2)*(E6+B3*B9))/2</f>
        <v>1974000000</v>
      </c>
      <c r="D71" s="1">
        <f>((G39+E25)+(4/B2)*(E6+E14*B3*B9)+2*B14)/C14</f>
        <v>3920000000</v>
      </c>
      <c r="E71" s="1">
        <f>(2*(G39+E25)+(4/B2)*(E6+2.5*B3*B9)+4*B14)/4</f>
        <v>2169000000</v>
      </c>
      <c r="F71" s="1">
        <f t="shared" si="6"/>
        <v>1974000000</v>
      </c>
      <c r="G71" s="1">
        <f t="shared" si="7"/>
        <v>1974000000</v>
      </c>
      <c r="H71" s="1" t="str">
        <f t="shared" si="8"/>
        <v>不使用增产剂</v>
      </c>
      <c r="I71" s="1" t="s">
        <v>144</v>
      </c>
      <c r="J71" s="1">
        <f t="shared" si="9"/>
        <v>1.974</v>
      </c>
      <c r="Q71" s="1">
        <f t="shared" si="10"/>
        <v>9.6750759878419454E-3</v>
      </c>
      <c r="R71" s="1" t="s">
        <v>68</v>
      </c>
    </row>
    <row r="72" spans="1:18" x14ac:dyDescent="0.2">
      <c r="A72" s="1" t="s">
        <v>146</v>
      </c>
      <c r="B72" s="1" t="s">
        <v>147</v>
      </c>
      <c r="C72" s="1">
        <f>((2*F25)+(2/F2)*(L6+F3*B9))/2</f>
        <v>12000000000</v>
      </c>
      <c r="D72" s="1" t="s">
        <v>96</v>
      </c>
      <c r="E72" s="1">
        <f>(2*(2*F25)+(2/F2)*(L6+2.5*F3*B9)+4*B14)/4</f>
        <v>15015000000</v>
      </c>
      <c r="F72" s="1">
        <f t="shared" si="6"/>
        <v>12000000000</v>
      </c>
      <c r="G72" s="1">
        <f t="shared" si="7"/>
        <v>12000000000</v>
      </c>
      <c r="H72" s="1" t="str">
        <f t="shared" si="8"/>
        <v>不使用增产剂</v>
      </c>
      <c r="I72" s="1" t="s">
        <v>146</v>
      </c>
      <c r="J72" s="1">
        <f t="shared" si="9"/>
        <v>12</v>
      </c>
      <c r="Q72" s="1">
        <f t="shared" si="10"/>
        <v>1.59155E-3</v>
      </c>
      <c r="R72" s="1" t="s">
        <v>68</v>
      </c>
    </row>
    <row r="73" spans="1:18" x14ac:dyDescent="0.2">
      <c r="A73" s="1" t="s">
        <v>148</v>
      </c>
      <c r="B73" s="1" t="s">
        <v>149</v>
      </c>
      <c r="C73" s="1">
        <f>((2*G40+G35)+(3/D2)*(I6+D3*B9))</f>
        <v>6720000000</v>
      </c>
      <c r="D73" s="1">
        <f>((2*G40+G35)+(3/D2)*(I6+E14*D3*B9)+3*B14)/C14</f>
        <v>6589333333.333333</v>
      </c>
      <c r="E73" s="1">
        <f>(2*(2*G40+G35)+(3/D2)*(I6+2.5*D3*B9)+6*B14)/2</f>
        <v>7305000000</v>
      </c>
      <c r="F73" s="1">
        <f t="shared" si="6"/>
        <v>6589333333.333333</v>
      </c>
      <c r="G73" s="1">
        <f t="shared" si="7"/>
        <v>6589333333.333333</v>
      </c>
      <c r="H73" s="1" t="str">
        <f t="shared" si="8"/>
        <v>增产</v>
      </c>
      <c r="I73" s="1" t="s">
        <v>148</v>
      </c>
      <c r="J73" s="1">
        <f t="shared" si="9"/>
        <v>6.5893333333333333</v>
      </c>
      <c r="Q73" s="1">
        <f t="shared" si="10"/>
        <v>2.8984115742614327E-3</v>
      </c>
      <c r="R73" s="1" t="s">
        <v>68</v>
      </c>
    </row>
    <row r="74" spans="1:18" x14ac:dyDescent="0.2">
      <c r="A74" s="1" t="s">
        <v>150</v>
      </c>
      <c r="B74" s="1" t="s">
        <v>151</v>
      </c>
      <c r="C74" s="1">
        <f>((2*G41+2*I25+G73)+(8/B2)*(F6+B3*B9))</f>
        <v>15229333333.333332</v>
      </c>
      <c r="D74" s="1">
        <f>((2*G41+2*I25+G73)+(8/B2)*(F6+E14*B3*B9)+5*B14)/C14</f>
        <v>14371851851.851851</v>
      </c>
      <c r="E74" s="1">
        <f>(2*(2*G41+2*I25+G73)+(8/B2)*(F6+2.5*B3*B9)+10*B14)/2</f>
        <v>16024333333.333332</v>
      </c>
      <c r="F74" s="1">
        <f t="shared" si="6"/>
        <v>14371851851.851851</v>
      </c>
      <c r="G74" s="1">
        <f t="shared" si="7"/>
        <v>14371851851.851851</v>
      </c>
      <c r="H74" s="1" t="str">
        <f t="shared" si="8"/>
        <v>增产</v>
      </c>
      <c r="I74" s="1" t="s">
        <v>150</v>
      </c>
      <c r="J74" s="1">
        <f t="shared" si="9"/>
        <v>14.371851851851851</v>
      </c>
      <c r="Q74" s="1">
        <f t="shared" si="10"/>
        <v>1.328889289763942E-3</v>
      </c>
      <c r="R74" s="1" t="s">
        <v>68</v>
      </c>
    </row>
    <row r="75" spans="1:18" x14ac:dyDescent="0.2">
      <c r="A75" s="1" t="s">
        <v>152</v>
      </c>
      <c r="B75" s="1" t="s">
        <v>153</v>
      </c>
      <c r="C75" s="1">
        <f>((3*G39+G33)+(4/D2)*(I6+D3*B9))/2</f>
        <v>2880000000</v>
      </c>
      <c r="D75" s="1">
        <f>((3*G39+G33)+(4/D2)*(I6+E14*D3*B9)+4*B14)/(2*C14)</f>
        <v>2970666666.6666665</v>
      </c>
      <c r="E75" s="1">
        <f>((3*G39+G33)+(2/D2)*(I6+2.5*D3*B9)+4*B14)/2</f>
        <v>3270000000</v>
      </c>
      <c r="F75" s="1">
        <f t="shared" si="6"/>
        <v>2880000000</v>
      </c>
      <c r="G75" s="1">
        <f t="shared" si="7"/>
        <v>2880000000</v>
      </c>
      <c r="H75" s="1" t="str">
        <f t="shared" si="8"/>
        <v>不使用增产剂</v>
      </c>
      <c r="I75" s="1" t="s">
        <v>152</v>
      </c>
      <c r="J75" s="1">
        <f t="shared" si="9"/>
        <v>2.88</v>
      </c>
      <c r="Q75" s="1">
        <f t="shared" si="10"/>
        <v>6.631458333333333E-3</v>
      </c>
      <c r="R75" s="1" t="s">
        <v>68</v>
      </c>
    </row>
    <row r="76" spans="1:18" x14ac:dyDescent="0.2">
      <c r="A76" s="1" t="s">
        <v>227</v>
      </c>
      <c r="B76" s="1" t="s">
        <v>229</v>
      </c>
      <c r="C76" s="1">
        <f>((G35)+2*(B6+C3*B9)/C2)/1</f>
        <v>1440000000</v>
      </c>
      <c r="D76" s="1">
        <f>((G35)+2*(B6+E14*C3*B9)/C2+B14)/C14</f>
        <v>1485333333.3333333</v>
      </c>
      <c r="E76" s="1">
        <f>((G35)+1*(B6+2.5*C3*B9)/C2+B14)/1</f>
        <v>1635000000</v>
      </c>
      <c r="F76" s="1">
        <f t="shared" si="6"/>
        <v>1440000000</v>
      </c>
      <c r="G76" s="1">
        <f t="shared" si="7"/>
        <v>1440000000</v>
      </c>
      <c r="H76" s="1" t="str">
        <f t="shared" si="8"/>
        <v>不使用增产剂</v>
      </c>
      <c r="I76" s="1" t="s">
        <v>227</v>
      </c>
      <c r="J76" s="1">
        <f t="shared" si="9"/>
        <v>1.44</v>
      </c>
      <c r="Q76" s="1">
        <f t="shared" si="10"/>
        <v>1.3262916666666666E-2</v>
      </c>
      <c r="R76" s="1" t="s">
        <v>68</v>
      </c>
    </row>
    <row r="77" spans="1:18" x14ac:dyDescent="0.2">
      <c r="A77" s="1" t="s">
        <v>228</v>
      </c>
      <c r="B77" s="1" t="s">
        <v>230</v>
      </c>
      <c r="C77" s="1">
        <f>((G32)+2*(B6+C3*B9)/C2)/1</f>
        <v>1440000000</v>
      </c>
      <c r="D77" s="1">
        <f>((G32)+2*(B6+E14*C3*B9)/C2+B14)/C14</f>
        <v>1485333333.3333333</v>
      </c>
      <c r="E77" s="1">
        <f>((G32)+1*(B6+2.5*C3*B9)/C2+B14)/1</f>
        <v>1635000000</v>
      </c>
      <c r="F77" s="1">
        <f t="shared" si="6"/>
        <v>1440000000</v>
      </c>
      <c r="G77" s="1">
        <f t="shared" si="7"/>
        <v>1440000000</v>
      </c>
      <c r="H77" s="1" t="str">
        <f t="shared" si="8"/>
        <v>不使用增产剂</v>
      </c>
      <c r="I77" s="1" t="s">
        <v>228</v>
      </c>
      <c r="J77" s="1">
        <f t="shared" si="9"/>
        <v>1.44</v>
      </c>
      <c r="Q77" s="1">
        <f t="shared" si="10"/>
        <v>1.3262916666666666E-2</v>
      </c>
      <c r="R77" s="1" t="s">
        <v>68</v>
      </c>
    </row>
    <row r="78" spans="1:18" x14ac:dyDescent="0.2">
      <c r="A78" s="1" t="s">
        <v>236</v>
      </c>
      <c r="B78" s="1" t="s">
        <v>237</v>
      </c>
      <c r="C78" s="1">
        <f>((2*G73+F40)+(6/D2)*(I6+D3*B9))/1</f>
        <v>19418666666.666664</v>
      </c>
      <c r="D78" s="1">
        <f>((2*G73+F40)+(6/D2)*(I6+E14*D3*B9)+4*B14)/C14</f>
        <v>18466370370.370369</v>
      </c>
      <c r="E78" s="1">
        <f>((2*G73+F40)+(3/D2)*(I6+E14*D3*B9)+4*B14)/1</f>
        <v>17966666666.666664</v>
      </c>
      <c r="F78" s="1">
        <f t="shared" si="6"/>
        <v>17966666666.666664</v>
      </c>
      <c r="G78" s="1">
        <f t="shared" si="7"/>
        <v>17966666666.666664</v>
      </c>
      <c r="H78" s="1" t="str">
        <f t="shared" si="8"/>
        <v>加速</v>
      </c>
      <c r="I78" s="1" t="s">
        <v>236</v>
      </c>
      <c r="J78" s="1">
        <f t="shared" si="9"/>
        <v>17.966666666666665</v>
      </c>
      <c r="Q78" s="1">
        <f t="shared" si="10"/>
        <v>1.0630018552875698E-3</v>
      </c>
      <c r="R78" s="1" t="s">
        <v>68</v>
      </c>
    </row>
    <row r="90" spans="1:18" ht="19.5" x14ac:dyDescent="0.2">
      <c r="A90" s="2" t="s">
        <v>154</v>
      </c>
      <c r="B90" s="2"/>
      <c r="C90" s="2"/>
      <c r="D90" s="2"/>
      <c r="E90" s="2"/>
      <c r="F90" s="2"/>
    </row>
    <row r="91" spans="1:18" x14ac:dyDescent="0.2">
      <c r="A91" s="1" t="s">
        <v>155</v>
      </c>
      <c r="B91" s="1" t="s">
        <v>156</v>
      </c>
      <c r="C91" s="1">
        <f>((2*G61+3*G42+G35)+(3/B2)*(F6+B3*B9))</f>
        <v>18719160493.827164</v>
      </c>
      <c r="D91" s="1">
        <f>((2*G61+3*G42+G35)+(3/B2)*(F6+E14*B3*B9)+6*B14)/C14</f>
        <v>17007253772.290812</v>
      </c>
      <c r="E91" s="1">
        <f>(2*(2*G61+3*G42+G35)+(3/B2)*(F6+2.5*B3*B9)+12*B14)/2</f>
        <v>19079160493.827164</v>
      </c>
      <c r="F91" s="1">
        <f t="shared" ref="F91:F106" si="11">MIN(C91:E91)</f>
        <v>17007253772.290812</v>
      </c>
      <c r="G91" s="1">
        <f t="shared" ref="G91:G106" si="12">F91</f>
        <v>17007253772.290812</v>
      </c>
      <c r="H91" s="1" t="str">
        <f t="shared" ref="H91:H106" si="13">IF(C91=G91,"不使用增产剂","")&amp;IF(D91=G91,"增产","")&amp;IF(E91=G91,"加速","")</f>
        <v>增产</v>
      </c>
      <c r="I91" s="1" t="s">
        <v>155</v>
      </c>
      <c r="J91" s="1">
        <f t="shared" ref="J91:J106" si="14">G91/1000000000</f>
        <v>17.007253772290813</v>
      </c>
      <c r="Q91" s="1">
        <f t="shared" ref="Q91:Q106" si="15">60*318310/G91</f>
        <v>1.1229678968580176E-3</v>
      </c>
      <c r="R91" s="1" t="s">
        <v>68</v>
      </c>
    </row>
    <row r="92" spans="1:18" x14ac:dyDescent="0.2">
      <c r="A92" s="1" t="s">
        <v>157</v>
      </c>
      <c r="B92" s="1" t="s">
        <v>158</v>
      </c>
      <c r="C92" s="1">
        <f>(4*H25+G68)+(6/B2)*(E6+B3*B9)</f>
        <v>108960000000</v>
      </c>
      <c r="D92" s="1">
        <f>((4*H25+G68)+(6/B2)*(E6+E14*B3*B9)+5*B14)/C14</f>
        <v>97496000000</v>
      </c>
      <c r="E92" s="1">
        <f>(2*(4*H25+G68)+(6/B2)*(E6+2.5*B3*B9)+10*B14)/2</f>
        <v>109575000000</v>
      </c>
      <c r="F92" s="1">
        <f t="shared" si="11"/>
        <v>97496000000</v>
      </c>
      <c r="G92" s="1">
        <f t="shared" si="12"/>
        <v>97496000000</v>
      </c>
      <c r="H92" s="1" t="str">
        <f t="shared" si="13"/>
        <v>增产</v>
      </c>
      <c r="I92" s="1" t="s">
        <v>157</v>
      </c>
      <c r="J92" s="1">
        <f t="shared" si="14"/>
        <v>97.495999999999995</v>
      </c>
      <c r="Q92" s="1">
        <f t="shared" si="15"/>
        <v>1.9589111348157872E-4</v>
      </c>
      <c r="R92" s="1" t="s">
        <v>68</v>
      </c>
    </row>
    <row r="93" spans="1:18" x14ac:dyDescent="0.2">
      <c r="A93" s="1" t="s">
        <v>159</v>
      </c>
      <c r="B93" s="1" t="s">
        <v>160</v>
      </c>
      <c r="C93" s="1">
        <f>(2*G59+2*G65)+(6/B2)*(E6+B3*B9)</f>
        <v>71098791037.951523</v>
      </c>
      <c r="D93" s="1">
        <f>((2*G59+2*G65)+(6/B2)*(E6+E14*B3*B9)+4*B14)/C14</f>
        <v>63828258700.401352</v>
      </c>
      <c r="E93" s="1">
        <f>(2*(2*G59+2*G65)+(6/B2)*(E6+2.5*B3*B9)+8*B14)/2</f>
        <v>71698791037.951523</v>
      </c>
      <c r="F93" s="1">
        <f t="shared" si="11"/>
        <v>63828258700.401352</v>
      </c>
      <c r="G93" s="1">
        <f t="shared" si="12"/>
        <v>63828258700.401352</v>
      </c>
      <c r="H93" s="1" t="str">
        <f t="shared" si="13"/>
        <v>增产</v>
      </c>
      <c r="I93" s="1" t="s">
        <v>159</v>
      </c>
      <c r="J93" s="1">
        <f t="shared" si="14"/>
        <v>63.828258700401349</v>
      </c>
      <c r="Q93" s="1">
        <f t="shared" si="15"/>
        <v>2.9921856539507805E-4</v>
      </c>
      <c r="R93" s="1" t="s">
        <v>68</v>
      </c>
    </row>
    <row r="94" spans="1:18" x14ac:dyDescent="0.2">
      <c r="A94" s="1" t="s">
        <v>161</v>
      </c>
      <c r="B94" s="1" t="s">
        <v>162</v>
      </c>
      <c r="C94" s="1">
        <f>((4*G41+G52+G32)+(6/B2)*(F6+B3*B9))</f>
        <v>12501333333.333334</v>
      </c>
      <c r="D94" s="1">
        <f>((4*G41+G52+G32)+(6/B2)*(F6+E14*B3*B9)+6*B14)/C14</f>
        <v>11768296296.296297</v>
      </c>
      <c r="E94" s="1">
        <f>(2*(4*G41+G52+G32)+(6/B2)*(F6+2.5*B3*B9)+12*B14)/2</f>
        <v>13131333333.333334</v>
      </c>
      <c r="F94" s="1">
        <f t="shared" si="11"/>
        <v>11768296296.296297</v>
      </c>
      <c r="G94" s="1">
        <f t="shared" si="12"/>
        <v>11768296296.296297</v>
      </c>
      <c r="H94" s="1" t="str">
        <f t="shared" si="13"/>
        <v>增产</v>
      </c>
      <c r="I94" s="1" t="s">
        <v>161</v>
      </c>
      <c r="J94" s="1">
        <f t="shared" si="14"/>
        <v>11.768296296296297</v>
      </c>
      <c r="Q94" s="1">
        <f t="shared" si="15"/>
        <v>1.6228857193212145E-3</v>
      </c>
      <c r="R94" s="1" t="s">
        <v>68</v>
      </c>
    </row>
    <row r="95" spans="1:18" x14ac:dyDescent="0.2">
      <c r="A95" s="1" t="s">
        <v>163</v>
      </c>
      <c r="B95" s="1" t="s">
        <v>164</v>
      </c>
      <c r="C95" s="1">
        <f>((3*G94+3*G71+3*G59)+(8/B2)*(F6+B3*B9))</f>
        <v>64970888888.888893</v>
      </c>
      <c r="D95" s="1">
        <f>((3*G94+3*G71+3*G59)+(8/B2)*(F6+E14*B3*B9)+9*B14)/C14</f>
        <v>58639901234.567902</v>
      </c>
      <c r="E95" s="1">
        <f>(2*(3*G94+3*G71+3*G59)+(8/B2)*(F6+2.5*B3*B9)+18*B14)/2</f>
        <v>65825888888.888893</v>
      </c>
      <c r="F95" s="1">
        <f t="shared" si="11"/>
        <v>58639901234.567902</v>
      </c>
      <c r="G95" s="1">
        <f t="shared" si="12"/>
        <v>58639901234.567902</v>
      </c>
      <c r="H95" s="1" t="str">
        <f t="shared" si="13"/>
        <v>增产</v>
      </c>
      <c r="I95" s="1" t="s">
        <v>163</v>
      </c>
      <c r="J95" s="1">
        <f t="shared" si="14"/>
        <v>58.639901234567901</v>
      </c>
      <c r="Q95" s="1">
        <f t="shared" si="15"/>
        <v>3.2569290871761357E-4</v>
      </c>
      <c r="R95" s="1" t="s">
        <v>68</v>
      </c>
    </row>
    <row r="96" spans="1:18" x14ac:dyDescent="0.2">
      <c r="A96" s="1" t="s">
        <v>165</v>
      </c>
      <c r="B96" s="1" t="s">
        <v>166</v>
      </c>
      <c r="C96" s="1">
        <f>((B25+G59)+(20/B2)*(E6+B3*B9))</f>
        <v>16314666666.666668</v>
      </c>
      <c r="D96" s="1">
        <f>((B25+G59)+(20/B2)*(E6+E14*B3*B9)+2*B14)/C14</f>
        <v>16448592592.592598</v>
      </c>
      <c r="E96" s="1">
        <f>(2*(B25+G59)+(20/B2)*(E6+2.5*B3*B9)+4*B14)/2</f>
        <v>18144666666.666668</v>
      </c>
      <c r="F96" s="1">
        <f t="shared" si="11"/>
        <v>16314666666.666668</v>
      </c>
      <c r="G96" s="1">
        <f t="shared" si="12"/>
        <v>16314666666.666668</v>
      </c>
      <c r="H96" s="1" t="str">
        <f t="shared" si="13"/>
        <v>不使用增产剂</v>
      </c>
      <c r="I96" s="1" t="s">
        <v>165</v>
      </c>
      <c r="J96" s="1">
        <f t="shared" si="14"/>
        <v>16.314666666666668</v>
      </c>
      <c r="Q96" s="1">
        <f t="shared" si="15"/>
        <v>1.1706399150049035E-3</v>
      </c>
      <c r="R96" s="1" t="s">
        <v>68</v>
      </c>
    </row>
    <row r="97" spans="1:18" x14ac:dyDescent="0.2">
      <c r="A97" s="1" t="s">
        <v>167</v>
      </c>
      <c r="B97" s="1" t="s">
        <v>168</v>
      </c>
      <c r="C97" s="1">
        <f>(G114+(10/B2)*(D6+B3*B9))/8</f>
        <v>10246125483.355631</v>
      </c>
      <c r="D97" s="1">
        <f>(G114+(10/B2)*(D6+E14*B3*B9)+B14)/(8*C14)</f>
        <v>9229333762.9827824</v>
      </c>
      <c r="E97" s="1">
        <f>(2*G114+(10/B2)*(D6+2.5*B3*B9)+2*B14)/16</f>
        <v>10360500483.355631</v>
      </c>
      <c r="F97" s="1">
        <f t="shared" si="11"/>
        <v>9229333762.9827824</v>
      </c>
      <c r="G97" s="1">
        <f t="shared" si="12"/>
        <v>9229333762.9827824</v>
      </c>
      <c r="H97" s="1" t="str">
        <f t="shared" si="13"/>
        <v>增产</v>
      </c>
      <c r="I97" s="1" t="s">
        <v>167</v>
      </c>
      <c r="J97" s="1">
        <f t="shared" si="14"/>
        <v>9.2293337629827832</v>
      </c>
      <c r="Q97" s="1">
        <f t="shared" si="15"/>
        <v>2.0693368005176159E-3</v>
      </c>
      <c r="R97" s="1" t="s">
        <v>68</v>
      </c>
    </row>
    <row r="98" spans="1:18" x14ac:dyDescent="0.2">
      <c r="A98" s="1" t="s">
        <v>169</v>
      </c>
      <c r="B98" s="1" t="s">
        <v>170</v>
      </c>
      <c r="C98" s="1">
        <f>((2*G95+4*G103+2*G93)+(6/B2)*(F6+B3*B9))</f>
        <v>297473494081.18677</v>
      </c>
      <c r="D98" s="1">
        <f>((2*G95+4*G103+2*G93)+(6/B2)*(F6+E14*B3*B9)+8*B14)/C14</f>
        <v>265103550294.38824</v>
      </c>
      <c r="E98" s="1">
        <f>(2*(2*G95+4*G103+2*G93)+(6/B2)*(F6+2.5*B3*B9)+16*B14)/2</f>
        <v>298133494081.18677</v>
      </c>
      <c r="F98" s="1">
        <f t="shared" si="11"/>
        <v>265103550294.38824</v>
      </c>
      <c r="G98" s="1">
        <f t="shared" si="12"/>
        <v>265103550294.38824</v>
      </c>
      <c r="H98" s="1" t="str">
        <f t="shared" si="13"/>
        <v>增产</v>
      </c>
      <c r="I98" s="1" t="s">
        <v>169</v>
      </c>
      <c r="J98" s="1">
        <f t="shared" si="14"/>
        <v>265.10355029438824</v>
      </c>
      <c r="Q98" s="1">
        <f t="shared" si="15"/>
        <v>7.2042037833109637E-5</v>
      </c>
      <c r="R98" s="1" t="s">
        <v>68</v>
      </c>
    </row>
    <row r="99" spans="1:18" x14ac:dyDescent="0.2">
      <c r="A99" s="1" t="s">
        <v>171</v>
      </c>
      <c r="B99" s="1" t="s">
        <v>172</v>
      </c>
      <c r="C99" s="1">
        <f>(0.5/B2)*(D6+B3*B9)</f>
        <v>180000000</v>
      </c>
      <c r="D99" s="1">
        <f>((0.5/B2)*(D6+E14*B3*B9)+B14)/C14</f>
        <v>221333333.33333337</v>
      </c>
      <c r="E99" s="1">
        <f>((0.5/B2)*(D6+2.5*B3*B9)+2*B14)/2</f>
        <v>240000000</v>
      </c>
      <c r="F99" s="1">
        <f t="shared" si="11"/>
        <v>180000000</v>
      </c>
      <c r="G99" s="1">
        <f t="shared" si="12"/>
        <v>180000000</v>
      </c>
      <c r="H99" s="1" t="str">
        <f t="shared" si="13"/>
        <v>不使用增产剂</v>
      </c>
      <c r="I99" s="1" t="s">
        <v>171</v>
      </c>
      <c r="J99" s="1">
        <f t="shared" si="14"/>
        <v>0.18</v>
      </c>
      <c r="Q99" s="1">
        <f t="shared" si="15"/>
        <v>0.10610333333333333</v>
      </c>
      <c r="R99" s="1" t="s">
        <v>68</v>
      </c>
    </row>
    <row r="100" spans="1:18" x14ac:dyDescent="0.2">
      <c r="A100" s="1" t="s">
        <v>173</v>
      </c>
      <c r="B100" s="1" t="s">
        <v>174</v>
      </c>
      <c r="C100" s="1">
        <f>((2*G99+H25)+(1/B2)*(E6+B3*B9))</f>
        <v>2160000000</v>
      </c>
      <c r="D100" s="1">
        <f>((2*G99+H25)+(1/B2)*(E6+E14*B3*B9)+3*B14)/C14</f>
        <v>2056000000</v>
      </c>
      <c r="E100" s="1">
        <f>(2*(2*G99+H25)+(1/B2)*(E6+2.5*B3*B9)+6*B14)/2</f>
        <v>2295000000</v>
      </c>
      <c r="F100" s="1">
        <f t="shared" si="11"/>
        <v>2056000000</v>
      </c>
      <c r="G100" s="1">
        <f t="shared" si="12"/>
        <v>2056000000</v>
      </c>
      <c r="H100" s="1" t="str">
        <f t="shared" si="13"/>
        <v>增产</v>
      </c>
      <c r="I100" s="1" t="s">
        <v>173</v>
      </c>
      <c r="J100" s="1">
        <f t="shared" si="14"/>
        <v>2.056</v>
      </c>
      <c r="Q100" s="1">
        <f t="shared" si="15"/>
        <v>9.2892023346303493E-3</v>
      </c>
      <c r="R100" s="1" t="s">
        <v>68</v>
      </c>
    </row>
    <row r="101" spans="1:18" x14ac:dyDescent="0.2">
      <c r="A101" s="1" t="s">
        <v>40</v>
      </c>
      <c r="B101" s="1" t="s">
        <v>175</v>
      </c>
      <c r="C101" s="1">
        <f>((2*G100+G25)+(2/B2)*(E6+B3*B9))</f>
        <v>7712000000</v>
      </c>
      <c r="D101" s="1">
        <f>((2*G100+G25)+(2/B2)*(E6+E14*B3*B9)+3*B14)/C14</f>
        <v>7087111111.1111107</v>
      </c>
      <c r="E101" s="1">
        <f>(2*(2*G100+G25)+(2/B2)*(E6+2.5*B3*B9)+6*B14)/2</f>
        <v>7937000000</v>
      </c>
      <c r="F101" s="1">
        <f t="shared" si="11"/>
        <v>7087111111.1111107</v>
      </c>
      <c r="G101" s="1">
        <f t="shared" si="12"/>
        <v>7087111111.1111107</v>
      </c>
      <c r="H101" s="1" t="str">
        <f t="shared" si="13"/>
        <v>增产</v>
      </c>
      <c r="I101" s="1" t="s">
        <v>40</v>
      </c>
      <c r="J101" s="1">
        <f t="shared" si="14"/>
        <v>7.0871111111111107</v>
      </c>
      <c r="Q101" s="1">
        <f t="shared" si="15"/>
        <v>2.6948356954722189E-3</v>
      </c>
      <c r="R101" s="1" t="s">
        <v>68</v>
      </c>
    </row>
    <row r="102" spans="1:18" x14ac:dyDescent="0.2">
      <c r="A102" s="1" t="s">
        <v>176</v>
      </c>
      <c r="B102" s="1" t="s">
        <v>177</v>
      </c>
      <c r="C102" s="1">
        <f>(G33+(6/B2)*(E6+B3*B9))/2</f>
        <v>1440000000</v>
      </c>
      <c r="D102" s="1">
        <f>(G33+(6/B2)*(E6+E14*B3*B9)+11*B14)/C14</f>
        <v>3282666666.666667</v>
      </c>
      <c r="E102" s="1">
        <f>(2*G33+(6/B2)*(E6+2.5*B3*B9)+22*B14)/4</f>
        <v>1792500000</v>
      </c>
      <c r="F102" s="1">
        <f t="shared" si="11"/>
        <v>1440000000</v>
      </c>
      <c r="G102" s="1">
        <f t="shared" si="12"/>
        <v>1440000000</v>
      </c>
      <c r="H102" s="1" t="str">
        <f t="shared" si="13"/>
        <v>不使用增产剂</v>
      </c>
      <c r="I102" s="1" t="s">
        <v>176</v>
      </c>
      <c r="J102" s="1">
        <f t="shared" si="14"/>
        <v>1.44</v>
      </c>
      <c r="Q102" s="1">
        <f t="shared" si="15"/>
        <v>1.3262916666666666E-2</v>
      </c>
      <c r="R102" s="1" t="s">
        <v>68</v>
      </c>
    </row>
    <row r="103" spans="1:18" x14ac:dyDescent="0.2">
      <c r="A103" s="1" t="s">
        <v>178</v>
      </c>
      <c r="B103" s="1" t="s">
        <v>179</v>
      </c>
      <c r="C103" s="1">
        <f>((G52+20*C25+G91)+(12/B2)*(F6+B3*B9))/2</f>
        <v>12594293552.812073</v>
      </c>
      <c r="D103" s="1">
        <f>((G52+20*C25+G91)+(12/B2)*(F6+E14*B3*B9)+22*B14)/C14</f>
        <v>23835188538.332573</v>
      </c>
      <c r="E103" s="1">
        <f>(2*(G52+20*C25+G91)+(12/B2)*(F6+2.5*B3*B9)+44*B14)/4</f>
        <v>13299293552.812073</v>
      </c>
      <c r="F103" s="1">
        <f t="shared" si="11"/>
        <v>12594293552.812073</v>
      </c>
      <c r="G103" s="1">
        <f t="shared" si="12"/>
        <v>12594293552.812073</v>
      </c>
      <c r="H103" s="1" t="str">
        <f t="shared" si="13"/>
        <v>不使用增产剂</v>
      </c>
      <c r="I103" s="1" t="s">
        <v>178</v>
      </c>
      <c r="J103" s="1">
        <f t="shared" si="14"/>
        <v>12.594293552812072</v>
      </c>
      <c r="Q103" s="1">
        <f t="shared" si="15"/>
        <v>1.5164486932048393E-3</v>
      </c>
      <c r="R103" s="1" t="s">
        <v>68</v>
      </c>
    </row>
    <row r="104" spans="1:18" x14ac:dyDescent="0.2">
      <c r="A104" s="1" t="s">
        <v>180</v>
      </c>
      <c r="B104" s="1" t="s">
        <v>181</v>
      </c>
      <c r="C104" s="1">
        <f>((12*G72+G96+G52)+(24/B2)*(G6+B3*B9))/2</f>
        <v>86408000000</v>
      </c>
      <c r="D104" s="1" t="s">
        <v>96</v>
      </c>
      <c r="E104" s="1">
        <f>(2*(12*G72+G96+G52)+(24/B2)*(G6+2.5*B3*B9)+52*B14)/4</f>
        <v>87683000000</v>
      </c>
      <c r="F104" s="1">
        <f t="shared" si="11"/>
        <v>86408000000</v>
      </c>
      <c r="G104" s="1">
        <f t="shared" si="12"/>
        <v>86408000000</v>
      </c>
      <c r="H104" s="1" t="str">
        <f t="shared" si="13"/>
        <v>不使用增产剂</v>
      </c>
      <c r="I104" s="1" t="s">
        <v>180</v>
      </c>
      <c r="J104" s="1">
        <f t="shared" si="14"/>
        <v>86.408000000000001</v>
      </c>
      <c r="Q104" s="1">
        <f t="shared" si="15"/>
        <v>2.2102814554207943E-4</v>
      </c>
      <c r="R104" s="1" t="s">
        <v>68</v>
      </c>
    </row>
    <row r="105" spans="1:18" x14ac:dyDescent="0.2">
      <c r="A105" s="1" t="s">
        <v>182</v>
      </c>
      <c r="B105" s="1" t="s">
        <v>183</v>
      </c>
      <c r="C105" s="1">
        <f>(2*G51+3*G31)+(4/B2)*(E6+B3*B9)</f>
        <v>6840000000</v>
      </c>
      <c r="D105" s="1">
        <f>((2*G51+3*G31)+(4/B2)*(E6+E14*B3*B9)+5*B14)/C14</f>
        <v>6530666666.666667</v>
      </c>
      <c r="E105" s="1">
        <f>(2*(2*G51+3*G31)+(4/B2)*(E6+2.5*B3*B9)+10*B14)/2</f>
        <v>7275000000</v>
      </c>
      <c r="F105" s="1">
        <f t="shared" si="11"/>
        <v>6530666666.666667</v>
      </c>
      <c r="G105" s="1">
        <f t="shared" si="12"/>
        <v>6530666666.666667</v>
      </c>
      <c r="H105" s="1" t="str">
        <f t="shared" si="13"/>
        <v>增产</v>
      </c>
      <c r="I105" s="1" t="s">
        <v>182</v>
      </c>
      <c r="J105" s="1">
        <f t="shared" si="14"/>
        <v>6.5306666666666668</v>
      </c>
      <c r="Q105" s="1">
        <f t="shared" si="15"/>
        <v>2.9244487545937114E-3</v>
      </c>
      <c r="R105" s="1" t="s">
        <v>68</v>
      </c>
    </row>
    <row r="106" spans="1:18" x14ac:dyDescent="0.2">
      <c r="A106" s="1" t="s">
        <v>184</v>
      </c>
      <c r="B106" s="1" t="s">
        <v>185</v>
      </c>
      <c r="C106" s="1">
        <f>(5*G52+5*G61)+(6/B2)*(E6+B3*B9)</f>
        <v>59714567901.234573</v>
      </c>
      <c r="D106" s="1">
        <f>((5*G52+5*G61)+(6/B2)*(E6+E14*B3*B9)+10*B14)/C14</f>
        <v>53788949245.54184</v>
      </c>
      <c r="E106" s="1">
        <f>(2*(5*G52+5*G61)+(6/B2)*(E6+2.5*B3*B9)+20*B14)/2</f>
        <v>60404567901.234573</v>
      </c>
      <c r="F106" s="1">
        <f t="shared" si="11"/>
        <v>53788949245.54184</v>
      </c>
      <c r="G106" s="1">
        <f t="shared" si="12"/>
        <v>53788949245.54184</v>
      </c>
      <c r="H106" s="1" t="str">
        <f t="shared" si="13"/>
        <v>增产</v>
      </c>
      <c r="I106" s="1" t="s">
        <v>184</v>
      </c>
      <c r="J106" s="1">
        <f t="shared" si="14"/>
        <v>53.788949245541836</v>
      </c>
      <c r="Q106" s="1">
        <f t="shared" si="15"/>
        <v>3.5506549705621807E-4</v>
      </c>
      <c r="R106" s="1" t="s">
        <v>68</v>
      </c>
    </row>
    <row r="109" spans="1:18" ht="19.5" x14ac:dyDescent="0.2">
      <c r="A109" s="2" t="s">
        <v>186</v>
      </c>
      <c r="B109" s="2"/>
      <c r="C109" s="2"/>
      <c r="D109" s="2"/>
      <c r="E109" s="2"/>
      <c r="F109" s="2"/>
    </row>
    <row r="110" spans="1:18" x14ac:dyDescent="0.2">
      <c r="A110" s="1" t="s">
        <v>187</v>
      </c>
      <c r="B110" s="1" t="s">
        <v>188</v>
      </c>
      <c r="C110" s="1">
        <f>(G50+G57)+(3/G2)*(P6+G3*B9)</f>
        <v>3016000000</v>
      </c>
      <c r="D110" s="1">
        <f>((G50+G57)+(3/G2)*(P6+E14*G3*B9)+2*B14)/C14</f>
        <v>3091555555.5555553</v>
      </c>
      <c r="E110" s="1">
        <f>(2*(G50+G57)+(3/G2)*(P6+2.5*G3*B9)+4*B14)/2</f>
        <v>3406000000</v>
      </c>
      <c r="F110" s="1">
        <f t="shared" ref="F110:F115" si="16">MIN(C110:E110)</f>
        <v>3016000000</v>
      </c>
      <c r="G110" s="1">
        <f t="shared" ref="G110:G115" si="17">F110</f>
        <v>3016000000</v>
      </c>
      <c r="H110" s="1" t="str">
        <f t="shared" ref="H110:H115" si="18">IF(C110=G110,"不使用增产剂","")&amp;IF(D110=G110,"增产","")&amp;IF(E110=G110,"加速","")</f>
        <v>不使用增产剂</v>
      </c>
      <c r="I110" s="1" t="s">
        <v>187</v>
      </c>
      <c r="J110" s="1">
        <f t="shared" ref="J110:J115" si="19">G110/1000000000</f>
        <v>3.016</v>
      </c>
      <c r="Q110" s="1">
        <f t="shared" ref="Q110:Q115" si="20">60*318310/G110</f>
        <v>6.3324270557029178E-3</v>
      </c>
      <c r="R110" s="1" t="s">
        <v>68</v>
      </c>
    </row>
    <row r="111" spans="1:18" x14ac:dyDescent="0.2">
      <c r="A111" s="1" t="s">
        <v>189</v>
      </c>
      <c r="B111" s="1" t="s">
        <v>190</v>
      </c>
      <c r="C111" s="1">
        <f>((2*G35)+(6/G2)*(P6+G3*B9))</f>
        <v>4320000000</v>
      </c>
      <c r="D111" s="1">
        <f>((2*G35)+(6/G2)*(P6+E14*G3*B9)+4*B14)/C14</f>
        <v>4661333333.333333</v>
      </c>
      <c r="E111" s="1">
        <f>(2*(2*G35)+(6/G2)*(P6+2.5*G3*B9)+8*B14)/2</f>
        <v>5100000000</v>
      </c>
      <c r="F111" s="1">
        <f t="shared" si="16"/>
        <v>4320000000</v>
      </c>
      <c r="G111" s="1">
        <f t="shared" si="17"/>
        <v>4320000000</v>
      </c>
      <c r="H111" s="1" t="str">
        <f t="shared" si="18"/>
        <v>不使用增产剂</v>
      </c>
      <c r="I111" s="1" t="s">
        <v>189</v>
      </c>
      <c r="J111" s="1">
        <f t="shared" si="19"/>
        <v>4.32</v>
      </c>
      <c r="Q111" s="1">
        <f t="shared" si="20"/>
        <v>4.420972222222222E-3</v>
      </c>
      <c r="R111" s="1" t="s">
        <v>68</v>
      </c>
    </row>
    <row r="112" spans="1:18" x14ac:dyDescent="0.2">
      <c r="A112" s="1" t="s">
        <v>191</v>
      </c>
      <c r="B112" s="1" t="s">
        <v>192</v>
      </c>
      <c r="C112" s="1">
        <f>((H25+G62)+(8/G2)*(P6+G3*B9))</f>
        <v>24887703703.703701</v>
      </c>
      <c r="D112" s="1">
        <f>((H25+G62)+(8/G2)*(P6+E14*G3*B9)+2*B14)/C14</f>
        <v>23173069958.847733</v>
      </c>
      <c r="E112" s="1">
        <f>(2*(H25+G62)+(8/G2)*(P6+2.5*G3*B9)+4*B14)/2</f>
        <v>25877703703.703701</v>
      </c>
      <c r="F112" s="1">
        <f t="shared" si="16"/>
        <v>23173069958.847733</v>
      </c>
      <c r="G112" s="1">
        <f t="shared" si="17"/>
        <v>23173069958.847733</v>
      </c>
      <c r="H112" s="1" t="str">
        <f t="shared" si="18"/>
        <v>增产</v>
      </c>
      <c r="I112" s="1" t="s">
        <v>191</v>
      </c>
      <c r="J112" s="1">
        <f t="shared" si="19"/>
        <v>23.173069958847734</v>
      </c>
      <c r="Q112" s="1">
        <f t="shared" si="20"/>
        <v>8.2417219789680666E-4</v>
      </c>
      <c r="R112" s="1" t="s">
        <v>68</v>
      </c>
    </row>
    <row r="113" spans="1:18" x14ac:dyDescent="0.2">
      <c r="A113" s="1" t="s">
        <v>193</v>
      </c>
      <c r="B113" s="1" t="s">
        <v>194</v>
      </c>
      <c r="C113" s="1">
        <f>((2*G59+G74)+(10/G2)*(P6+G3*B9))</f>
        <v>33081185185.185184</v>
      </c>
      <c r="D113" s="1">
        <f>((2*G59+G74)+(10/G2)*(P6+E14*G3*B9)+3*B14)/C14</f>
        <v>30725497942.386826</v>
      </c>
      <c r="E113" s="1">
        <f>(2*(2*G59+G74)+(10/G2)*(P6+2.5*G3*B9)+6*B14)/2</f>
        <v>34326185185.185184</v>
      </c>
      <c r="F113" s="1">
        <f t="shared" si="16"/>
        <v>30725497942.386826</v>
      </c>
      <c r="G113" s="1">
        <f t="shared" si="17"/>
        <v>30725497942.386826</v>
      </c>
      <c r="H113" s="1" t="str">
        <f t="shared" si="18"/>
        <v>增产</v>
      </c>
      <c r="I113" s="1" t="s">
        <v>193</v>
      </c>
      <c r="J113" s="1">
        <f t="shared" si="19"/>
        <v>30.725497942386827</v>
      </c>
      <c r="Q113" s="1">
        <f t="shared" si="20"/>
        <v>6.2158797347439761E-4</v>
      </c>
      <c r="R113" s="1" t="s">
        <v>68</v>
      </c>
    </row>
    <row r="114" spans="1:18" x14ac:dyDescent="0.2">
      <c r="A114" s="1" t="s">
        <v>195</v>
      </c>
      <c r="B114" s="1" t="s">
        <v>196</v>
      </c>
      <c r="C114" s="1">
        <f>((G93+G92)+(24/G2)*(P6+G3*B9))/2</f>
        <v>86422129350.200684</v>
      </c>
      <c r="D114" s="1">
        <f>((G93+G92)+(24/G2)*(P6+E14*G3*B9)+2*B14)/(2*C14)</f>
        <v>78369003866.845047</v>
      </c>
      <c r="E114" s="1">
        <f>(2*(G93+G92)+(24/G2)*(P6+2.5*G3*B9)+4*B14)/4</f>
        <v>87877129350.200684</v>
      </c>
      <c r="F114" s="1">
        <f t="shared" si="16"/>
        <v>78369003866.845047</v>
      </c>
      <c r="G114" s="1">
        <f t="shared" si="17"/>
        <v>78369003866.845047</v>
      </c>
      <c r="H114" s="1" t="str">
        <f t="shared" si="18"/>
        <v>增产</v>
      </c>
      <c r="I114" s="1" t="s">
        <v>195</v>
      </c>
      <c r="J114" s="1">
        <f t="shared" si="19"/>
        <v>78.369003866845048</v>
      </c>
      <c r="Q114" s="1">
        <f t="shared" si="20"/>
        <v>2.437009411584456E-4</v>
      </c>
      <c r="R114" s="1" t="s">
        <v>68</v>
      </c>
    </row>
    <row r="115" spans="1:18" x14ac:dyDescent="0.2">
      <c r="A115" s="1" t="s">
        <v>197</v>
      </c>
      <c r="B115" s="1" t="s">
        <v>198</v>
      </c>
      <c r="C115" s="1">
        <f>(G110+G111+G112+G113+G114+G72)+(15/G2)*(Q6+G3*B9)</f>
        <v>158803571768.07959</v>
      </c>
      <c r="D115" s="1">
        <f>((G110+G111+G112+G113+G114+G72)+(15/G2)*(Q6+E14*G3*B9)+6*B14)/C14</f>
        <v>143158730460.5152</v>
      </c>
      <c r="E115" s="1">
        <f>(2*(G110+G111+G112+G113+G114+G72)+(15/G2)*(Q6+2.5*G3*B9)+12*B14)/2</f>
        <v>160693571768.07959</v>
      </c>
      <c r="F115" s="1">
        <f t="shared" si="16"/>
        <v>143158730460.5152</v>
      </c>
      <c r="G115" s="1">
        <f t="shared" si="17"/>
        <v>143158730460.5152</v>
      </c>
      <c r="H115" s="1" t="str">
        <f t="shared" si="18"/>
        <v>增产</v>
      </c>
      <c r="I115" s="1" t="s">
        <v>197</v>
      </c>
      <c r="J115" s="1">
        <f t="shared" si="19"/>
        <v>143.15873046051519</v>
      </c>
      <c r="Q115" s="1">
        <f t="shared" si="20"/>
        <v>1.3340855942605337E-4</v>
      </c>
      <c r="R115" s="1" t="s">
        <v>68</v>
      </c>
    </row>
  </sheetData>
  <mergeCells count="6">
    <mergeCell ref="A109:F109"/>
    <mergeCell ref="A26:F26"/>
    <mergeCell ref="C27:G27"/>
    <mergeCell ref="A29:F29"/>
    <mergeCell ref="A49:F49"/>
    <mergeCell ref="A90:F90"/>
  </mergeCells>
  <phoneticPr fontId="1" type="noConversion"/>
  <conditionalFormatting sqref="A77">
    <cfRule type="cellIs" dxfId="32" priority="4" operator="equal">
      <formula>"不使用增产剂"</formula>
    </cfRule>
    <cfRule type="cellIs" dxfId="31" priority="5" operator="equal">
      <formula>"加速"</formula>
    </cfRule>
    <cfRule type="cellIs" dxfId="30" priority="6" operator="equal">
      <formula>"增产"</formula>
    </cfRule>
  </conditionalFormatting>
  <conditionalFormatting sqref="A75:B75">
    <cfRule type="cellIs" dxfId="29" priority="10" operator="equal">
      <formula>"不使用增产剂"</formula>
    </cfRule>
    <cfRule type="cellIs" dxfId="28" priority="11" operator="equal">
      <formula>"加速"</formula>
    </cfRule>
    <cfRule type="cellIs" dxfId="27" priority="12" operator="equal">
      <formula>"增产"</formula>
    </cfRule>
  </conditionalFormatting>
  <conditionalFormatting sqref="A49:F49">
    <cfRule type="cellIs" dxfId="26" priority="31" operator="equal">
      <formula>"不使用增产剂"</formula>
    </cfRule>
    <cfRule type="cellIs" dxfId="25" priority="32" operator="equal">
      <formula>"加速"</formula>
    </cfRule>
    <cfRule type="cellIs" dxfId="24" priority="33" operator="equal">
      <formula>"增产"</formula>
    </cfRule>
  </conditionalFormatting>
  <conditionalFormatting sqref="A90:F90">
    <cfRule type="cellIs" dxfId="23" priority="28" operator="equal">
      <formula>"不使用增产剂"</formula>
    </cfRule>
    <cfRule type="cellIs" dxfId="22" priority="29" operator="equal">
      <formula>"加速"</formula>
    </cfRule>
    <cfRule type="cellIs" dxfId="21" priority="30" operator="equal">
      <formula>"增产"</formula>
    </cfRule>
  </conditionalFormatting>
  <conditionalFormatting sqref="A109:F109">
    <cfRule type="cellIs" dxfId="20" priority="25" operator="equal">
      <formula>"不使用增产剂"</formula>
    </cfRule>
    <cfRule type="cellIs" dxfId="19" priority="26" operator="equal">
      <formula>"加速"</formula>
    </cfRule>
    <cfRule type="cellIs" dxfId="18" priority="27" operator="equal">
      <formula>"增产"</formula>
    </cfRule>
  </conditionalFormatting>
  <conditionalFormatting sqref="A26:H38 A39:G42 H39:H49 A43:B44 F43:G44 A45:G47 F48 A50:H74 F75:H78">
    <cfRule type="cellIs" dxfId="17" priority="34" operator="equal">
      <formula>"不使用增产剂"</formula>
    </cfRule>
    <cfRule type="cellIs" dxfId="16" priority="35" operator="equal">
      <formula>"加速"</formula>
    </cfRule>
    <cfRule type="cellIs" dxfId="15" priority="36" operator="equal">
      <formula>"增产"</formula>
    </cfRule>
  </conditionalFormatting>
  <conditionalFormatting sqref="A91:I106">
    <cfRule type="cellIs" dxfId="14" priority="16" operator="equal">
      <formula>"不使用增产剂"</formula>
    </cfRule>
    <cfRule type="cellIs" dxfId="13" priority="17" operator="equal">
      <formula>"加速"</formula>
    </cfRule>
    <cfRule type="cellIs" dxfId="12" priority="18" operator="equal">
      <formula>"增产"</formula>
    </cfRule>
  </conditionalFormatting>
  <conditionalFormatting sqref="A110:I115">
    <cfRule type="cellIs" dxfId="11" priority="13" operator="equal">
      <formula>"不使用增产剂"</formula>
    </cfRule>
    <cfRule type="cellIs" dxfId="10" priority="14" operator="equal">
      <formula>"加速"</formula>
    </cfRule>
    <cfRule type="cellIs" dxfId="9" priority="15" operator="equal">
      <formula>"增产"</formula>
    </cfRule>
  </conditionalFormatting>
  <conditionalFormatting sqref="I30:I45">
    <cfRule type="cellIs" dxfId="8" priority="22" operator="equal">
      <formula>"不使用增产剂"</formula>
    </cfRule>
    <cfRule type="cellIs" dxfId="7" priority="23" operator="equal">
      <formula>"加速"</formula>
    </cfRule>
    <cfRule type="cellIs" dxfId="6" priority="24" operator="equal">
      <formula>"增产"</formula>
    </cfRule>
  </conditionalFormatting>
  <conditionalFormatting sqref="I50:I75">
    <cfRule type="cellIs" dxfId="5" priority="7" operator="equal">
      <formula>"不使用增产剂"</formula>
    </cfRule>
    <cfRule type="cellIs" dxfId="4" priority="8" operator="equal">
      <formula>"加速"</formula>
    </cfRule>
    <cfRule type="cellIs" dxfId="3" priority="9" operator="equal">
      <formula>"增产"</formula>
    </cfRule>
  </conditionalFormatting>
  <conditionalFormatting sqref="I77">
    <cfRule type="cellIs" dxfId="2" priority="1" operator="equal">
      <formula>"不使用增产剂"</formula>
    </cfRule>
    <cfRule type="cellIs" dxfId="1" priority="2" operator="equal">
      <formula>"加速"</formula>
    </cfRule>
    <cfRule type="cellIs" dxfId="0" priority="3" operator="equal">
      <formula>"增产"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8157-8E85-424B-B738-199384E5EC06}">
  <dimension ref="A1:U13"/>
  <sheetViews>
    <sheetView workbookViewId="0">
      <selection activeCell="O10" sqref="O10:O11"/>
    </sheetView>
  </sheetViews>
  <sheetFormatPr defaultRowHeight="14.25" x14ac:dyDescent="0.2"/>
  <cols>
    <col min="1" max="1" width="22.125" customWidth="1"/>
    <col min="7" max="7" width="17.875" customWidth="1"/>
    <col min="8" max="8" width="12.875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s="1" customFormat="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s="1" customFormat="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9" spans="1:21" x14ac:dyDescent="0.2">
      <c r="A9" s="1" t="s">
        <v>203</v>
      </c>
      <c r="B9" s="1" t="s">
        <v>207</v>
      </c>
      <c r="C9" s="1" t="s">
        <v>208</v>
      </c>
      <c r="D9" s="1" t="s">
        <v>209</v>
      </c>
      <c r="E9" s="1" t="s">
        <v>210</v>
      </c>
      <c r="F9" s="1" t="s">
        <v>211</v>
      </c>
      <c r="G9" s="1" t="s">
        <v>212</v>
      </c>
      <c r="H9" s="1" t="s">
        <v>213</v>
      </c>
      <c r="I9" s="1" t="s">
        <v>214</v>
      </c>
      <c r="J9" s="1" t="s">
        <v>215</v>
      </c>
      <c r="K9" s="1" t="s">
        <v>216</v>
      </c>
      <c r="L9" s="1" t="s">
        <v>217</v>
      </c>
      <c r="M9" s="1" t="s">
        <v>218</v>
      </c>
      <c r="N9" s="1" t="s">
        <v>219</v>
      </c>
      <c r="O9" s="1" t="s">
        <v>220</v>
      </c>
      <c r="P9" s="1" t="s">
        <v>221</v>
      </c>
      <c r="Q9" s="1" t="s">
        <v>222</v>
      </c>
      <c r="R9" s="1" t="s">
        <v>223</v>
      </c>
      <c r="S9" s="1" t="s">
        <v>224</v>
      </c>
      <c r="T9" s="1" t="s">
        <v>225</v>
      </c>
      <c r="U9" s="1" t="s">
        <v>226</v>
      </c>
    </row>
    <row r="10" spans="1:21" x14ac:dyDescent="0.2">
      <c r="A10" s="1" t="s">
        <v>205</v>
      </c>
      <c r="B10" s="1">
        <v>1</v>
      </c>
      <c r="C10" s="1">
        <v>0.5</v>
      </c>
      <c r="D10" s="1">
        <v>1</v>
      </c>
      <c r="E10" s="1">
        <v>1</v>
      </c>
      <c r="F10" s="1">
        <v>1</v>
      </c>
      <c r="G10" s="1">
        <v>8</v>
      </c>
      <c r="H10" s="1">
        <v>1</v>
      </c>
      <c r="I10" s="1">
        <v>1</v>
      </c>
      <c r="J10" s="1">
        <v>2</v>
      </c>
      <c r="K10" s="1">
        <v>0.75</v>
      </c>
      <c r="L10" s="1">
        <v>1</v>
      </c>
      <c r="M10" s="1">
        <v>1.5</v>
      </c>
      <c r="N10" s="1">
        <v>1</v>
      </c>
      <c r="O10" s="1">
        <v>1</v>
      </c>
      <c r="P10" s="1">
        <v>2</v>
      </c>
      <c r="Q10" s="1">
        <v>1</v>
      </c>
      <c r="R10" s="1">
        <v>1</v>
      </c>
      <c r="S10" s="1">
        <v>1</v>
      </c>
      <c r="T10" s="1">
        <v>50</v>
      </c>
      <c r="U10" s="1">
        <v>1</v>
      </c>
    </row>
    <row r="11" spans="1:21" x14ac:dyDescent="0.2">
      <c r="A11" s="1" t="s">
        <v>204</v>
      </c>
      <c r="B11" s="1">
        <v>0.08</v>
      </c>
      <c r="C11" s="1">
        <v>0.42</v>
      </c>
      <c r="D11" s="1">
        <v>2.94</v>
      </c>
      <c r="E11" s="1">
        <v>0.3</v>
      </c>
      <c r="F11" s="1">
        <v>0.3</v>
      </c>
      <c r="G11" s="1">
        <v>30</v>
      </c>
      <c r="H11" s="1">
        <v>0</v>
      </c>
      <c r="I11" s="1">
        <v>0.36</v>
      </c>
      <c r="J11" s="1">
        <v>1.44</v>
      </c>
      <c r="K11" s="1">
        <v>0.27</v>
      </c>
      <c r="L11" s="1">
        <v>0.54</v>
      </c>
      <c r="M11" s="1">
        <v>1.08</v>
      </c>
      <c r="N11" s="1">
        <v>0.96</v>
      </c>
      <c r="O11" s="1">
        <v>0.72</v>
      </c>
      <c r="P11" s="1">
        <v>2.16</v>
      </c>
      <c r="Q11" s="1">
        <v>0.72</v>
      </c>
      <c r="R11" s="1">
        <v>12</v>
      </c>
      <c r="S11" s="1">
        <v>0.48</v>
      </c>
      <c r="T11" s="1">
        <v>45</v>
      </c>
      <c r="U11" s="1">
        <v>0.9</v>
      </c>
    </row>
    <row r="13" spans="1:21" x14ac:dyDescent="0.2">
      <c r="A13" s="1" t="s">
        <v>206</v>
      </c>
      <c r="B13" s="1">
        <v>0</v>
      </c>
      <c r="C13" s="1">
        <v>15</v>
      </c>
      <c r="D13" s="1">
        <v>25</v>
      </c>
      <c r="E13" s="1">
        <v>12</v>
      </c>
      <c r="F13" s="1">
        <v>50</v>
      </c>
      <c r="G13" s="1">
        <v>0</v>
      </c>
      <c r="H13" s="1">
        <v>54.82</v>
      </c>
      <c r="I13" s="1">
        <v>5.76</v>
      </c>
      <c r="J13" s="1">
        <v>5.76</v>
      </c>
      <c r="K13" s="1">
        <v>10.24</v>
      </c>
      <c r="L13" s="1">
        <v>10.24</v>
      </c>
      <c r="M13" s="1">
        <v>10.24</v>
      </c>
      <c r="N13" s="1">
        <v>18</v>
      </c>
      <c r="O13" s="1">
        <v>23.76</v>
      </c>
      <c r="P13" s="1">
        <v>23.76</v>
      </c>
      <c r="Q13" s="1">
        <v>12.96</v>
      </c>
      <c r="R13" s="1">
        <v>45.12</v>
      </c>
      <c r="S13" s="1">
        <v>20.25</v>
      </c>
      <c r="T13" s="1">
        <v>64</v>
      </c>
      <c r="U13" s="1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8CC2-0D24-4788-BA5C-EEC56D063114}">
  <dimension ref="A1:U10"/>
  <sheetViews>
    <sheetView workbookViewId="0">
      <selection activeCell="A3" sqref="A3:XFD3"/>
    </sheetView>
  </sheetViews>
  <sheetFormatPr defaultRowHeight="14.25" x14ac:dyDescent="0.2"/>
  <cols>
    <col min="1" max="1" width="34.125" customWidth="1"/>
  </cols>
  <sheetData>
    <row r="1" spans="1:21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spans="1:21" s="1" customFormat="1" x14ac:dyDescent="0.2">
      <c r="A2" s="1" t="s">
        <v>247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v>26.4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s="1" customFormat="1" x14ac:dyDescent="0.2">
      <c r="A3" s="1" t="s">
        <v>199</v>
      </c>
      <c r="B3" s="1">
        <v>10.5</v>
      </c>
      <c r="C3" s="1">
        <v>12</v>
      </c>
      <c r="D3" s="1">
        <v>16</v>
      </c>
      <c r="E3" s="1">
        <v>16</v>
      </c>
      <c r="F3" s="1">
        <v>16</v>
      </c>
      <c r="G3" s="1">
        <v>16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s="1" customFormat="1" x14ac:dyDescent="0.2">
      <c r="A4" s="1" t="s">
        <v>200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s="1" customFormat="1" x14ac:dyDescent="0.2">
      <c r="A5" s="1" t="s">
        <v>201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s="1" customFormat="1" x14ac:dyDescent="0.2">
      <c r="A6" s="1" t="s">
        <v>202</v>
      </c>
      <c r="B6" s="1">
        <f>J30+2*J28</f>
        <v>0</v>
      </c>
      <c r="C6" s="1">
        <f>J30+4*J28</f>
        <v>0</v>
      </c>
      <c r="D6" s="1">
        <f>J30+2*J28</f>
        <v>0</v>
      </c>
      <c r="E6" s="1">
        <f>J30+3*J28</f>
        <v>0</v>
      </c>
      <c r="F6" s="1">
        <f>J30+4*J28</f>
        <v>0</v>
      </c>
      <c r="G6" s="1">
        <f>J30+5*J28</f>
        <v>0</v>
      </c>
      <c r="H6" s="1">
        <f>J30+2*J28</f>
        <v>0</v>
      </c>
      <c r="I6" s="1">
        <f>J30+3*J28</f>
        <v>0</v>
      </c>
      <c r="J6" s="1">
        <f>J30+2*J28</f>
        <v>0</v>
      </c>
      <c r="K6" s="1">
        <f>J30+3*J28</f>
        <v>0</v>
      </c>
      <c r="L6" s="1">
        <f>J30+4*J28</f>
        <v>0</v>
      </c>
      <c r="M6" s="1">
        <f>J30+2*J28</f>
        <v>0</v>
      </c>
      <c r="N6" s="1">
        <f>J30+3*J28</f>
        <v>0</v>
      </c>
      <c r="O6" s="1">
        <f>J30+J28</f>
        <v>0</v>
      </c>
      <c r="P6" s="1">
        <f>J30+3*J28</f>
        <v>0</v>
      </c>
      <c r="Q6" s="1">
        <f>J30+7*J28</f>
        <v>0</v>
      </c>
      <c r="R6" s="1">
        <f>J30+J28</f>
        <v>0</v>
      </c>
      <c r="S6" s="1">
        <f>J30+J28</f>
        <v>0</v>
      </c>
      <c r="T6" s="1">
        <f>J30+J28/3</f>
        <v>0</v>
      </c>
      <c r="U6" s="1">
        <f>J30</f>
        <v>0</v>
      </c>
    </row>
    <row r="7" spans="1:21" s="1" customFormat="1" x14ac:dyDescent="0.2">
      <c r="A7" s="1" t="s">
        <v>253</v>
      </c>
      <c r="B7" s="1">
        <v>68</v>
      </c>
      <c r="C7" s="1">
        <v>116</v>
      </c>
      <c r="D7" s="1">
        <v>76</v>
      </c>
      <c r="E7" s="1">
        <v>104</v>
      </c>
      <c r="F7" s="1">
        <v>132</v>
      </c>
      <c r="G7" s="1">
        <v>160</v>
      </c>
      <c r="H7" s="1">
        <v>100</v>
      </c>
      <c r="I7" s="1">
        <v>140</v>
      </c>
      <c r="J7" s="1">
        <v>84</v>
      </c>
      <c r="K7" s="1">
        <v>116</v>
      </c>
      <c r="L7" s="1">
        <v>128</v>
      </c>
      <c r="M7" s="1">
        <v>68</v>
      </c>
      <c r="N7" s="1">
        <v>92</v>
      </c>
      <c r="O7" s="1">
        <v>332</v>
      </c>
      <c r="P7" s="1">
        <v>396</v>
      </c>
      <c r="Q7" s="1">
        <v>524</v>
      </c>
      <c r="R7" s="1">
        <v>60</v>
      </c>
      <c r="S7" s="1">
        <v>88</v>
      </c>
      <c r="T7" s="1">
        <v>128</v>
      </c>
      <c r="U7" s="1">
        <v>44</v>
      </c>
    </row>
    <row r="8" spans="1:21" s="1" customFormat="1" x14ac:dyDescent="0.2">
      <c r="A8" s="1" t="s">
        <v>239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">
      <c r="A9" t="s">
        <v>254</v>
      </c>
      <c r="B9">
        <v>0.54805434782608697</v>
      </c>
      <c r="C9">
        <v>0.95348913043478267</v>
      </c>
      <c r="D9">
        <v>0.57183212560386476</v>
      </c>
      <c r="E9">
        <v>0.77454951690821261</v>
      </c>
      <c r="F9">
        <v>0.97726690821256046</v>
      </c>
      <c r="G9">
        <v>1.1799842995169081</v>
      </c>
      <c r="H9">
        <v>0.67288768115942021</v>
      </c>
      <c r="I9">
        <v>0.87560507246376806</v>
      </c>
      <c r="J9">
        <v>0.62533212560386475</v>
      </c>
      <c r="K9">
        <v>0.8280495169082126</v>
      </c>
      <c r="L9">
        <v>1.0307669082125603</v>
      </c>
      <c r="M9">
        <v>0.53616545893719803</v>
      </c>
      <c r="N9">
        <v>0.73888285024154587</v>
      </c>
      <c r="O9">
        <v>1.4057608695652175</v>
      </c>
      <c r="P9">
        <v>1.8111956521739132</v>
      </c>
      <c r="Q9">
        <v>2.6220652173913042</v>
      </c>
      <c r="R9">
        <v>0.27400362318840576</v>
      </c>
      <c r="S9">
        <v>0.27400362318840576</v>
      </c>
      <c r="T9">
        <v>0.1388586956521739</v>
      </c>
      <c r="U9">
        <v>44</v>
      </c>
    </row>
    <row r="10" spans="1:21" s="1" customFormat="1" x14ac:dyDescent="0.2">
      <c r="A10" s="1" t="s">
        <v>256</v>
      </c>
      <c r="B10" s="1">
        <v>6.96</v>
      </c>
      <c r="C10" s="1">
        <v>8.16</v>
      </c>
      <c r="D10" s="1">
        <v>10.88</v>
      </c>
      <c r="E10" s="1">
        <v>10.88</v>
      </c>
      <c r="F10" s="1">
        <v>11.52</v>
      </c>
      <c r="G10" s="1">
        <v>11.52</v>
      </c>
      <c r="H10" s="1">
        <v>26.4</v>
      </c>
      <c r="I10" s="1">
        <v>26.4</v>
      </c>
      <c r="J10" s="1">
        <v>47.5</v>
      </c>
      <c r="K10" s="1">
        <v>47.5</v>
      </c>
      <c r="L10" s="1">
        <v>52.25</v>
      </c>
      <c r="M10" s="1">
        <v>19.5</v>
      </c>
      <c r="N10" s="1">
        <v>19.5</v>
      </c>
      <c r="O10" s="1">
        <v>22.5</v>
      </c>
      <c r="P10" s="1">
        <v>22.5</v>
      </c>
      <c r="Q10" s="1">
        <v>22.5</v>
      </c>
      <c r="R10" s="1">
        <v>48.96</v>
      </c>
      <c r="S10" s="1">
        <v>54.824300000000001</v>
      </c>
      <c r="T10" s="1">
        <v>16.670000000000002</v>
      </c>
      <c r="U10" s="1">
        <v>10.5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无浮空单球原矿黑盒最高铺法</vt:lpstr>
      <vt:lpstr>带偏移宇宙占地最小</vt:lpstr>
      <vt:lpstr>不偏移单球占地最小</vt:lpstr>
      <vt:lpstr>最低预估卡顿</vt:lpstr>
      <vt:lpstr>低级建筑全低效最省电</vt:lpstr>
      <vt:lpstr>背包制造</vt:lpstr>
      <vt:lpstr>低级增产剂（仅增产使用，这里加速这一列没改，加速算出来的是错的</vt:lpstr>
      <vt:lpstr>建筑属性</vt:lpstr>
      <vt:lpstr>产线成本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653524123@qq.com</cp:lastModifiedBy>
  <dcterms:created xsi:type="dcterms:W3CDTF">2015-06-05T18:17:20Z</dcterms:created>
  <dcterms:modified xsi:type="dcterms:W3CDTF">2024-01-12T18:03:49Z</dcterms:modified>
</cp:coreProperties>
</file>