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游戏攻略\数值计算统计\【莳槡】戴森球计划数值计算统计(更新中)\"/>
    </mc:Choice>
  </mc:AlternateContent>
  <xr:revisionPtr revIDLastSave="0" documentId="13_ncr:1_{7272E17B-DFFB-4F9A-8F8B-5097BC04B879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星球建造规格统计" sheetId="2" r:id="rId1"/>
    <sheet name="建筑尺寸统计" sheetId="3" r:id="rId2"/>
    <sheet name="建筑偏移" sheetId="4" r:id="rId3"/>
    <sheet name="产线占地参考" sheetId="5" r:id="rId4"/>
    <sheet name="最密节点、风电等问题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D4" i="6" s="1"/>
  <c r="B5" i="6"/>
  <c r="C5" i="6" s="1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H2" i="5"/>
  <c r="U6" i="5"/>
  <c r="H8" i="5"/>
  <c r="J8" i="5"/>
  <c r="K8" i="5"/>
  <c r="H9" i="5"/>
  <c r="I9" i="5"/>
  <c r="J9" i="5"/>
  <c r="K9" i="5"/>
  <c r="L9" i="5"/>
  <c r="M9" i="5"/>
  <c r="N9" i="5"/>
  <c r="O9" i="5"/>
  <c r="P9" i="5"/>
  <c r="Q9" i="5"/>
  <c r="D27" i="5"/>
  <c r="F27" i="5"/>
  <c r="J27" i="5"/>
  <c r="D28" i="5"/>
  <c r="F28" i="5"/>
  <c r="D29" i="5"/>
  <c r="J28" i="5" s="1"/>
  <c r="F29" i="5"/>
  <c r="D30" i="5"/>
  <c r="F30" i="5"/>
  <c r="D31" i="5"/>
  <c r="F31" i="5"/>
  <c r="I50" i="5"/>
  <c r="N50" i="5"/>
  <c r="I51" i="5"/>
  <c r="N51" i="5"/>
  <c r="I52" i="5"/>
  <c r="N52" i="5"/>
  <c r="I53" i="5"/>
  <c r="N53" i="5"/>
  <c r="I54" i="5"/>
  <c r="N54" i="5"/>
  <c r="I55" i="5"/>
  <c r="N55" i="5"/>
  <c r="B2" i="4"/>
  <c r="C2" i="4"/>
  <c r="D2" i="4"/>
  <c r="E2" i="4"/>
  <c r="F2" i="4"/>
  <c r="G2" i="4"/>
  <c r="H2" i="4"/>
  <c r="I2" i="4"/>
  <c r="J2" i="4"/>
  <c r="K2" i="4"/>
  <c r="L2" i="4"/>
  <c r="M2" i="4"/>
  <c r="B3" i="4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B8" i="4"/>
  <c r="C8" i="4"/>
  <c r="D8" i="4"/>
  <c r="E8" i="4"/>
  <c r="F8" i="4"/>
  <c r="G8" i="4"/>
  <c r="B9" i="4"/>
  <c r="C9" i="4"/>
  <c r="D9" i="4"/>
  <c r="E9" i="4"/>
  <c r="F9" i="4"/>
  <c r="B10" i="4"/>
  <c r="C10" i="4"/>
  <c r="D10" i="4"/>
  <c r="E10" i="4"/>
  <c r="B11" i="4"/>
  <c r="C11" i="4"/>
  <c r="D11" i="4"/>
  <c r="B12" i="4"/>
  <c r="C12" i="4"/>
  <c r="B13" i="4"/>
  <c r="D2" i="3"/>
  <c r="E2" i="3"/>
  <c r="H2" i="3"/>
  <c r="I2" i="3"/>
  <c r="J2" i="3"/>
  <c r="K2" i="3"/>
  <c r="L2" i="3"/>
  <c r="D3" i="3"/>
  <c r="E3" i="3"/>
  <c r="H3" i="3"/>
  <c r="I3" i="3"/>
  <c r="J3" i="3"/>
  <c r="K3" i="3"/>
  <c r="L3" i="3"/>
  <c r="E4" i="3"/>
  <c r="K4" i="3" s="1"/>
  <c r="H4" i="3"/>
  <c r="I4" i="3"/>
  <c r="J4" i="3"/>
  <c r="L4" i="3"/>
  <c r="M4" i="3"/>
  <c r="C5" i="3"/>
  <c r="D5" i="3"/>
  <c r="E5" i="3"/>
  <c r="H5" i="3"/>
  <c r="I5" i="3"/>
  <c r="J5" i="3"/>
  <c r="K5" i="3"/>
  <c r="L5" i="3"/>
  <c r="E6" i="3"/>
  <c r="K6" i="3" s="1"/>
  <c r="H6" i="3"/>
  <c r="J6" i="3"/>
  <c r="L6" i="3"/>
  <c r="C7" i="3"/>
  <c r="E7" i="3"/>
  <c r="H7" i="3"/>
  <c r="I7" i="3"/>
  <c r="J7" i="3"/>
  <c r="K7" i="3"/>
  <c r="B9" i="3"/>
  <c r="C9" i="3"/>
  <c r="D9" i="3"/>
  <c r="E9" i="3"/>
  <c r="H9" i="3"/>
  <c r="E30" i="3"/>
  <c r="F30" i="3"/>
  <c r="G30" i="3"/>
  <c r="I30" i="3"/>
  <c r="J30" i="3"/>
  <c r="K30" i="3" s="1"/>
  <c r="L30" i="3" s="1"/>
  <c r="E31" i="3"/>
  <c r="F31" i="3"/>
  <c r="G31" i="3"/>
  <c r="E32" i="3"/>
  <c r="F32" i="3"/>
  <c r="G32" i="3"/>
  <c r="I34" i="3"/>
  <c r="J34" i="3"/>
  <c r="K34" i="3" s="1"/>
  <c r="L34" i="3" s="1"/>
  <c r="G36" i="3"/>
  <c r="H36" i="3"/>
  <c r="F37" i="3"/>
  <c r="J38" i="3"/>
  <c r="K38" i="3"/>
  <c r="L38" i="3" s="1"/>
  <c r="G40" i="3"/>
  <c r="H40" i="3" s="1"/>
  <c r="A41" i="3"/>
  <c r="B41" i="3"/>
  <c r="A42" i="3"/>
  <c r="A43" i="3"/>
  <c r="B43" i="3"/>
  <c r="D43" i="3"/>
  <c r="A44" i="3"/>
  <c r="E2" i="2"/>
  <c r="F2" i="2" s="1"/>
  <c r="H3" i="2" s="1"/>
  <c r="G2" i="2"/>
  <c r="B3" i="2"/>
  <c r="G3" i="2"/>
  <c r="B4" i="2"/>
  <c r="G4" i="2"/>
  <c r="B5" i="2"/>
  <c r="G5" i="2"/>
  <c r="B20" i="2" s="1"/>
  <c r="B6" i="2"/>
  <c r="G6" i="2"/>
  <c r="B7" i="2"/>
  <c r="G7" i="2"/>
  <c r="B8" i="2"/>
  <c r="G8" i="2"/>
  <c r="B9" i="2"/>
  <c r="G9" i="2"/>
  <c r="B10" i="2"/>
  <c r="G10" i="2"/>
  <c r="B11" i="2"/>
  <c r="G11" i="2"/>
  <c r="B12" i="2"/>
  <c r="G12" i="2"/>
  <c r="B13" i="2"/>
  <c r="G13" i="2"/>
  <c r="B19" i="2"/>
  <c r="B24" i="2" s="1"/>
  <c r="B22" i="2"/>
  <c r="B23" i="2"/>
  <c r="Q6" i="5" l="1"/>
  <c r="Q18" i="5" s="1"/>
  <c r="L6" i="5"/>
  <c r="L18" i="5" s="1"/>
  <c r="B6" i="5"/>
  <c r="B18" i="5" s="1"/>
  <c r="R6" i="5"/>
  <c r="R18" i="5" s="1"/>
  <c r="C6" i="5"/>
  <c r="C18" i="5" s="1"/>
  <c r="S6" i="5"/>
  <c r="S18" i="5" s="1"/>
  <c r="D6" i="5"/>
  <c r="D18" i="5" s="1"/>
  <c r="T6" i="5"/>
  <c r="T18" i="5" s="1"/>
  <c r="G6" i="5"/>
  <c r="G18" i="5" s="1"/>
  <c r="H6" i="5"/>
  <c r="H18" i="5" s="1"/>
  <c r="J6" i="5"/>
  <c r="J18" i="5" s="1"/>
  <c r="K6" i="5"/>
  <c r="K18" i="5" s="1"/>
  <c r="N6" i="5"/>
  <c r="N18" i="5" s="1"/>
  <c r="E6" i="5"/>
  <c r="E18" i="5" s="1"/>
  <c r="O6" i="5"/>
  <c r="O18" i="5" s="1"/>
  <c r="F6" i="5"/>
  <c r="F18" i="5" s="1"/>
  <c r="I6" i="5"/>
  <c r="I18" i="5" s="1"/>
  <c r="M6" i="5"/>
  <c r="M18" i="5" s="1"/>
  <c r="P6" i="5"/>
  <c r="P18" i="5" s="1"/>
  <c r="C6" i="3"/>
  <c r="I6" i="3" s="1"/>
  <c r="G41" i="3"/>
  <c r="I40" i="3"/>
  <c r="E3" i="2"/>
  <c r="F3" i="2" l="1"/>
  <c r="H4" i="2" s="1"/>
  <c r="E4" i="2"/>
  <c r="F4" i="2" l="1"/>
  <c r="H5" i="2" s="1"/>
  <c r="E5" i="2"/>
  <c r="E6" i="2" l="1"/>
  <c r="F5" i="2"/>
  <c r="H6" i="2" l="1"/>
  <c r="B21" i="2"/>
  <c r="F6" i="2"/>
  <c r="H7" i="2" s="1"/>
  <c r="E7" i="2"/>
  <c r="F7" i="2" l="1"/>
  <c r="H8" i="2" s="1"/>
  <c r="E8" i="2"/>
  <c r="E9" i="2" l="1"/>
  <c r="F8" i="2"/>
  <c r="H9" i="2" s="1"/>
  <c r="F9" i="2" l="1"/>
  <c r="H10" i="2" s="1"/>
  <c r="E10" i="2"/>
  <c r="F10" i="2" l="1"/>
  <c r="H11" i="2" s="1"/>
  <c r="E11" i="2"/>
  <c r="E12" i="2" l="1"/>
  <c r="F11" i="2"/>
  <c r="H12" i="2" s="1"/>
  <c r="F12" i="2" l="1"/>
  <c r="H13" i="2" s="1"/>
  <c r="E13" i="2"/>
  <c r="F13" i="2" s="1"/>
</calcChain>
</file>

<file path=xl/sharedStrings.xml><?xml version="1.0" encoding="utf-8"?>
<sst xmlns="http://schemas.openxmlformats.org/spreadsheetml/2006/main" count="258" uniqueCount="213">
  <si>
    <t>极地格数占用-小太阳期望发电</t>
    <phoneticPr fontId="3" type="noConversion"/>
  </si>
  <si>
    <t>1层高度长度</t>
    <phoneticPr fontId="3" type="noConversion"/>
  </si>
  <si>
    <t>赤道格长度</t>
    <phoneticPr fontId="3" type="noConversion"/>
  </si>
  <si>
    <t>最低4纬度带面积(600小太阳)</t>
    <phoneticPr fontId="3" type="noConversion"/>
  </si>
  <si>
    <t>星球总格数</t>
    <phoneticPr fontId="3" type="noConversion"/>
  </si>
  <si>
    <t>星球表面积</t>
    <phoneticPr fontId="3" type="noConversion"/>
  </si>
  <si>
    <t>星球大圆周长</t>
    <phoneticPr fontId="3" type="noConversion"/>
  </si>
  <si>
    <t>第11纬度带(极点）</t>
    <phoneticPr fontId="3" type="noConversion"/>
  </si>
  <si>
    <t>第10纬度带</t>
  </si>
  <si>
    <t>第9纬度带</t>
  </si>
  <si>
    <t>第8纬度带</t>
  </si>
  <si>
    <t>第7纬度带</t>
  </si>
  <si>
    <t>第6纬度带</t>
  </si>
  <si>
    <t>第5纬度带</t>
  </si>
  <si>
    <t>第4纬度带</t>
  </si>
  <si>
    <t>第3纬度带</t>
  </si>
  <si>
    <t>第2纬度带</t>
  </si>
  <si>
    <t>第1纬度带</t>
    <phoneticPr fontId="3" type="noConversion"/>
  </si>
  <si>
    <t>/</t>
    <phoneticPr fontId="3" type="noConversion"/>
  </si>
  <si>
    <t>赤道带（第0纬度带）</t>
    <phoneticPr fontId="3" type="noConversion"/>
  </si>
  <si>
    <t>最低纬度经线间距</t>
    <phoneticPr fontId="3" type="noConversion"/>
  </si>
  <si>
    <t>总格数</t>
    <phoneticPr fontId="3" type="noConversion"/>
  </si>
  <si>
    <t>最高点纬度</t>
    <phoneticPr fontId="3" type="noConversion"/>
  </si>
  <si>
    <t>总计经线格数</t>
    <phoneticPr fontId="3" type="noConversion"/>
  </si>
  <si>
    <t>沿经线格数</t>
    <phoneticPr fontId="3" type="noConversion"/>
  </si>
  <si>
    <t xml:space="preserve"> 沿纬线格数</t>
    <phoneticPr fontId="3" type="noConversion"/>
  </si>
  <si>
    <t>与上纬度带格宽比</t>
    <phoneticPr fontId="3" type="noConversion"/>
  </si>
  <si>
    <t>纬度带</t>
    <phoneticPr fontId="3" type="noConversion"/>
  </si>
  <si>
    <t>无偏研究站：正向偏7/11or2/3，水平扭5/14；0.375格进爪时，正方向8/11,水平无</t>
    <phoneticPr fontId="3" type="noConversion"/>
  </si>
  <si>
    <t>无偏精炼厂出爪建议：正方向偏2/3，水平扭5/14</t>
    <phoneticPr fontId="3" type="noConversion"/>
  </si>
  <si>
    <t>无偏熔炉出爪建议：正方向偏14/23或5/8或2/3,水平扭5/14</t>
    <phoneticPr fontId="3" type="noConversion"/>
  </si>
  <si>
    <t>偏转角度</t>
    <phoneticPr fontId="3" type="noConversion"/>
  </si>
  <si>
    <t>正方向跨度</t>
    <phoneticPr fontId="3" type="noConversion"/>
  </si>
  <si>
    <t>水平方向跨度</t>
    <phoneticPr fontId="3" type="noConversion"/>
  </si>
  <si>
    <t>垂直高度↓</t>
    <phoneticPr fontId="3" type="noConversion"/>
  </si>
  <si>
    <t>对应的正方向所需跨度</t>
    <phoneticPr fontId="3" type="noConversion"/>
  </si>
  <si>
    <t>1.451格~3.799格</t>
    <phoneticPr fontId="3" type="noConversion"/>
  </si>
  <si>
    <t>0.9m~7.5m</t>
    <phoneticPr fontId="3" type="noConversion"/>
  </si>
  <si>
    <t>建筑→建筑：</t>
    <phoneticPr fontId="3" type="noConversion"/>
  </si>
  <si>
    <t>0.8格~3.2格</t>
    <phoneticPr fontId="3" type="noConversion"/>
  </si>
  <si>
    <t>0.4m~5m</t>
    <phoneticPr fontId="3" type="noConversion"/>
  </si>
  <si>
    <t>传送带→传送带</t>
    <phoneticPr fontId="3" type="noConversion"/>
  </si>
  <si>
    <t>0.88格~3.5格</t>
    <phoneticPr fontId="3" type="noConversion"/>
  </si>
  <si>
    <t>0.6m~5.5m</t>
    <phoneticPr fontId="3" type="noConversion"/>
  </si>
  <si>
    <t>建筑→传送带：</t>
    <phoneticPr fontId="3" type="noConversion"/>
  </si>
  <si>
    <t>对应的水平方向所需跨度</t>
    <phoneticPr fontId="3" type="noConversion"/>
  </si>
  <si>
    <t>水平偏转对应近似分数</t>
    <phoneticPr fontId="3" type="noConversion"/>
  </si>
  <si>
    <t>此时的水平最大偏转</t>
    <phoneticPr fontId="3" type="noConversion"/>
  </si>
  <si>
    <t>纵向最小距离</t>
    <phoneticPr fontId="3" type="noConversion"/>
  </si>
  <si>
    <t>网格坐标水平跨度范围</t>
    <phoneticPr fontId="3" type="noConversion"/>
  </si>
  <si>
    <t>物理距离范围</t>
    <phoneticPr fontId="3" type="noConversion"/>
  </si>
  <si>
    <t>分拣器槽大小：0.795赤道格</t>
    <phoneticPr fontId="3" type="noConversion"/>
  </si>
  <si>
    <t>占地</t>
  </si>
  <si>
    <t>耗能</t>
  </si>
  <si>
    <t>倍率</t>
  </si>
  <si>
    <t>蓄电器</t>
  </si>
  <si>
    <t>能量枢纽</t>
  </si>
  <si>
    <t>研究站</t>
  </si>
  <si>
    <t>微型粒子对撞机</t>
  </si>
  <si>
    <t>分馏塔</t>
  </si>
  <si>
    <t>量子化工厂</t>
  </si>
  <si>
    <t>化工厂</t>
  </si>
  <si>
    <t>原油精炼厂</t>
  </si>
  <si>
    <t>制造台MK.Ⅲ</t>
  </si>
  <si>
    <t>制造台MK.Ⅱ</t>
  </si>
  <si>
    <t>制造台MK.Ⅰ</t>
  </si>
  <si>
    <t>位面熔炉</t>
  </si>
  <si>
    <t>电弧熔炉</t>
  </si>
  <si>
    <t>射线接收站</t>
  </si>
  <si>
    <t>轨道采集器</t>
  </si>
  <si>
    <t>原油萃取站</t>
  </si>
  <si>
    <t>抽水机</t>
  </si>
  <si>
    <t>大型采矿机</t>
  </si>
  <si>
    <t>采矿机</t>
  </si>
  <si>
    <t>伊卡洛斯</t>
  </si>
  <si>
    <t>名称</t>
  </si>
  <si>
    <t>12.511*2.79486</t>
    <phoneticPr fontId="3" type="noConversion"/>
  </si>
  <si>
    <t>18.7163*4.6756</t>
    <phoneticPr fontId="3" type="noConversion"/>
  </si>
  <si>
    <t>9.6495*4.4495</t>
    <phoneticPr fontId="3" type="noConversion"/>
  </si>
  <si>
    <t>7.55*6.5972906</t>
    <phoneticPr fontId="3" type="noConversion"/>
  </si>
  <si>
    <t>7.7416*3.0416</t>
    <phoneticPr fontId="3" type="noConversion"/>
  </si>
  <si>
    <t>5.31118*2.31118</t>
    <phoneticPr fontId="3" type="noConversion"/>
  </si>
  <si>
    <t>对位结构尺寸</t>
    <phoneticPr fontId="3" type="noConversion"/>
  </si>
  <si>
    <t>6.2555(带爪)*2.79486</t>
    <phoneticPr fontId="3" type="noConversion"/>
  </si>
  <si>
    <t>9.1604*4.6756</t>
    <phoneticPr fontId="3" type="noConversion"/>
  </si>
  <si>
    <t>4.4495*4.4495</t>
    <phoneticPr fontId="3" type="noConversion"/>
  </si>
  <si>
    <t>3.49776*6.59729</t>
    <phoneticPr fontId="3" type="noConversion"/>
  </si>
  <si>
    <t>3.0416*3.0416</t>
    <phoneticPr fontId="3" type="noConversion"/>
  </si>
  <si>
    <t>2.31118*2.31118</t>
    <phoneticPr fontId="3" type="noConversion"/>
  </si>
  <si>
    <t>单个建筑尺寸</t>
    <phoneticPr fontId="3" type="noConversion"/>
  </si>
  <si>
    <t>精炼厂</t>
    <phoneticPr fontId="3" type="noConversion"/>
  </si>
  <si>
    <t>对撞机</t>
    <phoneticPr fontId="3" type="noConversion"/>
  </si>
  <si>
    <t>研究站</t>
    <phoneticPr fontId="3" type="noConversion"/>
  </si>
  <si>
    <t>化工厂</t>
    <phoneticPr fontId="3" type="noConversion"/>
  </si>
  <si>
    <t>制造台</t>
    <phoneticPr fontId="3" type="noConversion"/>
  </si>
  <si>
    <t>熔炉</t>
    <phoneticPr fontId="3" type="noConversion"/>
  </si>
  <si>
    <t>纬线格*赤道格</t>
    <phoneticPr fontId="3" type="noConversion"/>
  </si>
  <si>
    <t>6个一串联，算上补氢占地，平均单台17</t>
    <phoneticPr fontId="3" type="noConversion"/>
  </si>
  <si>
    <t>分馏塔</t>
    <phoneticPr fontId="3" type="noConversion"/>
  </si>
  <si>
    <t>电线杆</t>
    <phoneticPr fontId="3" type="noConversion"/>
  </si>
  <si>
    <t>（算上物流塔全球5806锅的平均占地）</t>
    <phoneticPr fontId="3" type="noConversion"/>
  </si>
  <si>
    <t>7.3463668&lt;x&lt;7.34806152153</t>
    <phoneticPr fontId="3" type="noConversion"/>
  </si>
  <si>
    <t>全长</t>
    <phoneticPr fontId="3" type="noConversion"/>
  </si>
  <si>
    <t>接收站</t>
    <phoneticPr fontId="3" type="noConversion"/>
  </si>
  <si>
    <t>（赤道占地）</t>
    <phoneticPr fontId="3" type="noConversion"/>
  </si>
  <si>
    <t>（极地6圈时平均占地）</t>
    <phoneticPr fontId="3" type="noConversion"/>
  </si>
  <si>
    <t>小太阳</t>
    <phoneticPr fontId="3" type="noConversion"/>
  </si>
  <si>
    <t>3.5967(正)</t>
    <phoneticPr fontId="3" type="noConversion"/>
  </si>
  <si>
    <t>2.8622(正)</t>
    <phoneticPr fontId="3" type="noConversion"/>
  </si>
  <si>
    <t>6.2555(带爪)</t>
    <phoneticPr fontId="3" type="noConversion"/>
  </si>
  <si>
    <t>2.6305/3.625(带爪)</t>
    <phoneticPr fontId="3" type="noConversion"/>
  </si>
  <si>
    <t>3.81651(正)</t>
    <phoneticPr fontId="3" type="noConversion"/>
  </si>
  <si>
    <t>9.35815(带杆)</t>
    <phoneticPr fontId="3" type="noConversion"/>
  </si>
  <si>
    <t>4.0854/5.075(带杆5.27275)</t>
    <phoneticPr fontId="3" type="noConversion"/>
  </si>
  <si>
    <t>2.22475/带爪对位2.6</t>
    <phoneticPr fontId="3" type="noConversion"/>
  </si>
  <si>
    <t>0.7155/1.6695</t>
    <phoneticPr fontId="3" type="noConversion"/>
  </si>
  <si>
    <t>1.271945/2.225815</t>
    <phoneticPr fontId="3" type="noConversion"/>
  </si>
  <si>
    <t>3.18/3.42</t>
    <phoneticPr fontId="3" type="noConversion"/>
  </si>
  <si>
    <t>分拣器位置</t>
    <phoneticPr fontId="3" type="noConversion"/>
  </si>
  <si>
    <t>宽</t>
    <phoneticPr fontId="3" type="noConversion"/>
  </si>
  <si>
    <t>长</t>
    <phoneticPr fontId="3" type="noConversion"/>
  </si>
  <si>
    <t>半宽</t>
    <phoneticPr fontId="3" type="noConversion"/>
  </si>
  <si>
    <t>半长</t>
    <phoneticPr fontId="3" type="noConversion"/>
  </si>
  <si>
    <t>→换算成m                                                  ←换算成赤道格</t>
    <phoneticPr fontId="3" type="noConversion"/>
  </si>
  <si>
    <t>建筑名称</t>
    <phoneticPr fontId="3" type="noConversion"/>
  </si>
  <si>
    <t>格点数</t>
    <phoneticPr fontId="3" type="noConversion"/>
  </si>
  <si>
    <t>第0纬度带</t>
    <phoneticPr fontId="3" type="noConversion"/>
  </si>
  <si>
    <t>第1纬度带</t>
  </si>
  <si>
    <t>第11纬度带</t>
  </si>
  <si>
    <t>不支持多线程，并且开多线还会变卡</t>
    <phoneticPr fontId="2" type="noConversion"/>
  </si>
  <si>
    <t>分流器</t>
    <phoneticPr fontId="2" type="noConversion"/>
  </si>
  <si>
    <t>分流器性能测试</t>
    <phoneticPr fontId="2" type="noConversion"/>
  </si>
  <si>
    <t>制造设施</t>
    <phoneticPr fontId="2" type="noConversion"/>
  </si>
  <si>
    <t>电力系统</t>
    <phoneticPr fontId="2" type="noConversion"/>
  </si>
  <si>
    <t>分拣器</t>
    <phoneticPr fontId="2" type="noConversion"/>
  </si>
  <si>
    <t>传送带</t>
    <phoneticPr fontId="2" type="noConversion"/>
  </si>
  <si>
    <t>混线位面过滤器性能测试</t>
    <phoneticPr fontId="2" type="noConversion"/>
  </si>
  <si>
    <t>科研站(增产白糖)</t>
    <phoneticPr fontId="2" type="noConversion"/>
  </si>
  <si>
    <t>科研站性能测试</t>
    <phoneticPr fontId="2" type="noConversion"/>
  </si>
  <si>
    <t>备注</t>
    <phoneticPr fontId="2" type="noConversion"/>
  </si>
  <si>
    <t>单建筑平均卡顿</t>
    <phoneticPr fontId="2" type="noConversion"/>
  </si>
  <si>
    <t>建筑数量</t>
    <phoneticPr fontId="2" type="noConversion"/>
  </si>
  <si>
    <t>星球数</t>
    <phoneticPr fontId="2" type="noConversion"/>
  </si>
  <si>
    <t>多线程倍率</t>
    <phoneticPr fontId="2" type="noConversion"/>
  </si>
  <si>
    <t>每个</t>
    <phoneticPr fontId="3" type="noConversion"/>
  </si>
  <si>
    <t>工厂占用约</t>
    <phoneticPr fontId="3" type="noConversion"/>
  </si>
  <si>
    <t>电杆、卫星杆</t>
    <phoneticPr fontId="3" type="noConversion"/>
  </si>
  <si>
    <t>分拣器占用约</t>
    <phoneticPr fontId="3" type="noConversion"/>
  </si>
  <si>
    <t>每20buffer</t>
    <phoneticPr fontId="3" type="noConversion"/>
  </si>
  <si>
    <t>传送带占用约</t>
    <phoneticPr fontId="3" type="noConversion"/>
  </si>
  <si>
    <t>54k处理器</t>
    <phoneticPr fontId="3" type="noConversion"/>
  </si>
  <si>
    <t>storage</t>
    <phoneticPr fontId="3" type="noConversion"/>
  </si>
  <si>
    <t>Each layer</t>
    <phoneticPr fontId="3" type="noConversion"/>
  </si>
  <si>
    <t>lab</t>
    <phoneticPr fontId="3" type="noConversion"/>
  </si>
  <si>
    <t>various facilaty</t>
    <phoneticPr fontId="3" type="noConversion"/>
  </si>
  <si>
    <t>each building</t>
    <phoneticPr fontId="3" type="noConversion"/>
  </si>
  <si>
    <t>power system</t>
    <phoneticPr fontId="3" type="noConversion"/>
  </si>
  <si>
    <t>Power system（every building which needs power）</t>
    <phoneticPr fontId="3" type="noConversion"/>
  </si>
  <si>
    <t>facilaty</t>
    <phoneticPr fontId="3" type="noConversion"/>
  </si>
  <si>
    <t>sorter</t>
    <phoneticPr fontId="3" type="noConversion"/>
  </si>
  <si>
    <t>each one</t>
    <phoneticPr fontId="3" type="noConversion"/>
  </si>
  <si>
    <t>splitter</t>
    <phoneticPr fontId="3" type="noConversion"/>
  </si>
  <si>
    <t>per 20buffer</t>
    <phoneticPr fontId="3" type="noConversion"/>
  </si>
  <si>
    <t>Belts</t>
    <phoneticPr fontId="3" type="noConversion"/>
  </si>
  <si>
    <t>Belt</t>
    <phoneticPr fontId="3" type="noConversion"/>
  </si>
  <si>
    <t>lag</t>
    <phoneticPr fontId="3" type="noConversion"/>
  </si>
  <si>
    <t>average(μs)</t>
    <phoneticPr fontId="3" type="noConversion"/>
  </si>
  <si>
    <t>building amounts</t>
    <phoneticPr fontId="3" type="noConversion"/>
  </si>
  <si>
    <t>lag(ms)</t>
    <phoneticPr fontId="3" type="noConversion"/>
  </si>
  <si>
    <t>lag reference:Test data from linlin's 8-planet and 900k plane filter production line</t>
    <phoneticPr fontId="3" type="noConversion"/>
  </si>
  <si>
    <t>不偏移最优铺法算上带子的占用估算</t>
    <phoneticPr fontId="3" type="noConversion"/>
  </si>
  <si>
    <t>3.6w所用构造</t>
    <phoneticPr fontId="3" type="noConversion"/>
  </si>
  <si>
    <t>新极密铺情况下占地面积</t>
    <phoneticPr fontId="3" type="noConversion"/>
  </si>
  <si>
    <t>设备性能占用（0成本混带）</t>
    <phoneticPr fontId="3" type="noConversion"/>
  </si>
  <si>
    <t>设备性能占用</t>
    <phoneticPr fontId="3" type="noConversion"/>
  </si>
  <si>
    <t>建筑偏移+无虚空带</t>
    <phoneticPr fontId="3" type="noConversion"/>
  </si>
  <si>
    <t>不使用密铺技巧</t>
    <phoneticPr fontId="3" type="noConversion"/>
  </si>
  <si>
    <t>仅使用虚空带</t>
    <phoneticPr fontId="3" type="noConversion"/>
  </si>
  <si>
    <t>极密铺情况下占地面积</t>
    <phoneticPr fontId="3" type="noConversion"/>
  </si>
  <si>
    <t>抽水机</t>
    <phoneticPr fontId="3" type="noConversion"/>
  </si>
  <si>
    <t>分馏塔（串6台）</t>
    <phoneticPr fontId="3" type="noConversion"/>
  </si>
  <si>
    <t>射线接收站</t>
    <phoneticPr fontId="3" type="noConversion"/>
  </si>
  <si>
    <t>研究站+7带</t>
    <phoneticPr fontId="3" type="noConversion"/>
  </si>
  <si>
    <t>研究站+3带</t>
    <phoneticPr fontId="3" type="noConversion"/>
  </si>
  <si>
    <t>研究站+1带</t>
    <phoneticPr fontId="3" type="noConversion"/>
  </si>
  <si>
    <t>精炼厂+3带</t>
    <phoneticPr fontId="3" type="noConversion"/>
  </si>
  <si>
    <t>精炼厂+2带</t>
    <phoneticPr fontId="3" type="noConversion"/>
  </si>
  <si>
    <t>对撞机+4带</t>
    <phoneticPr fontId="3" type="noConversion"/>
  </si>
  <si>
    <t>对撞机+3带</t>
    <phoneticPr fontId="3" type="noConversion"/>
  </si>
  <si>
    <t>对撞机+2带</t>
    <phoneticPr fontId="3" type="noConversion"/>
  </si>
  <si>
    <t>化工厂+3带</t>
    <phoneticPr fontId="3" type="noConversion"/>
  </si>
  <si>
    <t>化工厂+2带</t>
    <phoneticPr fontId="3" type="noConversion"/>
  </si>
  <si>
    <t>制造台+5带</t>
    <phoneticPr fontId="3" type="noConversion"/>
  </si>
  <si>
    <t>制造台+4带</t>
    <phoneticPr fontId="3" type="noConversion"/>
  </si>
  <si>
    <t>制造台+3带</t>
    <phoneticPr fontId="3" type="noConversion"/>
  </si>
  <si>
    <t>制造台+2带</t>
    <phoneticPr fontId="3" type="noConversion"/>
  </si>
  <si>
    <t>熔炉+4带</t>
    <phoneticPr fontId="3" type="noConversion"/>
  </si>
  <si>
    <t>熔炉+2带</t>
    <phoneticPr fontId="3" type="noConversion"/>
  </si>
  <si>
    <t>预设工厂面积参考</t>
    <phoneticPr fontId="3" type="noConversion"/>
  </si>
  <si>
    <t>最小距离判定来源于bw的解包数据</t>
    <phoneticPr fontId="3" type="noConversion"/>
  </si>
  <si>
    <t>地热m</t>
    <phoneticPr fontId="3" type="noConversion"/>
  </si>
  <si>
    <t>弹射器m</t>
    <phoneticPr fontId="3" type="noConversion"/>
  </si>
  <si>
    <t>电线杆m</t>
    <phoneticPr fontId="3" type="noConversion"/>
  </si>
  <si>
    <t>小塔m</t>
    <phoneticPr fontId="3" type="noConversion"/>
  </si>
  <si>
    <t>大塔m</t>
    <phoneticPr fontId="3" type="noConversion"/>
  </si>
  <si>
    <t>风电m</t>
    <phoneticPr fontId="3" type="noConversion"/>
  </si>
  <si>
    <t>接收站°</t>
    <phoneticPr fontId="3" type="noConversion"/>
  </si>
  <si>
    <t>戴森球节点°</t>
    <phoneticPr fontId="3" type="noConversion"/>
  </si>
  <si>
    <t>n</t>
    <phoneticPr fontId="3" type="noConversion"/>
  </si>
  <si>
    <t>d</t>
    <phoneticPr fontId="3" type="noConversion"/>
  </si>
  <si>
    <t>最小球面角/距离判定</t>
    <phoneticPr fontId="3" type="noConversion"/>
  </si>
  <si>
    <t>建筑</t>
    <phoneticPr fontId="3" type="noConversion"/>
  </si>
  <si>
    <t>tammes问题上界估计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</si>
</sst>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0" xfId="1">
      <alignment vertical="center"/>
    </xf>
    <xf numFmtId="12" fontId="1" fillId="0" borderId="0" xfId="1" applyNumberFormat="1">
      <alignment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</cellXfs>
  <cellStyles count="2">
    <cellStyle name="常规" xfId="0" builtinId="0"/>
    <cellStyle name="常规 2" xfId="1" xr:uid="{F08B4C34-DA75-4A99-9476-36CF440CB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DEA9-9DE2-49A4-8A8F-E70C3BCDBC3B}">
  <dimension ref="A1:H24"/>
  <sheetViews>
    <sheetView workbookViewId="0">
      <selection activeCell="C35" sqref="C35"/>
    </sheetView>
  </sheetViews>
  <sheetFormatPr defaultRowHeight="14.25" x14ac:dyDescent="0.2"/>
  <cols>
    <col min="1" max="1" width="26.5" style="1" customWidth="1"/>
    <col min="2" max="2" width="16.875" style="1" customWidth="1"/>
    <col min="3" max="3" width="20.75" style="1" customWidth="1"/>
    <col min="4" max="4" width="16.875" style="1" customWidth="1"/>
    <col min="5" max="5" width="18.125" style="1" customWidth="1"/>
    <col min="6" max="6" width="26.125" style="1" customWidth="1"/>
    <col min="7" max="7" width="19.375" style="1" customWidth="1"/>
    <col min="8" max="8" width="18.5" style="1" customWidth="1"/>
    <col min="9" max="9" width="21.25" style="1" customWidth="1"/>
    <col min="10" max="16384" width="9" style="1"/>
  </cols>
  <sheetData>
    <row r="1" spans="1:8" x14ac:dyDescent="0.2">
      <c r="A1" s="1" t="s">
        <v>27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</row>
    <row r="2" spans="1:8" x14ac:dyDescent="0.2">
      <c r="A2" s="1" t="s">
        <v>19</v>
      </c>
      <c r="B2" s="1" t="s">
        <v>18</v>
      </c>
      <c r="C2" s="1">
        <v>1000</v>
      </c>
      <c r="D2" s="1">
        <v>80</v>
      </c>
      <c r="E2" s="1">
        <f>D2</f>
        <v>80</v>
      </c>
      <c r="F2" s="1">
        <f t="shared" ref="F2:F13" si="0">0.36*E2</f>
        <v>28.799999999999997</v>
      </c>
      <c r="G2" s="1">
        <f t="shared" ref="G2:G13" si="1">D2*C2</f>
        <v>80000</v>
      </c>
      <c r="H2" s="1">
        <v>1</v>
      </c>
    </row>
    <row r="3" spans="1:8" x14ac:dyDescent="0.2">
      <c r="A3" s="1" t="s">
        <v>17</v>
      </c>
      <c r="B3" s="2">
        <f t="shared" ref="B3:B13" si="2">C3/C2</f>
        <v>0.8</v>
      </c>
      <c r="C3" s="1">
        <v>800</v>
      </c>
      <c r="D3" s="1">
        <v>50</v>
      </c>
      <c r="E3" s="1">
        <f t="shared" ref="E3:E13" si="3">E2+D3</f>
        <v>130</v>
      </c>
      <c r="F3" s="1">
        <f t="shared" si="0"/>
        <v>46.8</v>
      </c>
      <c r="G3" s="1">
        <f t="shared" si="1"/>
        <v>40000</v>
      </c>
      <c r="H3" s="1">
        <f t="shared" ref="H3:H13" si="4">COS((F2+0.32)*PI()/180)*1000/C3</f>
        <v>1.0920030084156485</v>
      </c>
    </row>
    <row r="4" spans="1:8" x14ac:dyDescent="0.2">
      <c r="A4" s="1" t="s">
        <v>16</v>
      </c>
      <c r="B4" s="2">
        <f t="shared" si="2"/>
        <v>0.75</v>
      </c>
      <c r="C4" s="1">
        <v>600</v>
      </c>
      <c r="D4" s="1">
        <v>25</v>
      </c>
      <c r="E4" s="1">
        <f t="shared" si="3"/>
        <v>155</v>
      </c>
      <c r="F4" s="1">
        <f t="shared" si="0"/>
        <v>55.8</v>
      </c>
      <c r="G4" s="1">
        <f t="shared" si="1"/>
        <v>15000</v>
      </c>
      <c r="H4" s="1">
        <f t="shared" si="4"/>
        <v>1.1341085363038421</v>
      </c>
    </row>
    <row r="5" spans="1:8" x14ac:dyDescent="0.2">
      <c r="A5" s="1" t="s">
        <v>15</v>
      </c>
      <c r="B5" s="2">
        <f t="shared" si="2"/>
        <v>0.83333333333333337</v>
      </c>
      <c r="C5" s="1">
        <v>500</v>
      </c>
      <c r="D5" s="1">
        <v>25</v>
      </c>
      <c r="E5" s="1">
        <f t="shared" si="3"/>
        <v>180</v>
      </c>
      <c r="F5" s="1">
        <f t="shared" si="0"/>
        <v>64.8</v>
      </c>
      <c r="G5" s="1">
        <f t="shared" si="1"/>
        <v>12500</v>
      </c>
      <c r="H5" s="1">
        <f t="shared" si="4"/>
        <v>1.1149106921233218</v>
      </c>
    </row>
    <row r="6" spans="1:8" x14ac:dyDescent="0.2">
      <c r="A6" s="1" t="s">
        <v>14</v>
      </c>
      <c r="B6" s="2">
        <f t="shared" si="2"/>
        <v>0.8</v>
      </c>
      <c r="C6" s="1">
        <v>400</v>
      </c>
      <c r="D6" s="1">
        <v>15</v>
      </c>
      <c r="E6" s="1">
        <f t="shared" si="3"/>
        <v>195</v>
      </c>
      <c r="F6" s="1">
        <f t="shared" si="0"/>
        <v>70.2</v>
      </c>
      <c r="G6" s="1">
        <f t="shared" si="1"/>
        <v>6000</v>
      </c>
      <c r="H6" s="1">
        <f t="shared" si="4"/>
        <v>1.0517979240818869</v>
      </c>
    </row>
    <row r="7" spans="1:8" x14ac:dyDescent="0.2">
      <c r="A7" s="1" t="s">
        <v>13</v>
      </c>
      <c r="B7" s="2">
        <f t="shared" si="2"/>
        <v>0.75</v>
      </c>
      <c r="C7" s="1">
        <v>300</v>
      </c>
      <c r="D7" s="1">
        <v>15</v>
      </c>
      <c r="E7" s="1">
        <f t="shared" si="3"/>
        <v>210</v>
      </c>
      <c r="F7" s="1">
        <f t="shared" si="0"/>
        <v>75.599999999999994</v>
      </c>
      <c r="G7" s="1">
        <f t="shared" si="1"/>
        <v>4500</v>
      </c>
      <c r="H7" s="1">
        <f t="shared" si="4"/>
        <v>1.1115926498335571</v>
      </c>
    </row>
    <row r="8" spans="1:8" x14ac:dyDescent="0.2">
      <c r="A8" s="1" t="s">
        <v>12</v>
      </c>
      <c r="B8" s="2">
        <f t="shared" si="2"/>
        <v>0.66666666666666663</v>
      </c>
      <c r="C8" s="1">
        <v>200</v>
      </c>
      <c r="D8" s="1">
        <v>10</v>
      </c>
      <c r="E8" s="1">
        <f t="shared" si="3"/>
        <v>220</v>
      </c>
      <c r="F8" s="1">
        <f t="shared" si="0"/>
        <v>79.2</v>
      </c>
      <c r="G8" s="1">
        <f t="shared" si="1"/>
        <v>2000</v>
      </c>
      <c r="H8" s="1">
        <f t="shared" si="4"/>
        <v>1.2163822387561474</v>
      </c>
    </row>
    <row r="9" spans="1:8" x14ac:dyDescent="0.2">
      <c r="A9" s="1" t="s">
        <v>11</v>
      </c>
      <c r="B9" s="2">
        <f t="shared" si="2"/>
        <v>0.8</v>
      </c>
      <c r="C9" s="1">
        <v>160</v>
      </c>
      <c r="D9" s="1">
        <v>10</v>
      </c>
      <c r="E9" s="1">
        <f t="shared" si="3"/>
        <v>230</v>
      </c>
      <c r="F9" s="1">
        <f t="shared" si="0"/>
        <v>82.8</v>
      </c>
      <c r="G9" s="1">
        <f t="shared" si="1"/>
        <v>1600</v>
      </c>
      <c r="H9" s="1">
        <f t="shared" si="4"/>
        <v>1.1368268355389193</v>
      </c>
    </row>
    <row r="10" spans="1:8" x14ac:dyDescent="0.2">
      <c r="A10" s="1" t="s">
        <v>10</v>
      </c>
      <c r="B10" s="2">
        <f t="shared" si="2"/>
        <v>0.625</v>
      </c>
      <c r="C10" s="1">
        <v>100</v>
      </c>
      <c r="D10" s="1">
        <v>5</v>
      </c>
      <c r="E10" s="1">
        <f t="shared" si="3"/>
        <v>235</v>
      </c>
      <c r="F10" s="1">
        <f t="shared" si="0"/>
        <v>84.6</v>
      </c>
      <c r="G10" s="1">
        <f t="shared" si="1"/>
        <v>500</v>
      </c>
      <c r="H10" s="1">
        <f t="shared" si="4"/>
        <v>1.1979029383672966</v>
      </c>
    </row>
    <row r="11" spans="1:8" x14ac:dyDescent="0.2">
      <c r="A11" s="1" t="s">
        <v>9</v>
      </c>
      <c r="B11" s="2">
        <f t="shared" si="2"/>
        <v>0.8</v>
      </c>
      <c r="C11" s="1">
        <v>80</v>
      </c>
      <c r="D11" s="1">
        <v>5</v>
      </c>
      <c r="E11" s="1">
        <f t="shared" si="3"/>
        <v>240</v>
      </c>
      <c r="F11" s="1">
        <f t="shared" si="0"/>
        <v>86.399999999999991</v>
      </c>
      <c r="G11" s="1">
        <f t="shared" si="1"/>
        <v>400</v>
      </c>
      <c r="H11" s="1">
        <f t="shared" si="4"/>
        <v>1.1068325942027815</v>
      </c>
    </row>
    <row r="12" spans="1:8" x14ac:dyDescent="0.2">
      <c r="A12" s="1" t="s">
        <v>8</v>
      </c>
      <c r="B12" s="2">
        <f t="shared" si="2"/>
        <v>0.5</v>
      </c>
      <c r="C12" s="1">
        <v>40</v>
      </c>
      <c r="D12" s="1">
        <v>5</v>
      </c>
      <c r="E12" s="1">
        <f t="shared" si="3"/>
        <v>245</v>
      </c>
      <c r="F12" s="1">
        <f t="shared" si="0"/>
        <v>88.2</v>
      </c>
      <c r="G12" s="1">
        <f t="shared" si="1"/>
        <v>200</v>
      </c>
      <c r="H12" s="1">
        <f t="shared" si="4"/>
        <v>1.4303884106109657</v>
      </c>
    </row>
    <row r="13" spans="1:8" x14ac:dyDescent="0.2">
      <c r="A13" s="1" t="s">
        <v>7</v>
      </c>
      <c r="B13" s="2">
        <f t="shared" si="2"/>
        <v>0.5</v>
      </c>
      <c r="C13" s="1">
        <v>20</v>
      </c>
      <c r="D13" s="1">
        <v>5</v>
      </c>
      <c r="E13" s="1">
        <f t="shared" si="3"/>
        <v>250</v>
      </c>
      <c r="F13" s="1">
        <f t="shared" si="0"/>
        <v>90</v>
      </c>
      <c r="G13" s="1">
        <f t="shared" si="1"/>
        <v>100</v>
      </c>
      <c r="H13" s="1">
        <f t="shared" si="4"/>
        <v>1.2914000242959287</v>
      </c>
    </row>
    <row r="18" spans="1:2" x14ac:dyDescent="0.2">
      <c r="A18" s="1" t="s">
        <v>6</v>
      </c>
      <c r="B18" s="1">
        <v>1000</v>
      </c>
    </row>
    <row r="19" spans="1:2" x14ac:dyDescent="0.2">
      <c r="A19" s="1" t="s">
        <v>5</v>
      </c>
      <c r="B19" s="1">
        <f>B18*B18/PI()</f>
        <v>318309.88618379069</v>
      </c>
    </row>
    <row r="20" spans="1:2" x14ac:dyDescent="0.2">
      <c r="A20" s="1" t="s">
        <v>4</v>
      </c>
      <c r="B20" s="1">
        <f>SUM(G2:G13)*2</f>
        <v>325600</v>
      </c>
    </row>
    <row r="21" spans="1:2" x14ac:dyDescent="0.2">
      <c r="A21" s="1" t="s">
        <v>3</v>
      </c>
      <c r="B21" s="1">
        <f>SIN(F5*PI()/180)*B19</f>
        <v>288015.39608647348</v>
      </c>
    </row>
    <row r="22" spans="1:2" x14ac:dyDescent="0.2">
      <c r="A22" s="1" t="s">
        <v>2</v>
      </c>
      <c r="B22" s="1">
        <f>0.4*PI()</f>
        <v>1.2566370614359172</v>
      </c>
    </row>
    <row r="23" spans="1:2" x14ac:dyDescent="0.2">
      <c r="A23" s="1" t="s">
        <v>1</v>
      </c>
      <c r="B23" s="1">
        <f>4/3</f>
        <v>1.3333333333333333</v>
      </c>
    </row>
    <row r="24" spans="1:2" x14ac:dyDescent="0.2">
      <c r="A24" s="1" t="s">
        <v>0</v>
      </c>
      <c r="B24" s="1">
        <f>(318309.886183791-SIN(0.36*(250-83)*PI()/180)*B19)/48.96*144</f>
        <v>124449.14700830175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8262-2474-4E91-A0FE-2EEC94AE23AD}">
  <dimension ref="A1:U46"/>
  <sheetViews>
    <sheetView topLeftCell="A10" workbookViewId="0">
      <selection activeCell="D38" sqref="D38"/>
    </sheetView>
  </sheetViews>
  <sheetFormatPr defaultRowHeight="14.25" x14ac:dyDescent="0.2"/>
  <cols>
    <col min="1" max="1" width="12.875" style="1" customWidth="1"/>
    <col min="2" max="2" width="23.5" style="1" customWidth="1"/>
    <col min="3" max="3" width="18.625" style="1" customWidth="1"/>
    <col min="4" max="4" width="15.875" style="1" customWidth="1"/>
    <col min="5" max="5" width="16" style="1" customWidth="1"/>
    <col min="6" max="6" width="20" style="1" customWidth="1"/>
    <col min="7" max="7" width="26.125" style="1" customWidth="1"/>
    <col min="8" max="8" width="17" style="1" customWidth="1"/>
    <col min="9" max="9" width="15.25" style="1" customWidth="1"/>
    <col min="10" max="10" width="21.5" style="1" customWidth="1"/>
    <col min="11" max="11" width="9.875" style="1" customWidth="1"/>
    <col min="12" max="12" width="11.125" style="1" customWidth="1"/>
    <col min="13" max="16384" width="9" style="1"/>
  </cols>
  <sheetData>
    <row r="1" spans="1:13" x14ac:dyDescent="0.2">
      <c r="A1" s="1" t="s">
        <v>124</v>
      </c>
      <c r="B1" s="1" t="s">
        <v>122</v>
      </c>
      <c r="C1" s="1" t="s">
        <v>121</v>
      </c>
      <c r="D1" s="1" t="s">
        <v>120</v>
      </c>
      <c r="E1" s="1" t="s">
        <v>119</v>
      </c>
      <c r="F1" s="1" t="s">
        <v>118</v>
      </c>
      <c r="G1" s="8" t="s">
        <v>123</v>
      </c>
      <c r="H1" s="1" t="s">
        <v>122</v>
      </c>
      <c r="I1" s="1" t="s">
        <v>121</v>
      </c>
      <c r="J1" s="1" t="s">
        <v>120</v>
      </c>
      <c r="K1" s="1" t="s">
        <v>119</v>
      </c>
      <c r="L1" s="1" t="s">
        <v>118</v>
      </c>
    </row>
    <row r="2" spans="1:13" x14ac:dyDescent="0.2">
      <c r="A2" s="1" t="s">
        <v>95</v>
      </c>
      <c r="B2" s="1">
        <v>1.1555899999999999</v>
      </c>
      <c r="C2" s="1">
        <v>1.1555899999999999</v>
      </c>
      <c r="D2" s="1">
        <f>2*B2</f>
        <v>2.3111799999999998</v>
      </c>
      <c r="E2" s="1">
        <f>2*C2</f>
        <v>2.3111799999999998</v>
      </c>
      <c r="F2" s="1">
        <v>0.79500000000000004</v>
      </c>
      <c r="G2" s="8"/>
      <c r="H2" s="1">
        <f t="shared" ref="H2:L3" si="0">B2*1.25663706143591</f>
        <v>1.452157221824723</v>
      </c>
      <c r="I2" s="1">
        <f t="shared" si="0"/>
        <v>1.452157221824723</v>
      </c>
      <c r="J2" s="1">
        <f t="shared" si="0"/>
        <v>2.9043144436494459</v>
      </c>
      <c r="K2" s="1">
        <f t="shared" si="0"/>
        <v>2.9043144436494459</v>
      </c>
      <c r="L2" s="1">
        <f t="shared" si="0"/>
        <v>0.99902646384154847</v>
      </c>
    </row>
    <row r="3" spans="1:13" x14ac:dyDescent="0.2">
      <c r="A3" s="1" t="s">
        <v>94</v>
      </c>
      <c r="B3" s="1">
        <v>1.5207999999999999</v>
      </c>
      <c r="C3" s="1">
        <v>1.5207999999999999</v>
      </c>
      <c r="D3" s="1">
        <f>2*B3</f>
        <v>3.0415999999999999</v>
      </c>
      <c r="E3" s="1">
        <f>2*C3</f>
        <v>3.0415999999999999</v>
      </c>
      <c r="F3" s="1">
        <v>0.875</v>
      </c>
      <c r="G3" s="8"/>
      <c r="H3" s="1">
        <f t="shared" si="0"/>
        <v>1.9110936430317318</v>
      </c>
      <c r="I3" s="1">
        <f t="shared" si="0"/>
        <v>1.9110936430317318</v>
      </c>
      <c r="J3" s="1">
        <f t="shared" si="0"/>
        <v>3.8221872860634636</v>
      </c>
      <c r="K3" s="1">
        <f t="shared" si="0"/>
        <v>3.8221872860634636</v>
      </c>
      <c r="L3" s="1">
        <f t="shared" si="0"/>
        <v>1.0995574287564212</v>
      </c>
    </row>
    <row r="4" spans="1:13" x14ac:dyDescent="0.2">
      <c r="A4" s="1" t="s">
        <v>93</v>
      </c>
      <c r="B4" s="1" t="s">
        <v>117</v>
      </c>
      <c r="C4" s="1" t="s">
        <v>116</v>
      </c>
      <c r="D4" s="1">
        <v>6.5972906</v>
      </c>
      <c r="E4" s="1">
        <f>3.49776</f>
        <v>3.49776</v>
      </c>
      <c r="F4" s="1" t="s">
        <v>115</v>
      </c>
      <c r="G4" s="8"/>
      <c r="H4" s="1" t="e">
        <f t="shared" ref="H4:K5" si="1">B4*1.25663706143591</f>
        <v>#VALUE!</v>
      </c>
      <c r="I4" s="1" t="e">
        <f t="shared" si="1"/>
        <v>#VALUE!</v>
      </c>
      <c r="J4" s="1">
        <f t="shared" si="1"/>
        <v>8.2903998730227517</v>
      </c>
      <c r="K4" s="1">
        <f t="shared" si="1"/>
        <v>4.3954148480080679</v>
      </c>
      <c r="L4" s="1">
        <f>0.7155*1.25663706143591</f>
        <v>0.89912381745739356</v>
      </c>
      <c r="M4" s="1">
        <f>1.6695*1.25663706143591</f>
        <v>2.0979555740672517</v>
      </c>
    </row>
    <row r="5" spans="1:13" x14ac:dyDescent="0.2">
      <c r="A5" s="1" t="s">
        <v>92</v>
      </c>
      <c r="B5" s="1" t="s">
        <v>114</v>
      </c>
      <c r="C5" s="1">
        <f>2.22475</f>
        <v>2.2247499999999998</v>
      </c>
      <c r="D5" s="1">
        <f>2.22475+2.6</f>
        <v>4.8247499999999999</v>
      </c>
      <c r="E5" s="1">
        <f>2*C5</f>
        <v>4.4494999999999996</v>
      </c>
      <c r="F5" s="1">
        <v>1.8285556999999999</v>
      </c>
      <c r="G5" s="8"/>
      <c r="H5" s="1" t="e">
        <f t="shared" si="1"/>
        <v>#VALUE!</v>
      </c>
      <c r="I5" s="1">
        <f t="shared" si="1"/>
        <v>2.7957033024295401</v>
      </c>
      <c r="J5" s="1">
        <f t="shared" si="1"/>
        <v>6.062959662162906</v>
      </c>
      <c r="K5" s="1">
        <f t="shared" si="1"/>
        <v>5.5914066048590803</v>
      </c>
      <c r="L5" s="1">
        <f>F5*1.25663706143591</f>
        <v>2.2978308615198832</v>
      </c>
    </row>
    <row r="6" spans="1:13" x14ac:dyDescent="0.2">
      <c r="A6" s="1" t="s">
        <v>91</v>
      </c>
      <c r="B6" s="1" t="s">
        <v>113</v>
      </c>
      <c r="C6" s="1">
        <f>E6/2</f>
        <v>2.3378000000000001</v>
      </c>
      <c r="D6" s="1" t="s">
        <v>112</v>
      </c>
      <c r="E6" s="1">
        <f>4.6756</f>
        <v>4.6756000000000002</v>
      </c>
      <c r="F6" s="1" t="s">
        <v>111</v>
      </c>
      <c r="G6" s="8"/>
      <c r="H6" s="1">
        <f>(4.3+5.1)*1.25663706143591</f>
        <v>11.812388377497552</v>
      </c>
      <c r="I6" s="1">
        <f t="shared" ref="I6:K7" si="2">C6*1.25663706143591</f>
        <v>2.9377661222248705</v>
      </c>
      <c r="J6" s="1" t="e">
        <f t="shared" si="2"/>
        <v>#VALUE!</v>
      </c>
      <c r="K6" s="1">
        <f t="shared" si="2"/>
        <v>5.8755322444497411</v>
      </c>
      <c r="L6" s="1">
        <f>3.81651*1.25663706143591</f>
        <v>4.7959679113407647</v>
      </c>
    </row>
    <row r="7" spans="1:13" x14ac:dyDescent="0.2">
      <c r="A7" s="1" t="s">
        <v>90</v>
      </c>
      <c r="B7" s="1" t="s">
        <v>110</v>
      </c>
      <c r="C7" s="1">
        <f>2.79486/2</f>
        <v>1.3974299999999999</v>
      </c>
      <c r="D7" s="1" t="s">
        <v>109</v>
      </c>
      <c r="E7" s="1">
        <f>2*C7</f>
        <v>2.7948599999999999</v>
      </c>
      <c r="F7" s="1" t="s">
        <v>108</v>
      </c>
      <c r="G7" s="8"/>
      <c r="H7" s="1" t="e">
        <f>B7*1.25663706143591</f>
        <v>#VALUE!</v>
      </c>
      <c r="I7" s="1">
        <f t="shared" si="2"/>
        <v>1.7560623287623836</v>
      </c>
      <c r="J7" s="1" t="e">
        <f t="shared" si="2"/>
        <v>#VALUE!</v>
      </c>
      <c r="K7" s="1">
        <f t="shared" si="2"/>
        <v>3.5121246575247671</v>
      </c>
      <c r="L7" s="1" t="s">
        <v>107</v>
      </c>
    </row>
    <row r="9" spans="1:13" x14ac:dyDescent="0.2">
      <c r="A9" s="1" t="s">
        <v>106</v>
      </c>
      <c r="B9" s="1">
        <f>6.751/2</f>
        <v>3.3755000000000002</v>
      </c>
      <c r="C9" s="1">
        <f>6.751/2</f>
        <v>3.3755000000000002</v>
      </c>
      <c r="D9" s="1">
        <f>6.751/2</f>
        <v>3.3755000000000002</v>
      </c>
      <c r="E9" s="1">
        <f>6.751/2</f>
        <v>3.3755000000000002</v>
      </c>
      <c r="F9" s="1">
        <v>48.96</v>
      </c>
      <c r="G9" s="1" t="s">
        <v>105</v>
      </c>
      <c r="H9" s="1">
        <f>4*D9*D9</f>
        <v>45.576001000000005</v>
      </c>
      <c r="I9" s="1" t="s">
        <v>104</v>
      </c>
    </row>
    <row r="10" spans="1:13" x14ac:dyDescent="0.2">
      <c r="A10" s="1" t="s">
        <v>103</v>
      </c>
      <c r="B10" s="1" t="s">
        <v>102</v>
      </c>
      <c r="E10" s="1" t="s">
        <v>101</v>
      </c>
      <c r="F10" s="1">
        <v>54.824300000000001</v>
      </c>
      <c r="G10" s="1" t="s">
        <v>100</v>
      </c>
    </row>
    <row r="11" spans="1:13" x14ac:dyDescent="0.2">
      <c r="A11" s="1" t="s">
        <v>99</v>
      </c>
      <c r="B11" s="1">
        <v>0.2</v>
      </c>
      <c r="C11" s="1">
        <v>0.2</v>
      </c>
      <c r="D11" s="1">
        <v>0.4</v>
      </c>
      <c r="E11" s="1">
        <v>0.4</v>
      </c>
    </row>
    <row r="13" spans="1:13" x14ac:dyDescent="0.2">
      <c r="A13" s="1" t="s">
        <v>98</v>
      </c>
      <c r="B13" s="1">
        <v>1.8</v>
      </c>
      <c r="C13" s="1">
        <v>1.8</v>
      </c>
      <c r="D13" s="1">
        <v>2</v>
      </c>
      <c r="E13" s="1" t="s">
        <v>18</v>
      </c>
      <c r="F13" s="1" t="s">
        <v>97</v>
      </c>
    </row>
    <row r="15" spans="1:13" x14ac:dyDescent="0.2">
      <c r="A15" s="1" t="s">
        <v>96</v>
      </c>
      <c r="B15" s="1" t="s">
        <v>95</v>
      </c>
      <c r="C15" s="1" t="s">
        <v>94</v>
      </c>
      <c r="D15" s="1" t="s">
        <v>93</v>
      </c>
      <c r="E15" s="1" t="s">
        <v>92</v>
      </c>
      <c r="F15" s="1" t="s">
        <v>91</v>
      </c>
      <c r="G15" s="1" t="s">
        <v>90</v>
      </c>
    </row>
    <row r="16" spans="1:13" x14ac:dyDescent="0.2">
      <c r="A16" s="1" t="s">
        <v>89</v>
      </c>
      <c r="B16" s="1" t="s">
        <v>88</v>
      </c>
      <c r="C16" s="1" t="s">
        <v>87</v>
      </c>
      <c r="D16" s="1" t="s">
        <v>86</v>
      </c>
      <c r="E16" s="1" t="s">
        <v>85</v>
      </c>
      <c r="F16" s="1" t="s">
        <v>84</v>
      </c>
      <c r="G16" s="1" t="s">
        <v>83</v>
      </c>
    </row>
    <row r="17" spans="1:21" x14ac:dyDescent="0.2">
      <c r="A17" s="1" t="s">
        <v>82</v>
      </c>
      <c r="B17" s="1" t="s">
        <v>81</v>
      </c>
      <c r="C17" s="1" t="s">
        <v>80</v>
      </c>
      <c r="D17" s="1" t="s">
        <v>79</v>
      </c>
      <c r="E17" s="1" t="s">
        <v>78</v>
      </c>
      <c r="F17" s="1" t="s">
        <v>77</v>
      </c>
      <c r="G17" s="1" t="s">
        <v>76</v>
      </c>
    </row>
    <row r="21" spans="1:21" x14ac:dyDescent="0.2">
      <c r="A21" s="1" t="s">
        <v>75</v>
      </c>
      <c r="B21" s="1" t="s">
        <v>74</v>
      </c>
      <c r="C21" s="1" t="s">
        <v>73</v>
      </c>
      <c r="D21" s="1" t="s">
        <v>72</v>
      </c>
      <c r="E21" s="1" t="s">
        <v>71</v>
      </c>
      <c r="F21" s="1" t="s">
        <v>70</v>
      </c>
      <c r="G21" s="1" t="s">
        <v>69</v>
      </c>
      <c r="H21" s="1" t="s">
        <v>68</v>
      </c>
      <c r="I21" s="1" t="s">
        <v>67</v>
      </c>
      <c r="J21" s="1" t="s">
        <v>66</v>
      </c>
      <c r="K21" s="1" t="s">
        <v>65</v>
      </c>
      <c r="L21" s="1" t="s">
        <v>64</v>
      </c>
      <c r="M21" s="1" t="s">
        <v>63</v>
      </c>
      <c r="N21" s="1" t="s">
        <v>62</v>
      </c>
      <c r="O21" s="1" t="s">
        <v>61</v>
      </c>
      <c r="P21" s="1" t="s">
        <v>60</v>
      </c>
      <c r="Q21" s="1" t="s">
        <v>59</v>
      </c>
      <c r="R21" s="1" t="s">
        <v>58</v>
      </c>
      <c r="S21" s="1" t="s">
        <v>57</v>
      </c>
      <c r="T21" s="1" t="s">
        <v>56</v>
      </c>
      <c r="U21" s="1" t="s">
        <v>55</v>
      </c>
    </row>
    <row r="22" spans="1:21" x14ac:dyDescent="0.2">
      <c r="A22" s="1" t="s">
        <v>54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8</v>
      </c>
      <c r="H22" s="1">
        <v>1</v>
      </c>
      <c r="I22" s="1">
        <v>1</v>
      </c>
      <c r="J22" s="1">
        <v>2</v>
      </c>
      <c r="K22" s="1">
        <v>0.75</v>
      </c>
      <c r="L22" s="1">
        <v>1</v>
      </c>
      <c r="M22" s="1">
        <v>1.5</v>
      </c>
      <c r="N22" s="1">
        <v>1</v>
      </c>
      <c r="O22" s="1">
        <v>1</v>
      </c>
      <c r="P22" s="1">
        <v>2</v>
      </c>
      <c r="Q22" s="1">
        <v>1</v>
      </c>
      <c r="R22" s="1">
        <v>1</v>
      </c>
      <c r="S22" s="1">
        <v>1</v>
      </c>
      <c r="T22" s="1">
        <v>50</v>
      </c>
      <c r="U22" s="1">
        <v>1</v>
      </c>
    </row>
    <row r="23" spans="1:21" x14ac:dyDescent="0.2">
      <c r="A23" s="1" t="s">
        <v>53</v>
      </c>
      <c r="B23" s="1">
        <v>0.08</v>
      </c>
      <c r="C23" s="1">
        <v>0.42</v>
      </c>
      <c r="D23" s="1">
        <v>2.94</v>
      </c>
      <c r="E23" s="1">
        <v>0.3</v>
      </c>
      <c r="F23" s="1">
        <v>0.3</v>
      </c>
      <c r="G23" s="1">
        <v>30</v>
      </c>
      <c r="H23" s="1">
        <v>0</v>
      </c>
      <c r="I23" s="1">
        <v>0.36</v>
      </c>
      <c r="J23" s="1">
        <v>1.44</v>
      </c>
      <c r="K23" s="1">
        <v>0.27</v>
      </c>
      <c r="L23" s="1">
        <v>0.54</v>
      </c>
      <c r="M23" s="1">
        <v>1.08</v>
      </c>
      <c r="N23" s="1">
        <v>0.96</v>
      </c>
      <c r="O23" s="1">
        <v>0.72</v>
      </c>
      <c r="P23" s="1">
        <v>2.16</v>
      </c>
      <c r="Q23" s="1">
        <v>0.72</v>
      </c>
      <c r="R23" s="1">
        <v>12</v>
      </c>
      <c r="S23" s="1">
        <v>0.48</v>
      </c>
      <c r="T23" s="1">
        <v>45</v>
      </c>
      <c r="U23" s="1">
        <v>0.9</v>
      </c>
    </row>
    <row r="24" spans="1:2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1" t="s">
        <v>52</v>
      </c>
      <c r="B25" s="1">
        <v>0</v>
      </c>
      <c r="C25" s="1">
        <v>15</v>
      </c>
      <c r="D25" s="1">
        <v>25</v>
      </c>
      <c r="E25" s="1">
        <v>12</v>
      </c>
      <c r="F25" s="1">
        <v>50</v>
      </c>
      <c r="G25" s="1">
        <v>0</v>
      </c>
      <c r="H25" s="1">
        <v>54.82</v>
      </c>
      <c r="I25" s="1">
        <v>5.76</v>
      </c>
      <c r="J25" s="1">
        <v>5.76</v>
      </c>
      <c r="K25" s="1">
        <v>10.24</v>
      </c>
      <c r="L25" s="1">
        <v>10.24</v>
      </c>
      <c r="M25" s="1">
        <v>10.24</v>
      </c>
      <c r="N25" s="1">
        <v>18</v>
      </c>
      <c r="O25" s="1">
        <v>23.76</v>
      </c>
      <c r="P25" s="1">
        <v>23.76</v>
      </c>
      <c r="Q25" s="1">
        <v>12.96</v>
      </c>
      <c r="R25" s="1">
        <v>45.12</v>
      </c>
      <c r="S25" s="1">
        <v>20.25</v>
      </c>
      <c r="T25" s="1">
        <v>64</v>
      </c>
      <c r="U25" s="1">
        <v>4</v>
      </c>
    </row>
    <row r="28" spans="1:21" x14ac:dyDescent="0.2">
      <c r="A28" s="1" t="s">
        <v>51</v>
      </c>
      <c r="K28" s="1" t="s">
        <v>34</v>
      </c>
    </row>
    <row r="29" spans="1:21" x14ac:dyDescent="0.2">
      <c r="B29" s="1" t="s">
        <v>50</v>
      </c>
      <c r="C29" s="1" t="s">
        <v>49</v>
      </c>
      <c r="E29" s="1" t="s">
        <v>48</v>
      </c>
      <c r="F29" s="1" t="s">
        <v>47</v>
      </c>
      <c r="G29" s="1" t="s">
        <v>46</v>
      </c>
      <c r="I29" s="1" t="s">
        <v>32</v>
      </c>
      <c r="J29" s="1" t="s">
        <v>45</v>
      </c>
      <c r="K29" s="1">
        <v>0</v>
      </c>
      <c r="L29" s="1" t="s">
        <v>31</v>
      </c>
    </row>
    <row r="30" spans="1:21" x14ac:dyDescent="0.2">
      <c r="A30" s="1" t="s">
        <v>44</v>
      </c>
      <c r="B30" s="1" t="s">
        <v>43</v>
      </c>
      <c r="C30" s="1" t="s">
        <v>42</v>
      </c>
      <c r="E30" s="1">
        <f>COS(PI()*24/180)*0.88</f>
        <v>0.8039200027254888</v>
      </c>
      <c r="F30" s="1">
        <f>SIN(PI()*24/180)*0.88</f>
        <v>0.35792824590670413</v>
      </c>
      <c r="G30" s="1">
        <f>5/14</f>
        <v>0.35714285714285715</v>
      </c>
      <c r="I30" s="1">
        <f>0.7+0.125</f>
        <v>0.82499999999999996</v>
      </c>
      <c r="J30" s="1">
        <f>SQRT(MAX(0.88*0.88-I30*I30,0))</f>
        <v>0.30622703995565131</v>
      </c>
      <c r="K30" s="1">
        <f>SQRT(1.33*1.33/0.16/PI()/PI()*K29*K29+J30*J30)</f>
        <v>0.30622703995565131</v>
      </c>
      <c r="L30" s="1">
        <f>ATAN(K30/I30)*180/PI()</f>
        <v>20.364134806317814</v>
      </c>
    </row>
    <row r="31" spans="1:21" x14ac:dyDescent="0.2">
      <c r="A31" s="1" t="s">
        <v>41</v>
      </c>
      <c r="B31" s="1" t="s">
        <v>40</v>
      </c>
      <c r="C31" s="1" t="s">
        <v>39</v>
      </c>
      <c r="E31" s="1">
        <f>COS(PI()*24/180)*0.8</f>
        <v>0.73083636611408076</v>
      </c>
      <c r="F31" s="1">
        <f>SIN(PI()*24/180)*0.8</f>
        <v>0.32538931446064012</v>
      </c>
      <c r="G31" s="1">
        <f>8/25</f>
        <v>0.32</v>
      </c>
    </row>
    <row r="32" spans="1:21" x14ac:dyDescent="0.2">
      <c r="A32" s="1" t="s">
        <v>38</v>
      </c>
      <c r="B32" s="1" t="s">
        <v>37</v>
      </c>
      <c r="C32" s="1" t="s">
        <v>36</v>
      </c>
      <c r="E32" s="1">
        <f>COS(PI()*24/180)*1.451</f>
        <v>1.3255544590394139</v>
      </c>
      <c r="F32" s="1">
        <f>SIN(PI()*24/180)*1.451</f>
        <v>0.590174869102986</v>
      </c>
      <c r="G32" s="1">
        <f>10/17</f>
        <v>0.58823529411764708</v>
      </c>
      <c r="K32" s="1" t="s">
        <v>34</v>
      </c>
    </row>
    <row r="33" spans="1:12" x14ac:dyDescent="0.2">
      <c r="I33" s="1" t="s">
        <v>33</v>
      </c>
      <c r="J33" s="1" t="s">
        <v>35</v>
      </c>
      <c r="K33" s="1">
        <v>0.375</v>
      </c>
      <c r="L33" s="1" t="s">
        <v>31</v>
      </c>
    </row>
    <row r="34" spans="1:12" x14ac:dyDescent="0.2">
      <c r="I34" s="1">
        <f>0.1</f>
        <v>0.1</v>
      </c>
      <c r="J34" s="1">
        <f>SQRT(MAX(0.88*0.88-I34*I34,0))</f>
        <v>0.8742997197757757</v>
      </c>
      <c r="K34" s="1">
        <f>SQRT(11.055625/PI()/PI()*K33*K33+J34*J34)</f>
        <v>0.96016861392082109</v>
      </c>
      <c r="L34" s="1">
        <f>ATAN(K34/J34)*180/PI()</f>
        <v>47.679979039624904</v>
      </c>
    </row>
    <row r="36" spans="1:12" x14ac:dyDescent="0.2">
      <c r="G36" s="1">
        <f>COS(22*PI()/180)*109/6.6</f>
        <v>15.312581840572703</v>
      </c>
      <c r="H36" s="1">
        <f>56.4/67</f>
        <v>0.84179104477611943</v>
      </c>
      <c r="K36" s="1" t="s">
        <v>34</v>
      </c>
    </row>
    <row r="37" spans="1:12" x14ac:dyDescent="0.2">
      <c r="F37" s="1">
        <f>19/24</f>
        <v>0.79166666666666663</v>
      </c>
      <c r="I37" s="1" t="s">
        <v>33</v>
      </c>
      <c r="J37" s="1" t="s">
        <v>32</v>
      </c>
      <c r="K37" s="1">
        <v>0.375</v>
      </c>
      <c r="L37" s="1" t="s">
        <v>31</v>
      </c>
    </row>
    <row r="38" spans="1:12" x14ac:dyDescent="0.2">
      <c r="A38" s="1" t="s">
        <v>30</v>
      </c>
      <c r="I38" s="1">
        <v>0</v>
      </c>
      <c r="J38" s="1">
        <f>1.1-0.12856650352478</f>
        <v>0.97143349647522004</v>
      </c>
      <c r="K38" s="1">
        <f>SQRT(K37*K37+I38*I38)</f>
        <v>0.375</v>
      </c>
      <c r="L38" s="1">
        <f>ATAN(K38/J38)*180/PI()</f>
        <v>21.107957327406918</v>
      </c>
    </row>
    <row r="39" spans="1:12" x14ac:dyDescent="0.2">
      <c r="A39" s="1" t="s">
        <v>29</v>
      </c>
    </row>
    <row r="40" spans="1:12" x14ac:dyDescent="0.2">
      <c r="A40" s="1" t="s">
        <v>28</v>
      </c>
      <c r="G40" s="1">
        <f>ACOS(0.97029572725296)*180/PI()</f>
        <v>13.999999768619997</v>
      </c>
      <c r="H40" s="1">
        <f>5.5*SIN(G40*PI()/180)</f>
        <v>1.330570404247045</v>
      </c>
      <c r="I40" s="1">
        <f>5.5*COS(G40*PI()/180)+0.795</f>
        <v>6.1316264998912802</v>
      </c>
    </row>
    <row r="41" spans="1:12" x14ac:dyDescent="0.2">
      <c r="A41" s="1">
        <f>0.12856650352478+COS(PI()*24/180)*0.88</f>
        <v>0.93248650625026874</v>
      </c>
      <c r="B41" s="1">
        <f>9/13</f>
        <v>0.69230769230769229</v>
      </c>
      <c r="G41" s="1">
        <f>TAN(G40*PI()/180)*(1.191035-0.795)</f>
        <v>9.874261390725278E-2</v>
      </c>
    </row>
    <row r="42" spans="1:12" x14ac:dyDescent="0.2">
      <c r="A42" s="1">
        <f>SQRT(0.88*0.88 - 5*5/14/14)</f>
        <v>0.8042692208407809</v>
      </c>
    </row>
    <row r="43" spans="1:12" x14ac:dyDescent="0.2">
      <c r="A43" s="1">
        <f>0.12856650352478+A42</f>
        <v>0.93283572436556095</v>
      </c>
      <c r="B43" s="1">
        <f>14/15</f>
        <v>0.93333333333333335</v>
      </c>
      <c r="D43" s="1">
        <f>0.795+10/14</f>
        <v>1.5092857142857143</v>
      </c>
    </row>
    <row r="44" spans="1:12" x14ac:dyDescent="0.2">
      <c r="A44" s="1">
        <f>0.12856650352478+0.88</f>
        <v>1.0085665035247799</v>
      </c>
    </row>
    <row r="46" spans="1:12" x14ac:dyDescent="0.2">
      <c r="B46" s="1">
        <v>0.16700000000000001</v>
      </c>
    </row>
  </sheetData>
  <mergeCells count="1">
    <mergeCell ref="G1:G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3EA0-A4E7-4BEB-BE8B-BD8C0047459D}">
  <dimension ref="A1:Z29"/>
  <sheetViews>
    <sheetView workbookViewId="0">
      <selection sqref="A1:XFD1048576"/>
    </sheetView>
  </sheetViews>
  <sheetFormatPr defaultRowHeight="14.25" x14ac:dyDescent="0.2"/>
  <cols>
    <col min="1" max="1" width="10.125" style="1" customWidth="1"/>
    <col min="2" max="2" width="9" style="1"/>
    <col min="3" max="4" width="10" style="1" customWidth="1"/>
    <col min="5" max="5" width="9.875" style="1" customWidth="1"/>
    <col min="6" max="6" width="10.625" style="1" customWidth="1"/>
    <col min="7" max="7" width="11.75" style="1" customWidth="1"/>
    <col min="8" max="8" width="10.625" style="1" customWidth="1"/>
    <col min="9" max="9" width="10.5" style="1" customWidth="1"/>
    <col min="10" max="10" width="11.5" style="1" customWidth="1"/>
    <col min="11" max="11" width="11.125" style="1" customWidth="1"/>
    <col min="12" max="12" width="10.25" style="1" customWidth="1"/>
    <col min="13" max="13" width="10.5" style="1" customWidth="1"/>
    <col min="14" max="14" width="10.125" style="1" customWidth="1"/>
    <col min="15" max="15" width="9.75" style="1" customWidth="1"/>
    <col min="16" max="16384" width="9" style="1"/>
  </cols>
  <sheetData>
    <row r="1" spans="1:26" ht="17.25" customHeight="1" x14ac:dyDescent="0.2">
      <c r="B1" s="1" t="s">
        <v>126</v>
      </c>
      <c r="C1" s="1" t="s">
        <v>127</v>
      </c>
      <c r="D1" s="1" t="s">
        <v>16</v>
      </c>
      <c r="E1" s="1" t="s">
        <v>15</v>
      </c>
      <c r="F1" s="1" t="s">
        <v>14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128</v>
      </c>
      <c r="O1" s="1" t="s">
        <v>125</v>
      </c>
    </row>
    <row r="2" spans="1:26" x14ac:dyDescent="0.2">
      <c r="A2" s="1" t="s">
        <v>128</v>
      </c>
      <c r="B2" s="1">
        <f t="shared" ref="B2:M2" si="0">MOD(2*O2/B18,1)</f>
        <v>0.04</v>
      </c>
      <c r="C2" s="1">
        <f t="shared" si="0"/>
        <v>0.05</v>
      </c>
      <c r="D2" s="1">
        <f t="shared" si="0"/>
        <v>6.6666666666666666E-2</v>
      </c>
      <c r="E2" s="1">
        <f t="shared" si="0"/>
        <v>0.08</v>
      </c>
      <c r="F2" s="1">
        <f t="shared" si="0"/>
        <v>0.1</v>
      </c>
      <c r="G2" s="1">
        <f t="shared" si="0"/>
        <v>0.13333333333333333</v>
      </c>
      <c r="H2" s="1">
        <f t="shared" si="0"/>
        <v>0.2</v>
      </c>
      <c r="I2" s="1">
        <f t="shared" si="0"/>
        <v>0.25</v>
      </c>
      <c r="J2" s="1">
        <f t="shared" si="0"/>
        <v>0.4</v>
      </c>
      <c r="K2" s="1">
        <f t="shared" si="0"/>
        <v>0.5</v>
      </c>
      <c r="L2" s="1">
        <f t="shared" si="0"/>
        <v>0</v>
      </c>
      <c r="M2" s="1">
        <f t="shared" si="0"/>
        <v>0</v>
      </c>
      <c r="O2" s="1">
        <v>20</v>
      </c>
      <c r="P2" s="1">
        <v>20</v>
      </c>
      <c r="Q2" s="1">
        <v>20</v>
      </c>
      <c r="R2" s="1">
        <v>20</v>
      </c>
      <c r="S2" s="1">
        <v>20</v>
      </c>
      <c r="T2" s="1">
        <v>20</v>
      </c>
      <c r="U2" s="1">
        <v>20</v>
      </c>
      <c r="V2" s="1">
        <v>20</v>
      </c>
      <c r="W2" s="1">
        <v>20</v>
      </c>
      <c r="X2" s="1">
        <v>20</v>
      </c>
      <c r="Y2" s="1">
        <v>20</v>
      </c>
      <c r="Z2" s="1">
        <v>20</v>
      </c>
    </row>
    <row r="3" spans="1:26" x14ac:dyDescent="0.2">
      <c r="A3" s="1" t="s">
        <v>8</v>
      </c>
      <c r="B3" s="1">
        <f t="shared" ref="B3:L3" si="1">MOD(2*O3/B19,1)</f>
        <v>0.08</v>
      </c>
      <c r="C3" s="1">
        <f t="shared" si="1"/>
        <v>0.1</v>
      </c>
      <c r="D3" s="1">
        <f t="shared" si="1"/>
        <v>0.13333333333333333</v>
      </c>
      <c r="E3" s="1">
        <f t="shared" si="1"/>
        <v>0.16</v>
      </c>
      <c r="F3" s="1">
        <f t="shared" si="1"/>
        <v>0.2</v>
      </c>
      <c r="G3" s="1">
        <f t="shared" si="1"/>
        <v>0.26666666666666666</v>
      </c>
      <c r="H3" s="1">
        <f t="shared" si="1"/>
        <v>0.4</v>
      </c>
      <c r="I3" s="1">
        <f t="shared" si="1"/>
        <v>0.5</v>
      </c>
      <c r="J3" s="1">
        <f t="shared" si="1"/>
        <v>0.8</v>
      </c>
      <c r="K3" s="1">
        <f t="shared" si="1"/>
        <v>0</v>
      </c>
      <c r="L3" s="1">
        <f t="shared" si="1"/>
        <v>0</v>
      </c>
      <c r="O3" s="1">
        <v>40</v>
      </c>
      <c r="P3" s="1">
        <v>40</v>
      </c>
      <c r="Q3" s="1">
        <v>40</v>
      </c>
      <c r="R3" s="1">
        <v>40</v>
      </c>
      <c r="S3" s="1">
        <v>40</v>
      </c>
      <c r="T3" s="1">
        <v>40</v>
      </c>
      <c r="U3" s="1">
        <v>40</v>
      </c>
      <c r="V3" s="1">
        <v>40</v>
      </c>
      <c r="W3" s="1">
        <v>40</v>
      </c>
      <c r="X3" s="1">
        <v>40</v>
      </c>
      <c r="Y3" s="1">
        <v>40</v>
      </c>
      <c r="Z3" s="1">
        <v>40</v>
      </c>
    </row>
    <row r="4" spans="1:26" x14ac:dyDescent="0.2">
      <c r="A4" s="1" t="s">
        <v>9</v>
      </c>
      <c r="B4" s="1">
        <f t="shared" ref="B4:K4" si="2">MOD(2*O4/B20,1)</f>
        <v>0.16</v>
      </c>
      <c r="C4" s="1">
        <f t="shared" si="2"/>
        <v>0.2</v>
      </c>
      <c r="D4" s="1">
        <f t="shared" si="2"/>
        <v>0.26666666666666666</v>
      </c>
      <c r="E4" s="1">
        <f t="shared" si="2"/>
        <v>0.32</v>
      </c>
      <c r="F4" s="1">
        <f t="shared" si="2"/>
        <v>0.4</v>
      </c>
      <c r="G4" s="1">
        <f t="shared" si="2"/>
        <v>0.53333333333333333</v>
      </c>
      <c r="H4" s="1">
        <f t="shared" si="2"/>
        <v>0.8</v>
      </c>
      <c r="I4" s="1">
        <f t="shared" si="2"/>
        <v>0</v>
      </c>
      <c r="J4" s="1">
        <f t="shared" si="2"/>
        <v>0.60000000000000009</v>
      </c>
      <c r="K4" s="1">
        <f t="shared" si="2"/>
        <v>0</v>
      </c>
      <c r="O4" s="1">
        <v>80</v>
      </c>
      <c r="P4" s="1">
        <v>80</v>
      </c>
      <c r="Q4" s="1">
        <v>80</v>
      </c>
      <c r="R4" s="1">
        <v>80</v>
      </c>
      <c r="S4" s="1">
        <v>80</v>
      </c>
      <c r="T4" s="1">
        <v>80</v>
      </c>
      <c r="U4" s="1">
        <v>80</v>
      </c>
      <c r="V4" s="1">
        <v>80</v>
      </c>
      <c r="W4" s="1">
        <v>80</v>
      </c>
      <c r="X4" s="1">
        <v>80</v>
      </c>
      <c r="Y4" s="1">
        <v>80</v>
      </c>
      <c r="Z4" s="1">
        <v>80</v>
      </c>
    </row>
    <row r="5" spans="1:26" x14ac:dyDescent="0.2">
      <c r="A5" s="1" t="s">
        <v>10</v>
      </c>
      <c r="B5" s="1">
        <f t="shared" ref="B5:J5" si="3">MOD(2*O5/B21,1)</f>
        <v>0.2</v>
      </c>
      <c r="C5" s="1">
        <f t="shared" si="3"/>
        <v>0.25</v>
      </c>
      <c r="D5" s="1">
        <f t="shared" si="3"/>
        <v>0.33333333333333331</v>
      </c>
      <c r="E5" s="1">
        <f t="shared" si="3"/>
        <v>0.4</v>
      </c>
      <c r="F5" s="1">
        <f t="shared" si="3"/>
        <v>0.5</v>
      </c>
      <c r="G5" s="1">
        <f t="shared" si="3"/>
        <v>0.66666666666666663</v>
      </c>
      <c r="H5" s="1">
        <f t="shared" si="3"/>
        <v>0</v>
      </c>
      <c r="I5" s="1">
        <f t="shared" si="3"/>
        <v>0.25</v>
      </c>
      <c r="J5" s="1">
        <f t="shared" si="3"/>
        <v>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</row>
    <row r="6" spans="1:26" x14ac:dyDescent="0.2">
      <c r="A6" s="1" t="s">
        <v>11</v>
      </c>
      <c r="B6" s="1">
        <f t="shared" ref="B6:I6" si="4">MOD(2*O6/B22,1)</f>
        <v>0.32</v>
      </c>
      <c r="C6" s="1">
        <f t="shared" si="4"/>
        <v>0.4</v>
      </c>
      <c r="D6" s="1">
        <f t="shared" si="4"/>
        <v>0.53333333333333333</v>
      </c>
      <c r="E6" s="1">
        <f t="shared" si="4"/>
        <v>0.64</v>
      </c>
      <c r="F6" s="1">
        <f t="shared" si="4"/>
        <v>0.8</v>
      </c>
      <c r="G6" s="1">
        <f t="shared" si="4"/>
        <v>6.6666666666666652E-2</v>
      </c>
      <c r="H6" s="1">
        <f t="shared" si="4"/>
        <v>0.60000000000000009</v>
      </c>
      <c r="I6" s="1">
        <f t="shared" si="4"/>
        <v>0</v>
      </c>
      <c r="O6" s="1">
        <v>160</v>
      </c>
      <c r="P6" s="1">
        <v>160</v>
      </c>
      <c r="Q6" s="1">
        <v>160</v>
      </c>
      <c r="R6" s="1">
        <v>160</v>
      </c>
      <c r="S6" s="1">
        <v>160</v>
      </c>
      <c r="T6" s="1">
        <v>160</v>
      </c>
      <c r="U6" s="1">
        <v>160</v>
      </c>
      <c r="V6" s="1">
        <v>160</v>
      </c>
      <c r="W6" s="1">
        <v>160</v>
      </c>
      <c r="X6" s="1">
        <v>160</v>
      </c>
      <c r="Y6" s="1">
        <v>160</v>
      </c>
      <c r="Z6" s="1">
        <v>160</v>
      </c>
    </row>
    <row r="7" spans="1:26" x14ac:dyDescent="0.2">
      <c r="A7" s="1" t="s">
        <v>12</v>
      </c>
      <c r="B7" s="1">
        <f t="shared" ref="B7:H7" si="5">MOD(2*O7/B23,1)</f>
        <v>0.4</v>
      </c>
      <c r="C7" s="1">
        <f t="shared" si="5"/>
        <v>0.5</v>
      </c>
      <c r="D7" s="1">
        <f t="shared" si="5"/>
        <v>0.66666666666666663</v>
      </c>
      <c r="E7" s="1">
        <f t="shared" si="5"/>
        <v>0.8</v>
      </c>
      <c r="F7" s="1">
        <f t="shared" si="5"/>
        <v>0</v>
      </c>
      <c r="G7" s="1">
        <f t="shared" si="5"/>
        <v>0.33333333333333326</v>
      </c>
      <c r="H7" s="1">
        <f t="shared" si="5"/>
        <v>0</v>
      </c>
      <c r="O7" s="1">
        <v>200</v>
      </c>
      <c r="P7" s="1">
        <v>200</v>
      </c>
      <c r="Q7" s="1">
        <v>200</v>
      </c>
      <c r="R7" s="1">
        <v>200</v>
      </c>
      <c r="S7" s="1">
        <v>200</v>
      </c>
      <c r="T7" s="1">
        <v>200</v>
      </c>
      <c r="U7" s="1">
        <v>200</v>
      </c>
      <c r="V7" s="1">
        <v>200</v>
      </c>
      <c r="W7" s="1">
        <v>200</v>
      </c>
      <c r="X7" s="1">
        <v>200</v>
      </c>
      <c r="Y7" s="1">
        <v>200</v>
      </c>
      <c r="Z7" s="1">
        <v>200</v>
      </c>
    </row>
    <row r="8" spans="1:26" x14ac:dyDescent="0.2">
      <c r="A8" s="1" t="s">
        <v>13</v>
      </c>
      <c r="B8" s="1">
        <f t="shared" ref="B8:G8" si="6">MOD(2*O8/B24,1)</f>
        <v>0.6</v>
      </c>
      <c r="C8" s="1">
        <f t="shared" si="6"/>
        <v>0.75</v>
      </c>
      <c r="D8" s="1">
        <f t="shared" si="6"/>
        <v>0</v>
      </c>
      <c r="E8" s="1">
        <f t="shared" si="6"/>
        <v>0.19999999999999996</v>
      </c>
      <c r="F8" s="1">
        <f t="shared" si="6"/>
        <v>0.5</v>
      </c>
      <c r="G8" s="1">
        <f t="shared" si="6"/>
        <v>0</v>
      </c>
      <c r="O8" s="1">
        <v>300</v>
      </c>
      <c r="P8" s="1">
        <v>300</v>
      </c>
      <c r="Q8" s="1">
        <v>300</v>
      </c>
      <c r="R8" s="1">
        <v>300</v>
      </c>
      <c r="S8" s="1">
        <v>300</v>
      </c>
      <c r="T8" s="1">
        <v>300</v>
      </c>
      <c r="U8" s="1">
        <v>300</v>
      </c>
      <c r="V8" s="1">
        <v>300</v>
      </c>
      <c r="W8" s="1">
        <v>300</v>
      </c>
      <c r="X8" s="1">
        <v>300</v>
      </c>
      <c r="Y8" s="1">
        <v>300</v>
      </c>
      <c r="Z8" s="1">
        <v>300</v>
      </c>
    </row>
    <row r="9" spans="1:26" x14ac:dyDescent="0.2">
      <c r="A9" s="1" t="s">
        <v>14</v>
      </c>
      <c r="B9" s="1">
        <f>MOD(2*O9/B25,1)</f>
        <v>0.8</v>
      </c>
      <c r="C9" s="1">
        <f>MOD(2*P9/C25,1)</f>
        <v>0</v>
      </c>
      <c r="D9" s="1">
        <f>MOD(2*Q9/D25,1)</f>
        <v>0.33333333333333326</v>
      </c>
      <c r="E9" s="1">
        <f>MOD(2*R9/E25,1)</f>
        <v>0.60000000000000009</v>
      </c>
      <c r="F9" s="1">
        <f>MOD(2*S9/F25,1)</f>
        <v>0</v>
      </c>
      <c r="O9" s="1">
        <v>400</v>
      </c>
      <c r="P9" s="1">
        <v>400</v>
      </c>
      <c r="Q9" s="1">
        <v>400</v>
      </c>
      <c r="R9" s="1">
        <v>400</v>
      </c>
      <c r="S9" s="1">
        <v>400</v>
      </c>
      <c r="T9" s="1">
        <v>400</v>
      </c>
      <c r="U9" s="1">
        <v>400</v>
      </c>
      <c r="V9" s="1">
        <v>400</v>
      </c>
      <c r="W9" s="1">
        <v>400</v>
      </c>
      <c r="X9" s="1">
        <v>400</v>
      </c>
      <c r="Y9" s="1">
        <v>400</v>
      </c>
      <c r="Z9" s="1">
        <v>400</v>
      </c>
    </row>
    <row r="10" spans="1:26" x14ac:dyDescent="0.2">
      <c r="A10" s="1" t="s">
        <v>15</v>
      </c>
      <c r="B10" s="1">
        <f>MOD(2*O10/B26,1)</f>
        <v>0</v>
      </c>
      <c r="C10" s="1">
        <f>MOD(2*P10/C26,1)</f>
        <v>0.25</v>
      </c>
      <c r="D10" s="1">
        <f>MOD(2*Q10/D26,1)</f>
        <v>0.66666666666666674</v>
      </c>
      <c r="E10" s="1">
        <f>MOD(2*R10/E26,1)</f>
        <v>0</v>
      </c>
      <c r="O10" s="1">
        <v>500</v>
      </c>
      <c r="P10" s="1">
        <v>500</v>
      </c>
      <c r="Q10" s="1">
        <v>500</v>
      </c>
      <c r="R10" s="1">
        <v>500</v>
      </c>
      <c r="S10" s="1">
        <v>500</v>
      </c>
      <c r="T10" s="1">
        <v>500</v>
      </c>
      <c r="U10" s="1">
        <v>500</v>
      </c>
      <c r="V10" s="1">
        <v>500</v>
      </c>
      <c r="W10" s="1">
        <v>500</v>
      </c>
      <c r="X10" s="1">
        <v>500</v>
      </c>
      <c r="Y10" s="1">
        <v>500</v>
      </c>
      <c r="Z10" s="1">
        <v>500</v>
      </c>
    </row>
    <row r="11" spans="1:26" x14ac:dyDescent="0.2">
      <c r="A11" s="1" t="s">
        <v>16</v>
      </c>
      <c r="B11" s="1">
        <f>MOD(2*O11/B27,1)</f>
        <v>0.19999999999999996</v>
      </c>
      <c r="C11" s="1">
        <f>MOD(2*P11/C27,1)</f>
        <v>0.5</v>
      </c>
      <c r="D11" s="1">
        <f>MOD(2*Q11/D27,1)</f>
        <v>0</v>
      </c>
      <c r="O11" s="1">
        <v>600</v>
      </c>
      <c r="P11" s="1">
        <v>600</v>
      </c>
      <c r="Q11" s="1">
        <v>600</v>
      </c>
      <c r="R11" s="1">
        <v>600</v>
      </c>
      <c r="S11" s="1">
        <v>600</v>
      </c>
      <c r="T11" s="1">
        <v>600</v>
      </c>
      <c r="U11" s="1">
        <v>600</v>
      </c>
      <c r="V11" s="1">
        <v>600</v>
      </c>
      <c r="W11" s="1">
        <v>600</v>
      </c>
      <c r="X11" s="1">
        <v>600</v>
      </c>
      <c r="Y11" s="1">
        <v>600</v>
      </c>
      <c r="Z11" s="1">
        <v>600</v>
      </c>
    </row>
    <row r="12" spans="1:26" x14ac:dyDescent="0.2">
      <c r="A12" s="1" t="s">
        <v>127</v>
      </c>
      <c r="B12" s="1">
        <f>MOD(2*O12/B28,1)</f>
        <v>0.60000000000000009</v>
      </c>
      <c r="C12" s="1">
        <f>MOD(2*P12/C28,1)</f>
        <v>0</v>
      </c>
      <c r="O12" s="1">
        <v>800</v>
      </c>
      <c r="P12" s="1">
        <v>800</v>
      </c>
      <c r="Q12" s="1">
        <v>800</v>
      </c>
      <c r="R12" s="1">
        <v>800</v>
      </c>
      <c r="S12" s="1">
        <v>800</v>
      </c>
      <c r="T12" s="1">
        <v>800</v>
      </c>
      <c r="U12" s="1">
        <v>800</v>
      </c>
      <c r="V12" s="1">
        <v>800</v>
      </c>
      <c r="W12" s="1">
        <v>800</v>
      </c>
      <c r="X12" s="1">
        <v>800</v>
      </c>
      <c r="Y12" s="1">
        <v>800</v>
      </c>
      <c r="Z12" s="1">
        <v>800</v>
      </c>
    </row>
    <row r="13" spans="1:26" x14ac:dyDescent="0.2">
      <c r="A13" s="1" t="s">
        <v>126</v>
      </c>
      <c r="B13" s="1">
        <f>MOD(2*O13/B29,1)</f>
        <v>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</row>
    <row r="15" spans="1:26" x14ac:dyDescent="0.2">
      <c r="A15" s="1" t="s">
        <v>125</v>
      </c>
      <c r="B15" s="1">
        <v>1000</v>
      </c>
      <c r="C15" s="1">
        <v>800</v>
      </c>
      <c r="D15" s="1">
        <v>600</v>
      </c>
      <c r="E15" s="1">
        <v>500</v>
      </c>
      <c r="F15" s="1">
        <v>400</v>
      </c>
      <c r="G15" s="1">
        <v>300</v>
      </c>
      <c r="H15" s="1">
        <v>200</v>
      </c>
      <c r="I15" s="1">
        <v>160</v>
      </c>
      <c r="J15" s="1">
        <v>100</v>
      </c>
      <c r="K15" s="1">
        <v>80</v>
      </c>
      <c r="L15" s="1">
        <v>40</v>
      </c>
      <c r="M15" s="1">
        <v>20</v>
      </c>
    </row>
    <row r="16" spans="1:26" x14ac:dyDescent="0.2">
      <c r="B16" s="1">
        <v>1000</v>
      </c>
      <c r="C16" s="1">
        <v>800</v>
      </c>
      <c r="D16" s="1">
        <v>600</v>
      </c>
      <c r="E16" s="1">
        <v>500</v>
      </c>
      <c r="F16" s="1">
        <v>400</v>
      </c>
      <c r="G16" s="1">
        <v>300</v>
      </c>
      <c r="H16" s="1">
        <v>200</v>
      </c>
      <c r="I16" s="1">
        <v>160</v>
      </c>
      <c r="J16" s="1">
        <v>100</v>
      </c>
      <c r="K16" s="1">
        <v>80</v>
      </c>
      <c r="L16" s="1">
        <v>40</v>
      </c>
      <c r="M16" s="1">
        <v>20</v>
      </c>
    </row>
    <row r="17" spans="2:13" x14ac:dyDescent="0.2">
      <c r="B17" s="1">
        <v>1000</v>
      </c>
      <c r="C17" s="1">
        <v>800</v>
      </c>
      <c r="D17" s="1">
        <v>600</v>
      </c>
      <c r="E17" s="1">
        <v>500</v>
      </c>
      <c r="F17" s="1">
        <v>400</v>
      </c>
      <c r="G17" s="1">
        <v>300</v>
      </c>
      <c r="H17" s="1">
        <v>200</v>
      </c>
      <c r="I17" s="1">
        <v>160</v>
      </c>
      <c r="J17" s="1">
        <v>100</v>
      </c>
      <c r="K17" s="1">
        <v>80</v>
      </c>
      <c r="L17" s="1">
        <v>40</v>
      </c>
      <c r="M17" s="1">
        <v>20</v>
      </c>
    </row>
    <row r="18" spans="2:13" x14ac:dyDescent="0.2">
      <c r="B18" s="1">
        <v>1000</v>
      </c>
      <c r="C18" s="1">
        <v>800</v>
      </c>
      <c r="D18" s="1">
        <v>600</v>
      </c>
      <c r="E18" s="1">
        <v>500</v>
      </c>
      <c r="F18" s="1">
        <v>400</v>
      </c>
      <c r="G18" s="1">
        <v>300</v>
      </c>
      <c r="H18" s="1">
        <v>200</v>
      </c>
      <c r="I18" s="1">
        <v>160</v>
      </c>
      <c r="J18" s="1">
        <v>100</v>
      </c>
      <c r="K18" s="1">
        <v>80</v>
      </c>
      <c r="L18" s="1">
        <v>40</v>
      </c>
      <c r="M18" s="1">
        <v>20</v>
      </c>
    </row>
    <row r="19" spans="2:13" x14ac:dyDescent="0.2">
      <c r="B19" s="1">
        <v>1000</v>
      </c>
      <c r="C19" s="1">
        <v>800</v>
      </c>
      <c r="D19" s="1">
        <v>600</v>
      </c>
      <c r="E19" s="1">
        <v>500</v>
      </c>
      <c r="F19" s="1">
        <v>400</v>
      </c>
      <c r="G19" s="1">
        <v>300</v>
      </c>
      <c r="H19" s="1">
        <v>200</v>
      </c>
      <c r="I19" s="1">
        <v>160</v>
      </c>
      <c r="J19" s="1">
        <v>100</v>
      </c>
      <c r="K19" s="1">
        <v>80</v>
      </c>
      <c r="L19" s="1">
        <v>40</v>
      </c>
      <c r="M19" s="1">
        <v>20</v>
      </c>
    </row>
    <row r="20" spans="2:13" x14ac:dyDescent="0.2">
      <c r="B20" s="1">
        <v>1000</v>
      </c>
      <c r="C20" s="1">
        <v>800</v>
      </c>
      <c r="D20" s="1">
        <v>600</v>
      </c>
      <c r="E20" s="1">
        <v>500</v>
      </c>
      <c r="F20" s="1">
        <v>400</v>
      </c>
      <c r="G20" s="1">
        <v>300</v>
      </c>
      <c r="H20" s="1">
        <v>200</v>
      </c>
      <c r="I20" s="1">
        <v>160</v>
      </c>
      <c r="J20" s="1">
        <v>100</v>
      </c>
      <c r="K20" s="1">
        <v>80</v>
      </c>
      <c r="L20" s="1">
        <v>40</v>
      </c>
      <c r="M20" s="1">
        <v>20</v>
      </c>
    </row>
    <row r="21" spans="2:13" x14ac:dyDescent="0.2">
      <c r="B21" s="1">
        <v>1000</v>
      </c>
      <c r="C21" s="1">
        <v>800</v>
      </c>
      <c r="D21" s="1">
        <v>600</v>
      </c>
      <c r="E21" s="1">
        <v>500</v>
      </c>
      <c r="F21" s="1">
        <v>400</v>
      </c>
      <c r="G21" s="1">
        <v>300</v>
      </c>
      <c r="H21" s="1">
        <v>200</v>
      </c>
      <c r="I21" s="1">
        <v>160</v>
      </c>
      <c r="J21" s="1">
        <v>100</v>
      </c>
      <c r="K21" s="1">
        <v>80</v>
      </c>
      <c r="L21" s="1">
        <v>40</v>
      </c>
      <c r="M21" s="1">
        <v>20</v>
      </c>
    </row>
    <row r="22" spans="2:13" x14ac:dyDescent="0.2">
      <c r="B22" s="1">
        <v>1000</v>
      </c>
      <c r="C22" s="1">
        <v>800</v>
      </c>
      <c r="D22" s="1">
        <v>600</v>
      </c>
      <c r="E22" s="1">
        <v>500</v>
      </c>
      <c r="F22" s="1">
        <v>400</v>
      </c>
      <c r="G22" s="1">
        <v>300</v>
      </c>
      <c r="H22" s="1">
        <v>200</v>
      </c>
      <c r="I22" s="1">
        <v>160</v>
      </c>
      <c r="J22" s="1">
        <v>100</v>
      </c>
      <c r="K22" s="1">
        <v>80</v>
      </c>
      <c r="L22" s="1">
        <v>40</v>
      </c>
      <c r="M22" s="1">
        <v>20</v>
      </c>
    </row>
    <row r="23" spans="2:13" x14ac:dyDescent="0.2">
      <c r="B23" s="1">
        <v>1000</v>
      </c>
      <c r="C23" s="1">
        <v>800</v>
      </c>
      <c r="D23" s="1">
        <v>600</v>
      </c>
      <c r="E23" s="1">
        <v>500</v>
      </c>
      <c r="F23" s="1">
        <v>400</v>
      </c>
      <c r="G23" s="1">
        <v>300</v>
      </c>
      <c r="H23" s="1">
        <v>200</v>
      </c>
      <c r="I23" s="1">
        <v>160</v>
      </c>
      <c r="J23" s="1">
        <v>100</v>
      </c>
      <c r="K23" s="1">
        <v>80</v>
      </c>
      <c r="L23" s="1">
        <v>40</v>
      </c>
      <c r="M23" s="1">
        <v>20</v>
      </c>
    </row>
    <row r="24" spans="2:13" x14ac:dyDescent="0.2">
      <c r="B24" s="1">
        <v>1000</v>
      </c>
      <c r="C24" s="1">
        <v>800</v>
      </c>
      <c r="D24" s="1">
        <v>600</v>
      </c>
      <c r="E24" s="1">
        <v>500</v>
      </c>
      <c r="F24" s="1">
        <v>400</v>
      </c>
      <c r="G24" s="1">
        <v>300</v>
      </c>
      <c r="H24" s="1">
        <v>200</v>
      </c>
      <c r="I24" s="1">
        <v>160</v>
      </c>
      <c r="J24" s="1">
        <v>100</v>
      </c>
      <c r="K24" s="1">
        <v>80</v>
      </c>
      <c r="L24" s="1">
        <v>40</v>
      </c>
      <c r="M24" s="1">
        <v>20</v>
      </c>
    </row>
    <row r="25" spans="2:13" x14ac:dyDescent="0.2">
      <c r="B25" s="1">
        <v>1000</v>
      </c>
      <c r="C25" s="1">
        <v>800</v>
      </c>
      <c r="D25" s="1">
        <v>600</v>
      </c>
      <c r="E25" s="1">
        <v>500</v>
      </c>
      <c r="F25" s="1">
        <v>400</v>
      </c>
      <c r="G25" s="1">
        <v>300</v>
      </c>
      <c r="H25" s="1">
        <v>200</v>
      </c>
      <c r="I25" s="1">
        <v>160</v>
      </c>
      <c r="J25" s="1">
        <v>100</v>
      </c>
      <c r="K25" s="1">
        <v>80</v>
      </c>
      <c r="L25" s="1">
        <v>40</v>
      </c>
      <c r="M25" s="1">
        <v>20</v>
      </c>
    </row>
    <row r="26" spans="2:13" x14ac:dyDescent="0.2">
      <c r="B26" s="1">
        <v>1000</v>
      </c>
      <c r="C26" s="1">
        <v>800</v>
      </c>
      <c r="D26" s="1">
        <v>600</v>
      </c>
      <c r="E26" s="1">
        <v>500</v>
      </c>
      <c r="F26" s="1">
        <v>400</v>
      </c>
      <c r="G26" s="1">
        <v>300</v>
      </c>
      <c r="H26" s="1">
        <v>200</v>
      </c>
      <c r="I26" s="1">
        <v>160</v>
      </c>
      <c r="J26" s="1">
        <v>100</v>
      </c>
      <c r="K26" s="1">
        <v>80</v>
      </c>
      <c r="L26" s="1">
        <v>40</v>
      </c>
      <c r="M26" s="1">
        <v>20</v>
      </c>
    </row>
    <row r="27" spans="2:13" x14ac:dyDescent="0.2">
      <c r="B27" s="1">
        <v>1000</v>
      </c>
      <c r="C27" s="1">
        <v>800</v>
      </c>
      <c r="D27" s="1">
        <v>600</v>
      </c>
      <c r="E27" s="1">
        <v>500</v>
      </c>
      <c r="F27" s="1">
        <v>400</v>
      </c>
      <c r="G27" s="1">
        <v>300</v>
      </c>
      <c r="H27" s="1">
        <v>200</v>
      </c>
      <c r="I27" s="1">
        <v>160</v>
      </c>
      <c r="J27" s="1">
        <v>100</v>
      </c>
      <c r="K27" s="1">
        <v>80</v>
      </c>
      <c r="L27" s="1">
        <v>40</v>
      </c>
      <c r="M27" s="1">
        <v>20</v>
      </c>
    </row>
    <row r="28" spans="2:13" x14ac:dyDescent="0.2">
      <c r="B28" s="1">
        <v>1000</v>
      </c>
      <c r="C28" s="1">
        <v>800</v>
      </c>
      <c r="D28" s="1">
        <v>600</v>
      </c>
      <c r="E28" s="1">
        <v>500</v>
      </c>
      <c r="F28" s="1">
        <v>400</v>
      </c>
      <c r="G28" s="1">
        <v>300</v>
      </c>
      <c r="H28" s="1">
        <v>200</v>
      </c>
      <c r="I28" s="1">
        <v>160</v>
      </c>
      <c r="J28" s="1">
        <v>100</v>
      </c>
      <c r="K28" s="1">
        <v>80</v>
      </c>
      <c r="L28" s="1">
        <v>40</v>
      </c>
      <c r="M28" s="1">
        <v>20</v>
      </c>
    </row>
    <row r="29" spans="2:13" x14ac:dyDescent="0.2">
      <c r="B29" s="1">
        <v>1000</v>
      </c>
      <c r="C29" s="1">
        <v>800</v>
      </c>
      <c r="D29" s="1">
        <v>600</v>
      </c>
      <c r="E29" s="1">
        <v>500</v>
      </c>
      <c r="F29" s="1">
        <v>400</v>
      </c>
      <c r="G29" s="1">
        <v>300</v>
      </c>
      <c r="H29" s="1">
        <v>200</v>
      </c>
      <c r="I29" s="1">
        <v>160</v>
      </c>
      <c r="J29" s="1">
        <v>100</v>
      </c>
      <c r="K29" s="1">
        <v>80</v>
      </c>
      <c r="L29" s="1">
        <v>40</v>
      </c>
      <c r="M29" s="1">
        <v>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C982-469C-4575-A4BB-C6E5B92E4198}">
  <dimension ref="A1:U55"/>
  <sheetViews>
    <sheetView tabSelected="1" workbookViewId="0">
      <selection activeCell="G41" sqref="G41"/>
    </sheetView>
  </sheetViews>
  <sheetFormatPr defaultRowHeight="14.25" x14ac:dyDescent="0.2"/>
  <cols>
    <col min="1" max="1" width="42.625" style="1" customWidth="1"/>
    <col min="2" max="2" width="12.25" style="1" customWidth="1"/>
    <col min="3" max="3" width="13.125" style="1" customWidth="1"/>
    <col min="4" max="4" width="13" style="1" customWidth="1"/>
    <col min="5" max="5" width="12.125" style="1" customWidth="1"/>
    <col min="6" max="6" width="13" style="1" customWidth="1"/>
    <col min="7" max="7" width="13.75" style="1" customWidth="1"/>
    <col min="8" max="8" width="13" style="1" customWidth="1"/>
    <col min="9" max="9" width="12" style="1" customWidth="1"/>
    <col min="10" max="10" width="12.625" style="1" customWidth="1"/>
    <col min="11" max="11" width="12.125" style="1" customWidth="1"/>
    <col min="12" max="12" width="11.875" style="1" customWidth="1"/>
    <col min="13" max="13" width="10.75" style="1" customWidth="1"/>
    <col min="14" max="15" width="11.125" style="1" customWidth="1"/>
    <col min="16" max="16" width="11.875" style="1" customWidth="1"/>
    <col min="17" max="17" width="16.875" style="1" customWidth="1"/>
    <col min="18" max="18" width="13.625" style="1" customWidth="1"/>
    <col min="19" max="19" width="11.25" style="1" customWidth="1"/>
    <col min="20" max="20" width="13.75" style="1" customWidth="1"/>
    <col min="21" max="21" width="12" style="1" customWidth="1"/>
    <col min="22" max="16384" width="9" style="1"/>
  </cols>
  <sheetData>
    <row r="1" spans="1:21" x14ac:dyDescent="0.2">
      <c r="A1" s="1" t="s">
        <v>198</v>
      </c>
      <c r="B1" s="1" t="s">
        <v>197</v>
      </c>
      <c r="C1" s="1" t="s">
        <v>196</v>
      </c>
      <c r="D1" s="1" t="s">
        <v>195</v>
      </c>
      <c r="E1" s="1" t="s">
        <v>194</v>
      </c>
      <c r="F1" s="1" t="s">
        <v>193</v>
      </c>
      <c r="G1" s="1" t="s">
        <v>192</v>
      </c>
      <c r="H1" s="1" t="s">
        <v>191</v>
      </c>
      <c r="I1" s="1" t="s">
        <v>190</v>
      </c>
      <c r="J1" s="1" t="s">
        <v>189</v>
      </c>
      <c r="K1" s="1" t="s">
        <v>188</v>
      </c>
      <c r="L1" s="1" t="s">
        <v>187</v>
      </c>
      <c r="M1" s="1" t="s">
        <v>186</v>
      </c>
      <c r="N1" s="1" t="s">
        <v>185</v>
      </c>
      <c r="O1" s="1" t="s">
        <v>184</v>
      </c>
      <c r="P1" s="1" t="s">
        <v>183</v>
      </c>
      <c r="Q1" s="1" t="s">
        <v>182</v>
      </c>
      <c r="R1" s="1" t="s">
        <v>106</v>
      </c>
      <c r="S1" s="1" t="s">
        <v>181</v>
      </c>
      <c r="T1" s="1" t="s">
        <v>180</v>
      </c>
      <c r="U1" s="1" t="s">
        <v>179</v>
      </c>
    </row>
    <row r="2" spans="1:21" x14ac:dyDescent="0.2">
      <c r="A2" s="1" t="s">
        <v>178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f>6.5972906*3.775</f>
        <v>24.904772014999999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x14ac:dyDescent="0.2">
      <c r="A3" s="1" t="s">
        <v>177</v>
      </c>
      <c r="B3" s="1">
        <v>12</v>
      </c>
      <c r="C3" s="1">
        <v>15</v>
      </c>
      <c r="D3" s="1">
        <v>16</v>
      </c>
      <c r="E3" s="1">
        <v>16</v>
      </c>
      <c r="F3" s="1">
        <v>20</v>
      </c>
      <c r="G3" s="1">
        <v>20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x14ac:dyDescent="0.2">
      <c r="A4" s="1" t="s">
        <v>176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x14ac:dyDescent="0.2">
      <c r="A5" s="1" t="s">
        <v>175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x14ac:dyDescent="0.2">
      <c r="A6" s="1" t="s">
        <v>174</v>
      </c>
      <c r="B6" s="1">
        <f>J29+2*J28</f>
        <v>7.9042119565217395E-2</v>
      </c>
      <c r="C6" s="1">
        <f>J29+4*J28</f>
        <v>0.12972146739130436</v>
      </c>
      <c r="D6" s="1">
        <f>J29+2*J28</f>
        <v>7.9042119565217395E-2</v>
      </c>
      <c r="E6" s="1">
        <f>J29+3*J28</f>
        <v>0.10438179347826086</v>
      </c>
      <c r="F6" s="1">
        <f>J29+4*J28</f>
        <v>0.12972146739130436</v>
      </c>
      <c r="G6" s="1">
        <f>J29+5*J28</f>
        <v>0.15506114130434781</v>
      </c>
      <c r="H6" s="1">
        <f>J29+2*J28</f>
        <v>7.9042119565217395E-2</v>
      </c>
      <c r="I6" s="1">
        <f>J29+3*J28</f>
        <v>0.10438179347826086</v>
      </c>
      <c r="J6" s="1">
        <f>J29+2*J28</f>
        <v>7.9042119565217395E-2</v>
      </c>
      <c r="K6" s="1">
        <f>J29+3*J28</f>
        <v>0.10438179347826086</v>
      </c>
      <c r="L6" s="1">
        <f>J29+4*J28</f>
        <v>0.12972146739130436</v>
      </c>
      <c r="M6" s="1">
        <f>J29+2*J28</f>
        <v>7.9042119565217395E-2</v>
      </c>
      <c r="N6" s="1">
        <f>J29+3*J28</f>
        <v>0.10438179347826086</v>
      </c>
      <c r="O6" s="1">
        <f>15*J31+J28</f>
        <v>1.348523434596804</v>
      </c>
      <c r="P6" s="1">
        <f>15*J31+3*J28</f>
        <v>1.399202782422891</v>
      </c>
      <c r="Q6" s="1">
        <f>15*J31+7*J28</f>
        <v>1.5005614780750649</v>
      </c>
      <c r="R6" s="1">
        <f>J29+J28</f>
        <v>5.3702445652173914E-2</v>
      </c>
      <c r="S6" s="1">
        <f>J29+J28</f>
        <v>5.3702445652173914E-2</v>
      </c>
      <c r="T6" s="1">
        <f>J29+J28/3</f>
        <v>3.6809329710144931E-2</v>
      </c>
      <c r="U6" s="1">
        <f>J29</f>
        <v>2.8362771739130436E-2</v>
      </c>
    </row>
    <row r="7" spans="1:21" x14ac:dyDescent="0.2">
      <c r="A7" s="1" t="s">
        <v>173</v>
      </c>
      <c r="B7" s="1">
        <v>5.9590126811594202E-2</v>
      </c>
      <c r="C7" s="1">
        <v>5.9590126811594202E-2</v>
      </c>
      <c r="D7" s="1">
        <v>5.9590126811594202E-2</v>
      </c>
      <c r="E7" s="1">
        <v>5.9590126811594202E-2</v>
      </c>
      <c r="F7" s="1">
        <v>5.9590126811594202E-2</v>
      </c>
      <c r="G7" s="1">
        <v>5.9590126811594202E-2</v>
      </c>
      <c r="H7" s="1">
        <v>0.47672101449275361</v>
      </c>
      <c r="I7" s="1">
        <v>0.47672101449275361</v>
      </c>
      <c r="J7" s="1">
        <v>0.47672101449275361</v>
      </c>
      <c r="K7" s="1">
        <v>0.47672101449275361</v>
      </c>
      <c r="L7" s="1">
        <v>0.47672101449275361</v>
      </c>
      <c r="M7" s="1">
        <v>0.47672101449275361</v>
      </c>
      <c r="N7" s="1">
        <v>0.47672101449275361</v>
      </c>
      <c r="O7" s="1">
        <v>1.2720108695652175</v>
      </c>
      <c r="P7" s="1">
        <v>1.2720108695652175</v>
      </c>
      <c r="Q7" s="1">
        <v>1.2720108695652175</v>
      </c>
      <c r="R7" s="1">
        <v>0.27400362318840576</v>
      </c>
      <c r="S7" s="1">
        <v>0.27400362318840576</v>
      </c>
      <c r="T7" s="1">
        <v>0.1388586956521739</v>
      </c>
      <c r="U7" s="1">
        <v>7.1286231884057971E-2</v>
      </c>
    </row>
    <row r="8" spans="1:21" x14ac:dyDescent="0.2">
      <c r="A8" s="1" t="s">
        <v>172</v>
      </c>
      <c r="B8" s="1">
        <v>6.96</v>
      </c>
      <c r="C8" s="1">
        <v>8.16</v>
      </c>
      <c r="D8" s="1">
        <v>10.88</v>
      </c>
      <c r="E8" s="1">
        <v>10.88</v>
      </c>
      <c r="F8" s="1">
        <v>11.52</v>
      </c>
      <c r="G8" s="1">
        <v>11.52</v>
      </c>
      <c r="H8" s="1">
        <f>6.5972906*3.775</f>
        <v>24.904772014999999</v>
      </c>
      <c r="I8" s="1">
        <v>26.4</v>
      </c>
      <c r="J8" s="1">
        <f>4.7*9.35815</f>
        <v>43.983305000000001</v>
      </c>
      <c r="K8" s="1">
        <f>4.7*9.35815</f>
        <v>43.983305000000001</v>
      </c>
      <c r="L8" s="1">
        <v>52.25</v>
      </c>
      <c r="M8" s="1">
        <v>19.5</v>
      </c>
      <c r="N8" s="1">
        <v>19.5</v>
      </c>
      <c r="O8" s="1">
        <v>22.5</v>
      </c>
      <c r="P8" s="1">
        <v>22.5</v>
      </c>
      <c r="Q8" s="1">
        <v>22.5</v>
      </c>
      <c r="R8" s="1">
        <v>48.96</v>
      </c>
      <c r="S8" s="1">
        <v>54.824300000000001</v>
      </c>
      <c r="T8" s="1">
        <v>16.670000000000002</v>
      </c>
      <c r="U8" s="1">
        <v>10.5</v>
      </c>
    </row>
    <row r="9" spans="1:21" x14ac:dyDescent="0.2">
      <c r="A9" s="1" t="s">
        <v>171</v>
      </c>
      <c r="B9" s="1">
        <v>6.96</v>
      </c>
      <c r="C9" s="1">
        <v>8.16</v>
      </c>
      <c r="D9" s="1">
        <v>10.88</v>
      </c>
      <c r="E9" s="1">
        <v>10.88</v>
      </c>
      <c r="F9" s="1">
        <v>11.52</v>
      </c>
      <c r="G9" s="1">
        <v>11.52</v>
      </c>
      <c r="H9" s="1">
        <f>6.5972906*3.775</f>
        <v>24.904772014999999</v>
      </c>
      <c r="I9" s="1">
        <f>6.5972906*3.775</f>
        <v>24.904772014999999</v>
      </c>
      <c r="J9" s="1">
        <f>4.7*9.35815</f>
        <v>43.983305000000001</v>
      </c>
      <c r="K9" s="1">
        <f>4.7*9.35815</f>
        <v>43.983305000000001</v>
      </c>
      <c r="L9" s="1">
        <f>4.7*9.35815</f>
        <v>43.983305000000001</v>
      </c>
      <c r="M9" s="1">
        <f>6.2555*2.8</f>
        <v>17.515399999999996</v>
      </c>
      <c r="N9" s="1">
        <f>6.2555*2.8</f>
        <v>17.515399999999996</v>
      </c>
      <c r="O9" s="1">
        <f>4.5*(4.5+5.2)/2</f>
        <v>21.824999999999999</v>
      </c>
      <c r="P9" s="1">
        <f>4.5*(4.5+5.2)/2</f>
        <v>21.824999999999999</v>
      </c>
      <c r="Q9" s="1">
        <f>4.5*(4.5+5.2)/2</f>
        <v>21.824999999999999</v>
      </c>
      <c r="R9" s="1">
        <v>48.96</v>
      </c>
      <c r="S9" s="1">
        <v>54.824300000000001</v>
      </c>
      <c r="T9" s="1">
        <v>16.670000000000002</v>
      </c>
      <c r="U9" s="1">
        <v>10.5</v>
      </c>
    </row>
    <row r="18" spans="1:21" x14ac:dyDescent="0.2">
      <c r="A18" s="1" t="s">
        <v>170</v>
      </c>
      <c r="B18" s="1">
        <f>B6+2.4*J27</f>
        <v>8.7958786231884065E-2</v>
      </c>
      <c r="C18" s="1">
        <f>C6+2.4*J27</f>
        <v>0.13863813405797101</v>
      </c>
      <c r="D18" s="1">
        <f>D6+3.2*J27</f>
        <v>9.0931008454106288E-2</v>
      </c>
      <c r="E18" s="1">
        <f>E6+3.2*J27</f>
        <v>0.11627068236714976</v>
      </c>
      <c r="F18" s="1">
        <f>F6+3.2*J27</f>
        <v>0.14161035628019325</v>
      </c>
      <c r="G18" s="1">
        <f>G6+3.2*J27</f>
        <v>0.1669500301932367</v>
      </c>
      <c r="H18" s="1">
        <f>H6+6.6*J27</f>
        <v>0.10356295289855072</v>
      </c>
      <c r="I18" s="1">
        <f>I6+6.6*J27</f>
        <v>0.1289026268115942</v>
      </c>
      <c r="J18" s="1">
        <f>J6+5*J27</f>
        <v>9.7618508454106287E-2</v>
      </c>
      <c r="K18" s="1">
        <f>K6+5*J27</f>
        <v>0.12295818236714975</v>
      </c>
      <c r="L18" s="1">
        <f>L6+5*J27</f>
        <v>0.14829785628019324</v>
      </c>
      <c r="M18" s="1">
        <f>M6+2*J27</f>
        <v>8.6472675120772946E-2</v>
      </c>
      <c r="N18" s="1">
        <f>N6+2*J27</f>
        <v>0.11181234903381641</v>
      </c>
      <c r="O18" s="1">
        <f>O6+4.5*J27</f>
        <v>1.3652421845968039</v>
      </c>
      <c r="P18" s="1">
        <f>P6+4.5*J27</f>
        <v>1.4159215324228909</v>
      </c>
      <c r="Q18" s="1">
        <f>Q6+4.5*J27</f>
        <v>1.5172802280750648</v>
      </c>
      <c r="R18" s="1">
        <f>R6+3.2*U27</f>
        <v>5.3702445652173914E-2</v>
      </c>
      <c r="S18" s="1">
        <f>S6+3.2*V27</f>
        <v>5.3702445652173914E-2</v>
      </c>
      <c r="T18" s="1">
        <f>T6+3.2*W27</f>
        <v>3.6809329710144931E-2</v>
      </c>
      <c r="U18" s="1">
        <v>44</v>
      </c>
    </row>
    <row r="25" spans="1:21" x14ac:dyDescent="0.2">
      <c r="A25" s="6" t="s">
        <v>169</v>
      </c>
      <c r="B25" s="6"/>
      <c r="C25" s="6"/>
      <c r="D25" s="6"/>
    </row>
    <row r="26" spans="1:21" x14ac:dyDescent="0.2">
      <c r="B26" s="1" t="s">
        <v>168</v>
      </c>
      <c r="C26" s="1" t="s">
        <v>167</v>
      </c>
      <c r="D26" s="1" t="s">
        <v>166</v>
      </c>
      <c r="I26" s="7" t="s">
        <v>165</v>
      </c>
      <c r="J26" s="7"/>
      <c r="K26" s="7"/>
    </row>
    <row r="27" spans="1:21" x14ac:dyDescent="0.2">
      <c r="A27" s="1" t="s">
        <v>164</v>
      </c>
      <c r="B27" s="1">
        <v>0.64200000000000002</v>
      </c>
      <c r="C27" s="1">
        <v>172800</v>
      </c>
      <c r="D27" s="1">
        <f>1000*B27/C27</f>
        <v>3.7152777777777778E-3</v>
      </c>
      <c r="F27" s="1">
        <f>C27*8</f>
        <v>1382400</v>
      </c>
      <c r="I27" s="1" t="s">
        <v>163</v>
      </c>
      <c r="J27" s="1">
        <f>D27</f>
        <v>3.7152777777777778E-3</v>
      </c>
      <c r="K27" s="1" t="s">
        <v>162</v>
      </c>
    </row>
    <row r="28" spans="1:21" x14ac:dyDescent="0.2">
      <c r="A28" s="1" t="s">
        <v>161</v>
      </c>
      <c r="B28" s="1">
        <v>0</v>
      </c>
      <c r="C28" s="1">
        <v>0</v>
      </c>
      <c r="D28" s="1" t="e">
        <f>1000*B28/C28</f>
        <v>#DIV/0!</v>
      </c>
      <c r="F28" s="1">
        <f>C28*8</f>
        <v>0</v>
      </c>
      <c r="I28" s="1" t="s">
        <v>159</v>
      </c>
      <c r="J28" s="1">
        <f>D29</f>
        <v>2.5339673913043478E-2</v>
      </c>
      <c r="K28" s="1" t="s">
        <v>160</v>
      </c>
    </row>
    <row r="29" spans="1:21" x14ac:dyDescent="0.2">
      <c r="A29" s="1" t="s">
        <v>159</v>
      </c>
      <c r="B29" s="1">
        <v>2.984</v>
      </c>
      <c r="C29" s="1">
        <v>117760</v>
      </c>
      <c r="D29" s="1">
        <f>1000*B29/C29</f>
        <v>2.5339673913043478E-2</v>
      </c>
      <c r="F29" s="1">
        <f>C29*8</f>
        <v>942080</v>
      </c>
      <c r="I29" s="1" t="s">
        <v>158</v>
      </c>
      <c r="J29" s="1">
        <v>2.8362771739130436E-2</v>
      </c>
      <c r="K29" s="1" t="s">
        <v>155</v>
      </c>
    </row>
    <row r="30" spans="1:21" x14ac:dyDescent="0.2">
      <c r="A30" s="1" t="s">
        <v>157</v>
      </c>
      <c r="B30" s="1">
        <v>1.5740000000000001</v>
      </c>
      <c r="C30" s="1">
        <v>176640</v>
      </c>
      <c r="D30" s="1">
        <f>1000*B30/C30</f>
        <v>8.9107789855072464E-3</v>
      </c>
      <c r="F30" s="1">
        <f>C30*8</f>
        <v>1413120</v>
      </c>
      <c r="I30" s="1" t="s">
        <v>156</v>
      </c>
      <c r="J30" s="1">
        <v>8.9107789855072464E-3</v>
      </c>
      <c r="K30" s="1" t="s">
        <v>155</v>
      </c>
    </row>
    <row r="31" spans="1:21" x14ac:dyDescent="0.2">
      <c r="A31" s="1" t="s">
        <v>154</v>
      </c>
      <c r="B31" s="1">
        <v>1.67</v>
      </c>
      <c r="C31" s="1">
        <v>58880</v>
      </c>
      <c r="D31" s="1">
        <f>1000*B31/C31</f>
        <v>2.8362771739130436E-2</v>
      </c>
      <c r="F31" s="1">
        <f>C31*8</f>
        <v>471040</v>
      </c>
      <c r="I31" s="1" t="s">
        <v>153</v>
      </c>
      <c r="J31" s="1">
        <v>8.8212250712250709E-2</v>
      </c>
      <c r="K31" s="1" t="s">
        <v>152</v>
      </c>
    </row>
    <row r="32" spans="1:21" x14ac:dyDescent="0.2">
      <c r="A32" s="1" t="s">
        <v>151</v>
      </c>
      <c r="B32" s="1">
        <v>0.33600000000000002</v>
      </c>
    </row>
    <row r="40" spans="9:11" x14ac:dyDescent="0.2">
      <c r="I40" s="7" t="s">
        <v>150</v>
      </c>
      <c r="J40" s="7"/>
      <c r="K40" s="7"/>
    </row>
    <row r="41" spans="9:11" x14ac:dyDescent="0.2">
      <c r="I41" s="1" t="s">
        <v>149</v>
      </c>
      <c r="J41" s="1">
        <v>8</v>
      </c>
      <c r="K41" s="1" t="s">
        <v>148</v>
      </c>
    </row>
    <row r="42" spans="9:11" x14ac:dyDescent="0.2">
      <c r="I42" s="1" t="s">
        <v>147</v>
      </c>
      <c r="J42" s="1">
        <v>12</v>
      </c>
      <c r="K42" s="1" t="s">
        <v>144</v>
      </c>
    </row>
    <row r="43" spans="9:11" x14ac:dyDescent="0.2">
      <c r="I43" s="1" t="s">
        <v>146</v>
      </c>
      <c r="J43" s="1">
        <v>5</v>
      </c>
      <c r="K43" s="1" t="s">
        <v>144</v>
      </c>
    </row>
    <row r="44" spans="9:11" x14ac:dyDescent="0.2">
      <c r="I44" s="1" t="s">
        <v>145</v>
      </c>
      <c r="J44" s="1">
        <v>20</v>
      </c>
      <c r="K44" s="1" t="s">
        <v>144</v>
      </c>
    </row>
    <row r="49" spans="1:15" x14ac:dyDescent="0.2">
      <c r="A49" s="3"/>
      <c r="B49" s="3"/>
      <c r="C49" s="3">
        <v>1</v>
      </c>
      <c r="D49" s="3">
        <v>2</v>
      </c>
      <c r="E49" s="3">
        <v>4</v>
      </c>
      <c r="F49" s="3">
        <v>8</v>
      </c>
      <c r="G49" s="3">
        <v>16</v>
      </c>
      <c r="H49" s="3"/>
      <c r="I49" s="3" t="s">
        <v>143</v>
      </c>
      <c r="J49" s="3"/>
      <c r="K49" s="3" t="s">
        <v>142</v>
      </c>
      <c r="L49" s="3" t="s">
        <v>141</v>
      </c>
      <c r="M49" s="3"/>
      <c r="N49" s="3" t="s">
        <v>140</v>
      </c>
      <c r="O49" s="3" t="s">
        <v>139</v>
      </c>
    </row>
    <row r="50" spans="1:15" x14ac:dyDescent="0.2">
      <c r="A50" s="5" t="s">
        <v>138</v>
      </c>
      <c r="B50" s="3" t="s">
        <v>137</v>
      </c>
      <c r="C50" s="3">
        <v>28.594999999999999</v>
      </c>
      <c r="D50" s="3">
        <v>16.672999999999998</v>
      </c>
      <c r="E50" s="3">
        <v>10.972</v>
      </c>
      <c r="F50" s="3">
        <v>8.4250000000000007</v>
      </c>
      <c r="G50" s="3">
        <v>7.431</v>
      </c>
      <c r="H50" s="3"/>
      <c r="I50" s="3">
        <f t="shared" ref="I50:I55" si="0">C50/G50</f>
        <v>3.8480689005517426</v>
      </c>
      <c r="J50" s="3"/>
      <c r="K50" s="3">
        <v>3</v>
      </c>
      <c r="L50" s="3">
        <v>84240</v>
      </c>
      <c r="M50" s="3"/>
      <c r="N50" s="3">
        <f t="shared" ref="N50:N55" si="1">G50/L50*1000</f>
        <v>8.8212250712250709E-2</v>
      </c>
      <c r="O50" s="3"/>
    </row>
    <row r="51" spans="1:15" x14ac:dyDescent="0.2">
      <c r="A51" s="7" t="s">
        <v>136</v>
      </c>
      <c r="B51" s="1" t="s">
        <v>135</v>
      </c>
      <c r="C51" s="1">
        <v>1.639</v>
      </c>
      <c r="D51" s="1">
        <v>1.208</v>
      </c>
      <c r="E51" s="1">
        <v>0.85399999999999998</v>
      </c>
      <c r="F51" s="1">
        <v>0.64700000000000002</v>
      </c>
      <c r="G51" s="1">
        <v>0.64200000000000002</v>
      </c>
      <c r="H51" s="3"/>
      <c r="I51" s="3">
        <f t="shared" si="0"/>
        <v>2.5529595015576323</v>
      </c>
      <c r="J51" s="3"/>
      <c r="K51" s="3">
        <v>8</v>
      </c>
      <c r="L51" s="3">
        <v>172800</v>
      </c>
      <c r="M51" s="3"/>
      <c r="N51" s="3">
        <f t="shared" si="1"/>
        <v>3.7152777777777778E-3</v>
      </c>
      <c r="O51" s="3"/>
    </row>
    <row r="52" spans="1:15" x14ac:dyDescent="0.2">
      <c r="A52" s="7"/>
      <c r="B52" s="1" t="s">
        <v>134</v>
      </c>
      <c r="C52" s="1">
        <v>14.948</v>
      </c>
      <c r="D52" s="1">
        <v>9.7629999999999999</v>
      </c>
      <c r="E52" s="1">
        <v>5.8849999999999998</v>
      </c>
      <c r="F52" s="1">
        <v>3.9129999999999998</v>
      </c>
      <c r="G52" s="1">
        <v>3.391</v>
      </c>
      <c r="H52" s="3"/>
      <c r="I52" s="3">
        <f t="shared" si="0"/>
        <v>4.4081391919787674</v>
      </c>
      <c r="J52" s="3"/>
      <c r="K52" s="3">
        <v>8</v>
      </c>
      <c r="L52" s="3">
        <v>117760</v>
      </c>
      <c r="M52" s="3"/>
      <c r="N52" s="3">
        <f t="shared" si="1"/>
        <v>2.8795855978260867E-2</v>
      </c>
      <c r="O52" s="3"/>
    </row>
    <row r="53" spans="1:15" x14ac:dyDescent="0.2">
      <c r="A53" s="7"/>
      <c r="B53" s="1" t="s">
        <v>133</v>
      </c>
      <c r="C53" s="1">
        <v>2.5419999999999998</v>
      </c>
      <c r="D53" s="1">
        <v>1.875</v>
      </c>
      <c r="E53" s="1">
        <v>1.6439999999999999</v>
      </c>
      <c r="F53" s="1">
        <v>1.655</v>
      </c>
      <c r="G53" s="1">
        <v>1.661</v>
      </c>
      <c r="H53" s="3"/>
      <c r="I53" s="3">
        <f t="shared" si="0"/>
        <v>1.5304033714629739</v>
      </c>
      <c r="J53" s="3"/>
      <c r="K53" s="3">
        <v>8</v>
      </c>
      <c r="L53" s="3">
        <v>179040</v>
      </c>
      <c r="M53" s="3"/>
      <c r="N53" s="3">
        <f t="shared" si="1"/>
        <v>9.2772564789991071E-3</v>
      </c>
      <c r="O53" s="3"/>
    </row>
    <row r="54" spans="1:15" x14ac:dyDescent="0.2">
      <c r="A54" s="7"/>
      <c r="B54" s="1" t="s">
        <v>132</v>
      </c>
      <c r="C54" s="1">
        <v>3.839</v>
      </c>
      <c r="D54" s="1">
        <v>2.7189999999999999</v>
      </c>
      <c r="E54" s="1">
        <v>2.0569999999999999</v>
      </c>
      <c r="F54" s="1">
        <v>1.7769999999999999</v>
      </c>
      <c r="G54" s="1">
        <v>1.7649999999999999</v>
      </c>
      <c r="H54" s="3"/>
      <c r="I54" s="3">
        <f t="shared" si="0"/>
        <v>2.175070821529745</v>
      </c>
      <c r="J54" s="3"/>
      <c r="K54" s="3">
        <v>8</v>
      </c>
      <c r="L54" s="3">
        <v>58880</v>
      </c>
      <c r="M54" s="3"/>
      <c r="N54" s="3">
        <f t="shared" si="1"/>
        <v>2.9976222826086953E-2</v>
      </c>
      <c r="O54" s="3"/>
    </row>
    <row r="55" spans="1:15" x14ac:dyDescent="0.2">
      <c r="A55" s="4" t="s">
        <v>131</v>
      </c>
      <c r="B55" s="1" t="s">
        <v>130</v>
      </c>
      <c r="C55" s="1">
        <v>2.798</v>
      </c>
      <c r="D55" s="1">
        <v>3.8010000000000002</v>
      </c>
      <c r="E55" s="1">
        <v>3.7170000000000001</v>
      </c>
      <c r="F55" s="1">
        <v>3.5990000000000002</v>
      </c>
      <c r="G55" s="1">
        <v>3.8479999999999999</v>
      </c>
      <c r="H55" s="3"/>
      <c r="I55" s="3">
        <f t="shared" si="0"/>
        <v>0.72713097713097719</v>
      </c>
      <c r="J55" s="3"/>
      <c r="K55" s="3">
        <v>3</v>
      </c>
      <c r="L55" s="3">
        <v>9000</v>
      </c>
      <c r="M55" s="3"/>
      <c r="N55" s="3">
        <f t="shared" si="1"/>
        <v>0.42755555555555552</v>
      </c>
      <c r="O55" s="3" t="s">
        <v>129</v>
      </c>
    </row>
  </sheetData>
  <mergeCells count="4">
    <mergeCell ref="A25:D25"/>
    <mergeCell ref="I40:K40"/>
    <mergeCell ref="A51:A54"/>
    <mergeCell ref="I26:K2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E6F5-68D6-4D36-B37B-9C8C1F7240A7}">
  <dimension ref="A1:D14"/>
  <sheetViews>
    <sheetView workbookViewId="0">
      <selection activeCell="A5" sqref="A5"/>
    </sheetView>
  </sheetViews>
  <sheetFormatPr defaultRowHeight="14.25" x14ac:dyDescent="0.2"/>
  <cols>
    <col min="1" max="1" width="13.125" style="1" customWidth="1"/>
    <col min="2" max="2" width="15.25" style="1" customWidth="1"/>
    <col min="3" max="16384" width="9" style="1"/>
  </cols>
  <sheetData>
    <row r="1" spans="1:4" x14ac:dyDescent="0.2">
      <c r="A1" s="7" t="s">
        <v>212</v>
      </c>
      <c r="B1" s="7"/>
      <c r="C1" s="7"/>
      <c r="D1" s="7"/>
    </row>
    <row r="2" spans="1:4" x14ac:dyDescent="0.2">
      <c r="A2" s="7"/>
      <c r="B2" s="7"/>
      <c r="C2" s="7"/>
      <c r="D2" s="7"/>
    </row>
    <row r="3" spans="1:4" x14ac:dyDescent="0.2">
      <c r="A3" s="1" t="s">
        <v>211</v>
      </c>
      <c r="B3" s="1" t="s">
        <v>210</v>
      </c>
      <c r="C3" s="1" t="s">
        <v>209</v>
      </c>
      <c r="D3" s="1" t="s">
        <v>208</v>
      </c>
    </row>
    <row r="4" spans="1:4" x14ac:dyDescent="0.2">
      <c r="A4" s="1" t="s">
        <v>207</v>
      </c>
      <c r="B4" s="1">
        <v>4.0975215025032501</v>
      </c>
      <c r="C4" s="1">
        <f>B4*PI()/180</f>
        <v>7.151524138994679E-2</v>
      </c>
      <c r="D4" s="1">
        <f>12*ASIN(1/SQRT(4-C4*C4))/(6*ASIN(1/SQRT(4-C4*C4))-PI())</f>
        <v>2836.1247656695359</v>
      </c>
    </row>
    <row r="5" spans="1:4" x14ac:dyDescent="0.2">
      <c r="A5" s="1" t="s">
        <v>206</v>
      </c>
      <c r="B5" s="1">
        <f>SQRT(7.34806152153*7.34806152153+4*4)/1000*400*PI()</f>
        <v>10.51332998156065</v>
      </c>
      <c r="C5" s="1">
        <f>B5/200</f>
        <v>5.2566649907803249E-2</v>
      </c>
      <c r="D5" s="1">
        <f>12*ASIN(1/SQRT(4-C5*C5))/(6*ASIN(1/SQRT(4-C5*C5))-PI())</f>
        <v>5250.177670586937</v>
      </c>
    </row>
    <row r="6" spans="1:4" x14ac:dyDescent="0.2">
      <c r="A6" s="1" t="s">
        <v>205</v>
      </c>
      <c r="B6" s="1">
        <v>10.5</v>
      </c>
      <c r="C6" s="1">
        <f>B6/200</f>
        <v>5.2499999999999998E-2</v>
      </c>
      <c r="D6" s="1">
        <f>12*ASIN(1/SQRT(4-C6*C6))/(6*ASIN(1/SQRT(4-C6*C6))-PI())</f>
        <v>5263.5191650480847</v>
      </c>
    </row>
    <row r="7" spans="1:4" x14ac:dyDescent="0.2">
      <c r="A7" s="1" t="s">
        <v>204</v>
      </c>
      <c r="B7" s="1">
        <v>29</v>
      </c>
      <c r="C7" s="1">
        <f>B7/200</f>
        <v>0.14499999999999999</v>
      </c>
      <c r="D7" s="1">
        <f>12*ASIN(1/SQRT(4-C7*C7))/(6*ASIN(1/SQRT(4-C7*C7))-PI())</f>
        <v>689.1249867029893</v>
      </c>
    </row>
    <row r="8" spans="1:4" x14ac:dyDescent="0.2">
      <c r="A8" s="1" t="s">
        <v>203</v>
      </c>
      <c r="B8" s="1">
        <v>15</v>
      </c>
      <c r="C8" s="1">
        <f>B8/200</f>
        <v>7.4999999999999997E-2</v>
      </c>
      <c r="D8" s="1">
        <f>12*ASIN(1/SQRT(4-C8*C8))/(6*ASIN(1/SQRT(4-C8*C8))-PI())</f>
        <v>2578.6023380512447</v>
      </c>
    </row>
    <row r="9" spans="1:4" x14ac:dyDescent="0.2">
      <c r="A9" s="1" t="s">
        <v>202</v>
      </c>
      <c r="B9" s="1">
        <v>3.5</v>
      </c>
      <c r="C9" s="1">
        <f>B9/200</f>
        <v>1.7500000000000002E-2</v>
      </c>
      <c r="D9" s="1">
        <f>12*ASIN(1/SQRT(4-C9*C9))/(6*ASIN(1/SQRT(4-C9*C9))-PI())</f>
        <v>47379.85832932224</v>
      </c>
    </row>
    <row r="10" spans="1:4" x14ac:dyDescent="0.2">
      <c r="A10" s="1" t="s">
        <v>201</v>
      </c>
      <c r="B10" s="1">
        <v>10.6</v>
      </c>
      <c r="C10" s="1">
        <f>B10/200</f>
        <v>5.2999999999999999E-2</v>
      </c>
      <c r="D10" s="1">
        <f>12*ASIN(1/SQRT(4-C10*C10))/(6*ASIN(1/SQRT(4-C10*C10))-PI())</f>
        <v>5164.6567152985654</v>
      </c>
    </row>
    <row r="11" spans="1:4" x14ac:dyDescent="0.2">
      <c r="A11" s="1" t="s">
        <v>200</v>
      </c>
      <c r="B11" s="1">
        <v>12</v>
      </c>
      <c r="C11" s="1">
        <f>B11/200</f>
        <v>0.06</v>
      </c>
      <c r="D11" s="1">
        <f>12*ASIN(1/SQRT(4-C11*C11))/(6*ASIN(1/SQRT(4-C11*C11))-PI())</f>
        <v>4029.641982692584</v>
      </c>
    </row>
    <row r="14" spans="1:4" x14ac:dyDescent="0.2">
      <c r="A14" s="6" t="s">
        <v>199</v>
      </c>
      <c r="B14" s="6"/>
      <c r="C14" s="6"/>
      <c r="D14" s="6"/>
    </row>
  </sheetData>
  <mergeCells count="2">
    <mergeCell ref="A14:D14"/>
    <mergeCell ref="A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星球建造规格统计</vt:lpstr>
      <vt:lpstr>建筑尺寸统计</vt:lpstr>
      <vt:lpstr>建筑偏移</vt:lpstr>
      <vt:lpstr>产线占地参考</vt:lpstr>
      <vt:lpstr>最密节点、风电等问题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makuwa</dc:creator>
  <cp:lastModifiedBy>653524123@qq.com</cp:lastModifiedBy>
  <dcterms:created xsi:type="dcterms:W3CDTF">2015-06-05T18:19:34Z</dcterms:created>
  <dcterms:modified xsi:type="dcterms:W3CDTF">2024-12-01T08:22:35Z</dcterms:modified>
</cp:coreProperties>
</file>