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游戏攻略\数值计算统计\【莳槡】戴森球计划数值计算统计(更新中)\"/>
    </mc:Choice>
  </mc:AlternateContent>
  <xr:revisionPtr revIDLastSave="0" documentId="13_ncr:1_{F56EAB37-E7B5-4AAF-9BAE-C8FDDFD066EF}" xr6:coauthVersionLast="47" xr6:coauthVersionMax="47" xr10:uidLastSave="{00000000-0000-0000-0000-000000000000}"/>
  <bookViews>
    <workbookView xWindow="-120" yWindow="-120" windowWidth="38640" windowHeight="21120" xr2:uid="{00000000-000D-0000-FFFF-FFFF00000000}"/>
  </bookViews>
  <sheets>
    <sheet name="Vertex半径" sheetId="2" r:id="rId1"/>
    <sheet name="恒星光度-戴森球半径关系" sheetId="3" r:id="rId2"/>
    <sheet name="接收站" sheetId="5" r:id="rId3"/>
    <sheet name="电磁弹射器" sheetId="4" r:id="rId4"/>
  </sheets>
  <definedNames>
    <definedName name="solver_adj" localSheetId="0" hidden="1">Vertex半径!$H$17:$H$20</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Vertex半径!$H$26</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5" l="1"/>
  <c r="E17" i="5" s="1"/>
  <c r="H17" i="5" s="1"/>
  <c r="G17" i="5"/>
  <c r="J17" i="5"/>
  <c r="C18" i="5"/>
  <c r="C31" i="5" s="1"/>
  <c r="C19" i="5"/>
  <c r="B32" i="5" s="1"/>
  <c r="D19" i="5"/>
  <c r="E19" i="5"/>
  <c r="G19" i="5"/>
  <c r="J19" i="5" s="1"/>
  <c r="H19" i="5"/>
  <c r="C20" i="5"/>
  <c r="D20" i="5" s="1"/>
  <c r="C21" i="5"/>
  <c r="C33" i="5" s="1"/>
  <c r="B30" i="5"/>
  <c r="C30" i="5"/>
  <c r="B31" i="5"/>
  <c r="B34" i="5"/>
  <c r="C34" i="5"/>
  <c r="Q3" i="3"/>
  <c r="R3" i="3"/>
  <c r="U3" i="3"/>
  <c r="V3" i="3"/>
  <c r="U4" i="3"/>
  <c r="U5" i="3"/>
  <c r="V4" i="3" s="1"/>
  <c r="V5" i="3"/>
  <c r="U6" i="3"/>
  <c r="U7" i="3"/>
  <c r="V6" i="3" s="1"/>
  <c r="Q8" i="3"/>
  <c r="R9" i="3" s="1"/>
  <c r="R8" i="3" s="1"/>
  <c r="U8" i="3"/>
  <c r="V7" i="3" s="1"/>
  <c r="V8" i="3"/>
  <c r="P9" i="3"/>
  <c r="U9" i="3"/>
  <c r="V9" i="3"/>
  <c r="U10" i="3"/>
  <c r="U11" i="3"/>
  <c r="V10" i="3" s="1"/>
  <c r="V11" i="3"/>
  <c r="U12" i="3"/>
  <c r="U13" i="3"/>
  <c r="V12" i="3" s="1"/>
  <c r="U14" i="3"/>
  <c r="V13" i="3" s="1"/>
  <c r="U15" i="3"/>
  <c r="V14" i="3" s="1"/>
  <c r="V15" i="3"/>
  <c r="U16" i="3"/>
  <c r="U17" i="3"/>
  <c r="V16" i="3" s="1"/>
  <c r="V17" i="3"/>
  <c r="U18" i="3"/>
  <c r="U19" i="3"/>
  <c r="V18" i="3" s="1"/>
  <c r="V19" i="3"/>
  <c r="U20" i="3"/>
  <c r="U21" i="3"/>
  <c r="V20" i="3" s="1"/>
  <c r="U22" i="3"/>
  <c r="V21" i="3" s="1"/>
  <c r="V22" i="3"/>
  <c r="Q23" i="3"/>
  <c r="R23" i="3"/>
  <c r="U23" i="3"/>
  <c r="Q24" i="3"/>
  <c r="R24" i="3"/>
  <c r="U24" i="3"/>
  <c r="V23" i="3" s="1"/>
  <c r="Q25" i="3"/>
  <c r="U25" i="3"/>
  <c r="V24" i="3" s="1"/>
  <c r="Q26" i="3"/>
  <c r="R25" i="3" s="1"/>
  <c r="U26" i="3"/>
  <c r="V25" i="3" s="1"/>
  <c r="V26" i="3"/>
  <c r="Q27" i="3"/>
  <c r="R26" i="3" s="1"/>
  <c r="R27" i="3"/>
  <c r="U27" i="3"/>
  <c r="Q28" i="3"/>
  <c r="R28" i="3"/>
  <c r="U28" i="3"/>
  <c r="V27" i="3" s="1"/>
  <c r="Q29" i="3"/>
  <c r="U29" i="3"/>
  <c r="V28" i="3" s="1"/>
  <c r="Q30" i="3"/>
  <c r="R29" i="3" s="1"/>
  <c r="U30" i="3"/>
  <c r="V29" i="3" s="1"/>
  <c r="V30" i="3"/>
  <c r="Q31" i="3"/>
  <c r="R30" i="3" s="1"/>
  <c r="R31" i="3"/>
  <c r="U31" i="3"/>
  <c r="Q32" i="3"/>
  <c r="R32" i="3"/>
  <c r="U32" i="3"/>
  <c r="V31" i="3" s="1"/>
  <c r="Q33" i="3"/>
  <c r="U33" i="3"/>
  <c r="V32" i="3" s="1"/>
  <c r="Q34" i="3"/>
  <c r="R33" i="3" s="1"/>
  <c r="U34" i="3"/>
  <c r="V33" i="3" s="1"/>
  <c r="V34" i="3"/>
  <c r="Q35" i="3"/>
  <c r="R34" i="3" s="1"/>
  <c r="R35" i="3"/>
  <c r="U35" i="3"/>
  <c r="Q36" i="3"/>
  <c r="R36" i="3"/>
  <c r="U36" i="3"/>
  <c r="V35" i="3" s="1"/>
  <c r="Q37" i="3"/>
  <c r="U37" i="3"/>
  <c r="V36" i="3" s="1"/>
  <c r="Q38" i="3"/>
  <c r="R37" i="3" s="1"/>
  <c r="U38" i="3"/>
  <c r="V37" i="3" s="1"/>
  <c r="V38" i="3"/>
  <c r="Q39" i="3"/>
  <c r="R38" i="3" s="1"/>
  <c r="R39" i="3"/>
  <c r="U39" i="3"/>
  <c r="Q40" i="3"/>
  <c r="R40" i="3"/>
  <c r="U40" i="3"/>
  <c r="V39" i="3" s="1"/>
  <c r="Q41" i="3"/>
  <c r="U41" i="3"/>
  <c r="V40" i="3" s="1"/>
  <c r="Q42" i="3"/>
  <c r="R41" i="3" s="1"/>
  <c r="U42" i="3"/>
  <c r="V41" i="3" s="1"/>
  <c r="V42" i="3"/>
  <c r="Q43" i="3"/>
  <c r="R42" i="3" s="1"/>
  <c r="R43" i="3"/>
  <c r="U43" i="3"/>
  <c r="Q44" i="3"/>
  <c r="R44" i="3"/>
  <c r="U44" i="3"/>
  <c r="V43" i="3" s="1"/>
  <c r="Q45" i="3"/>
  <c r="U45" i="3"/>
  <c r="V44" i="3" s="1"/>
  <c r="Q46" i="3"/>
  <c r="R45" i="3" s="1"/>
  <c r="U46" i="3"/>
  <c r="V45" i="3" s="1"/>
  <c r="V46" i="3"/>
  <c r="Q47" i="3"/>
  <c r="R46" i="3" s="1"/>
  <c r="R47" i="3"/>
  <c r="U47" i="3"/>
  <c r="Q48" i="3"/>
  <c r="R48" i="3"/>
  <c r="U48" i="3"/>
  <c r="V47" i="3" s="1"/>
  <c r="Q49" i="3"/>
  <c r="U49" i="3"/>
  <c r="V48" i="3" s="1"/>
  <c r="Q50" i="3"/>
  <c r="R49" i="3" s="1"/>
  <c r="U50" i="3"/>
  <c r="V49" i="3" s="1"/>
  <c r="V50" i="3"/>
  <c r="Q51" i="3"/>
  <c r="R50" i="3" s="1"/>
  <c r="R51" i="3"/>
  <c r="U51" i="3"/>
  <c r="Q52" i="3"/>
  <c r="R52" i="3"/>
  <c r="U52" i="3"/>
  <c r="V51" i="3" s="1"/>
  <c r="Q53" i="3"/>
  <c r="U53" i="3"/>
  <c r="V52" i="3" s="1"/>
  <c r="Q54" i="3"/>
  <c r="R53" i="3" s="1"/>
  <c r="U54" i="3"/>
  <c r="V53" i="3" s="1"/>
  <c r="V54" i="3"/>
  <c r="Q55" i="3"/>
  <c r="R54" i="3" s="1"/>
  <c r="R55" i="3"/>
  <c r="U55" i="3"/>
  <c r="Q56" i="3"/>
  <c r="R56" i="3"/>
  <c r="U56" i="3"/>
  <c r="V55" i="3" s="1"/>
  <c r="Q57" i="3"/>
  <c r="U57" i="3"/>
  <c r="V56" i="3" s="1"/>
  <c r="Q58" i="3"/>
  <c r="R57" i="3" s="1"/>
  <c r="U58" i="3"/>
  <c r="V57" i="3" s="1"/>
  <c r="V58" i="3"/>
  <c r="Q59" i="3"/>
  <c r="R58" i="3" s="1"/>
  <c r="R59" i="3"/>
  <c r="U59" i="3"/>
  <c r="Q60" i="3"/>
  <c r="R60" i="3"/>
  <c r="U60" i="3"/>
  <c r="V59" i="3" s="1"/>
  <c r="Q61" i="3"/>
  <c r="U61" i="3"/>
  <c r="V60" i="3" s="1"/>
  <c r="Q62" i="3"/>
  <c r="R61" i="3" s="1"/>
  <c r="U62" i="3"/>
  <c r="V61" i="3" s="1"/>
  <c r="V62" i="3"/>
  <c r="Q63" i="3"/>
  <c r="R62" i="3" s="1"/>
  <c r="R63" i="3"/>
  <c r="U63" i="3"/>
  <c r="Q64" i="3"/>
  <c r="R64" i="3"/>
  <c r="U64" i="3"/>
  <c r="V63" i="3" s="1"/>
  <c r="Q65" i="3"/>
  <c r="U65" i="3"/>
  <c r="V64" i="3" s="1"/>
  <c r="Q66" i="3"/>
  <c r="R65" i="3" s="1"/>
  <c r="U66" i="3"/>
  <c r="V65" i="3" s="1"/>
  <c r="V66" i="3"/>
  <c r="Q67" i="3"/>
  <c r="R66" i="3" s="1"/>
  <c r="R67" i="3"/>
  <c r="U67" i="3"/>
  <c r="Q68" i="3"/>
  <c r="R68" i="3"/>
  <c r="U68" i="3"/>
  <c r="V67" i="3" s="1"/>
  <c r="Q69" i="3"/>
  <c r="U69" i="3"/>
  <c r="V68" i="3" s="1"/>
  <c r="Q70" i="3"/>
  <c r="R69" i="3" s="1"/>
  <c r="U70" i="3"/>
  <c r="V69" i="3" s="1"/>
  <c r="V70" i="3"/>
  <c r="Q71" i="3"/>
  <c r="R70" i="3" s="1"/>
  <c r="R71" i="3"/>
  <c r="U71" i="3"/>
  <c r="Q72" i="3"/>
  <c r="R72" i="3"/>
  <c r="U72" i="3"/>
  <c r="V71" i="3" s="1"/>
  <c r="Q73" i="3"/>
  <c r="U73" i="3"/>
  <c r="V72" i="3" s="1"/>
  <c r="Q74" i="3"/>
  <c r="R73" i="3" s="1"/>
  <c r="U74" i="3"/>
  <c r="V73" i="3" s="1"/>
  <c r="V74" i="3"/>
  <c r="Q75" i="3"/>
  <c r="R74" i="3" s="1"/>
  <c r="R75" i="3"/>
  <c r="U75" i="3"/>
  <c r="Q76" i="3"/>
  <c r="R76" i="3"/>
  <c r="U76" i="3"/>
  <c r="V75" i="3" s="1"/>
  <c r="Q77" i="3"/>
  <c r="U77" i="3"/>
  <c r="V76" i="3" s="1"/>
  <c r="Q78" i="3"/>
  <c r="R77" i="3" s="1"/>
  <c r="U78" i="3"/>
  <c r="V77" i="3" s="1"/>
  <c r="V78" i="3"/>
  <c r="Q79" i="3"/>
  <c r="R78" i="3" s="1"/>
  <c r="R79" i="3"/>
  <c r="U79" i="3"/>
  <c r="Q80" i="3"/>
  <c r="R80" i="3"/>
  <c r="U80" i="3"/>
  <c r="V79" i="3" s="1"/>
  <c r="Q81" i="3"/>
  <c r="U81" i="3"/>
  <c r="V80" i="3" s="1"/>
  <c r="Q82" i="3"/>
  <c r="R81" i="3" s="1"/>
  <c r="U82" i="3"/>
  <c r="V81" i="3" s="1"/>
  <c r="V82" i="3"/>
  <c r="Q83" i="3"/>
  <c r="R82" i="3" s="1"/>
  <c r="R83" i="3"/>
  <c r="U83" i="3"/>
  <c r="Q84" i="3"/>
  <c r="R84" i="3"/>
  <c r="U84" i="3"/>
  <c r="V83" i="3" s="1"/>
  <c r="Q85" i="3"/>
  <c r="U85" i="3"/>
  <c r="V84" i="3" s="1"/>
  <c r="Q86" i="3"/>
  <c r="R85" i="3" s="1"/>
  <c r="U86" i="3"/>
  <c r="V85" i="3" s="1"/>
  <c r="V86" i="3"/>
  <c r="Q87" i="3"/>
  <c r="R86" i="3" s="1"/>
  <c r="R87" i="3"/>
  <c r="U87" i="3"/>
  <c r="Q88" i="3"/>
  <c r="R88" i="3"/>
  <c r="U88" i="3"/>
  <c r="V87" i="3" s="1"/>
  <c r="Q89" i="3"/>
  <c r="U89" i="3"/>
  <c r="V88" i="3" s="1"/>
  <c r="Q90" i="3"/>
  <c r="R89" i="3" s="1"/>
  <c r="U90" i="3"/>
  <c r="V89" i="3" s="1"/>
  <c r="V90" i="3"/>
  <c r="Q91" i="3"/>
  <c r="R90" i="3" s="1"/>
  <c r="R91" i="3"/>
  <c r="U91" i="3"/>
  <c r="Q92" i="3"/>
  <c r="R92" i="3"/>
  <c r="U92" i="3"/>
  <c r="V91" i="3" s="1"/>
  <c r="Q93" i="3"/>
  <c r="U93" i="3"/>
  <c r="V92" i="3" s="1"/>
  <c r="Q94" i="3"/>
  <c r="R93" i="3" s="1"/>
  <c r="U94" i="3"/>
  <c r="V93" i="3" s="1"/>
  <c r="V94" i="3"/>
  <c r="Q95" i="3"/>
  <c r="R94" i="3" s="1"/>
  <c r="R95" i="3"/>
  <c r="U95" i="3"/>
  <c r="Q96" i="3"/>
  <c r="R96" i="3"/>
  <c r="U96" i="3"/>
  <c r="V95" i="3" s="1"/>
  <c r="Q97" i="3"/>
  <c r="U97" i="3"/>
  <c r="V96" i="3" s="1"/>
  <c r="Q98" i="3"/>
  <c r="R97" i="3" s="1"/>
  <c r="U98" i="3"/>
  <c r="V97" i="3" s="1"/>
  <c r="V98" i="3"/>
  <c r="Q99" i="3"/>
  <c r="R98" i="3" s="1"/>
  <c r="R99" i="3"/>
  <c r="U99" i="3"/>
  <c r="Q100" i="3"/>
  <c r="R100" i="3"/>
  <c r="U100" i="3"/>
  <c r="V99" i="3" s="1"/>
  <c r="Q101" i="3"/>
  <c r="U101" i="3"/>
  <c r="V100" i="3" s="1"/>
  <c r="Q102" i="3"/>
  <c r="R101" i="3" s="1"/>
  <c r="U102" i="3"/>
  <c r="V101" i="3" s="1"/>
  <c r="V102" i="3"/>
  <c r="Q103" i="3"/>
  <c r="R102" i="3" s="1"/>
  <c r="R103" i="3"/>
  <c r="U103" i="3"/>
  <c r="Q104" i="3"/>
  <c r="R104" i="3"/>
  <c r="U104" i="3"/>
  <c r="V103" i="3" s="1"/>
  <c r="Q105" i="3"/>
  <c r="U105" i="3"/>
  <c r="V104" i="3" s="1"/>
  <c r="Q106" i="3"/>
  <c r="R105" i="3" s="1"/>
  <c r="U106" i="3"/>
  <c r="V105" i="3" s="1"/>
  <c r="V106" i="3"/>
  <c r="Q107" i="3"/>
  <c r="R106" i="3" s="1"/>
  <c r="R107" i="3"/>
  <c r="U107" i="3"/>
  <c r="Q108" i="3"/>
  <c r="R108" i="3"/>
  <c r="U108" i="3"/>
  <c r="V107" i="3" s="1"/>
  <c r="Q109" i="3"/>
  <c r="U109" i="3"/>
  <c r="V108" i="3" s="1"/>
  <c r="Q110" i="3"/>
  <c r="R109" i="3" s="1"/>
  <c r="U110" i="3"/>
  <c r="V109" i="3" s="1"/>
  <c r="V110" i="3"/>
  <c r="Q111" i="3"/>
  <c r="R110" i="3" s="1"/>
  <c r="R111" i="3"/>
  <c r="U111" i="3"/>
  <c r="Q112" i="3"/>
  <c r="R112" i="3"/>
  <c r="U112" i="3"/>
  <c r="V111" i="3" s="1"/>
  <c r="Q113" i="3"/>
  <c r="U113" i="3"/>
  <c r="V112" i="3" s="1"/>
  <c r="Q114" i="3"/>
  <c r="R113" i="3" s="1"/>
  <c r="U114" i="3"/>
  <c r="V113" i="3" s="1"/>
  <c r="V114" i="3"/>
  <c r="Q115" i="3"/>
  <c r="R114" i="3" s="1"/>
  <c r="R115" i="3"/>
  <c r="U115" i="3"/>
  <c r="Q116" i="3"/>
  <c r="R116" i="3"/>
  <c r="U116" i="3"/>
  <c r="V115" i="3" s="1"/>
  <c r="Q117" i="3"/>
  <c r="U117" i="3"/>
  <c r="V116" i="3" s="1"/>
  <c r="Q118" i="3"/>
  <c r="R117" i="3" s="1"/>
  <c r="U118" i="3"/>
  <c r="V117" i="3" s="1"/>
  <c r="V118" i="3"/>
  <c r="Q119" i="3"/>
  <c r="R118" i="3" s="1"/>
  <c r="R119" i="3"/>
  <c r="U119" i="3"/>
  <c r="Q120" i="3"/>
  <c r="R120" i="3"/>
  <c r="U120" i="3"/>
  <c r="V119" i="3" s="1"/>
  <c r="Q121" i="3"/>
  <c r="U121" i="3"/>
  <c r="V120" i="3" s="1"/>
  <c r="Q122" i="3"/>
  <c r="R121" i="3" s="1"/>
  <c r="U122" i="3"/>
  <c r="V121" i="3" s="1"/>
  <c r="V122" i="3"/>
  <c r="Q123" i="3"/>
  <c r="R122" i="3" s="1"/>
  <c r="R123" i="3"/>
  <c r="U123" i="3"/>
  <c r="Q124" i="3"/>
  <c r="R124" i="3"/>
  <c r="U124" i="3"/>
  <c r="V123" i="3" s="1"/>
  <c r="Q125" i="3"/>
  <c r="U125" i="3"/>
  <c r="V124" i="3" s="1"/>
  <c r="Q126" i="3"/>
  <c r="R125" i="3" s="1"/>
  <c r="U126" i="3"/>
  <c r="V125" i="3" s="1"/>
  <c r="V126" i="3"/>
  <c r="Q127" i="3"/>
  <c r="R126" i="3" s="1"/>
  <c r="R127" i="3"/>
  <c r="U127" i="3"/>
  <c r="Q128" i="3"/>
  <c r="R128" i="3"/>
  <c r="U128" i="3"/>
  <c r="V127" i="3" s="1"/>
  <c r="Q129" i="3"/>
  <c r="U129" i="3"/>
  <c r="V128" i="3" s="1"/>
  <c r="Q130" i="3"/>
  <c r="R129" i="3" s="1"/>
  <c r="U130" i="3"/>
  <c r="V129" i="3" s="1"/>
  <c r="V130" i="3"/>
  <c r="Q131" i="3"/>
  <c r="R130" i="3" s="1"/>
  <c r="R131" i="3"/>
  <c r="U131" i="3"/>
  <c r="Q132" i="3"/>
  <c r="R132" i="3"/>
  <c r="U132" i="3"/>
  <c r="V131" i="3" s="1"/>
  <c r="Q133" i="3"/>
  <c r="U133" i="3"/>
  <c r="V132" i="3" s="1"/>
  <c r="Q134" i="3"/>
  <c r="R133" i="3" s="1"/>
  <c r="U134" i="3"/>
  <c r="V133" i="3" s="1"/>
  <c r="V134" i="3"/>
  <c r="Q135" i="3"/>
  <c r="R134" i="3" s="1"/>
  <c r="R135" i="3"/>
  <c r="U135" i="3"/>
  <c r="Q136" i="3"/>
  <c r="R136" i="3"/>
  <c r="U136" i="3"/>
  <c r="V135" i="3" s="1"/>
  <c r="Q137" i="3"/>
  <c r="U137" i="3"/>
  <c r="V136" i="3" s="1"/>
  <c r="Q138" i="3"/>
  <c r="R137" i="3" s="1"/>
  <c r="U138" i="3"/>
  <c r="V137" i="3" s="1"/>
  <c r="V138" i="3"/>
  <c r="Q139" i="3"/>
  <c r="R138" i="3" s="1"/>
  <c r="R139" i="3"/>
  <c r="U139" i="3"/>
  <c r="Q140" i="3"/>
  <c r="R140" i="3"/>
  <c r="U140" i="3"/>
  <c r="V139" i="3" s="1"/>
  <c r="Q141" i="3"/>
  <c r="R141" i="3" s="1"/>
  <c r="U141" i="3"/>
  <c r="V140" i="3" s="1"/>
  <c r="Q142" i="3"/>
  <c r="Q143" i="3"/>
  <c r="R142" i="3" s="1"/>
  <c r="Q144" i="3"/>
  <c r="R143" i="3" s="1"/>
  <c r="Q145" i="3"/>
  <c r="R145" i="3" s="1"/>
  <c r="Q146" i="3"/>
  <c r="Q147" i="3"/>
  <c r="R146" i="3" s="1"/>
  <c r="Q148" i="3"/>
  <c r="Q149" i="3"/>
  <c r="R148" i="3" s="1"/>
  <c r="R149" i="3"/>
  <c r="Q150" i="3"/>
  <c r="Q151" i="3"/>
  <c r="R150" i="3" s="1"/>
  <c r="Q152" i="3"/>
  <c r="R151" i="3" s="1"/>
  <c r="B9" i="2"/>
  <c r="B10" i="2"/>
  <c r="B11" i="2"/>
  <c r="B12" i="2"/>
  <c r="B13" i="2"/>
  <c r="B14" i="2"/>
  <c r="B15" i="2"/>
  <c r="B16" i="2"/>
  <c r="B17" i="2"/>
  <c r="E17" i="2"/>
  <c r="F17" i="2"/>
  <c r="B18" i="2"/>
  <c r="E18" i="2"/>
  <c r="F18" i="2" s="1"/>
  <c r="N18" i="2"/>
  <c r="P18" i="2" s="1"/>
  <c r="O18" i="2"/>
  <c r="B19" i="2"/>
  <c r="E19" i="2"/>
  <c r="F19" i="2"/>
  <c r="N19" i="2"/>
  <c r="O19" i="2" s="1"/>
  <c r="B20" i="2"/>
  <c r="E20" i="2"/>
  <c r="F20" i="2" s="1"/>
  <c r="N20" i="2"/>
  <c r="O20" i="2"/>
  <c r="P20" i="2"/>
  <c r="B21" i="2"/>
  <c r="E21" i="2"/>
  <c r="F21" i="2"/>
  <c r="N21" i="2"/>
  <c r="O21" i="2" s="1"/>
  <c r="B22" i="2"/>
  <c r="E22" i="2"/>
  <c r="F22" i="2" s="1"/>
  <c r="N22" i="2"/>
  <c r="O22" i="2" s="1"/>
  <c r="B23" i="2"/>
  <c r="E23" i="2"/>
  <c r="F23" i="2"/>
  <c r="N23" i="2"/>
  <c r="O23" i="2" s="1"/>
  <c r="B24" i="2"/>
  <c r="E24" i="2"/>
  <c r="F24" i="2" s="1"/>
  <c r="N24" i="2"/>
  <c r="O24" i="2"/>
  <c r="P24" i="2"/>
  <c r="B25" i="2"/>
  <c r="E25" i="2"/>
  <c r="F25" i="2" s="1"/>
  <c r="N25" i="2"/>
  <c r="O25" i="2" s="1"/>
  <c r="P25" i="2"/>
  <c r="B26" i="2"/>
  <c r="E26" i="2"/>
  <c r="F26" i="2" s="1"/>
  <c r="N26" i="2"/>
  <c r="O26" i="2" s="1"/>
  <c r="B27" i="2"/>
  <c r="E27" i="2"/>
  <c r="F27" i="2"/>
  <c r="N27" i="2"/>
  <c r="P27" i="2" s="1"/>
  <c r="O27" i="2"/>
  <c r="B28" i="2"/>
  <c r="E28" i="2"/>
  <c r="F28" i="2"/>
  <c r="N28" i="2"/>
  <c r="P28" i="2" s="1"/>
  <c r="O28" i="2"/>
  <c r="B29" i="2"/>
  <c r="E29" i="2"/>
  <c r="F29" i="2" s="1"/>
  <c r="N29" i="2"/>
  <c r="O29" i="2"/>
  <c r="P29" i="2"/>
  <c r="B30" i="2"/>
  <c r="E30" i="2"/>
  <c r="F30" i="2"/>
  <c r="N30" i="2"/>
  <c r="O30" i="2" s="1"/>
  <c r="B31" i="2"/>
  <c r="E31" i="2"/>
  <c r="F31" i="2"/>
  <c r="N31" i="2"/>
  <c r="O31" i="2"/>
  <c r="P31" i="2"/>
  <c r="B32" i="2"/>
  <c r="N32" i="2"/>
  <c r="O32" i="2"/>
  <c r="P32" i="2"/>
  <c r="B33" i="2"/>
  <c r="N33" i="2"/>
  <c r="P33" i="2" s="1"/>
  <c r="O33" i="2"/>
  <c r="B34" i="2"/>
  <c r="J34" i="2"/>
  <c r="N34" i="2"/>
  <c r="O34" i="2"/>
  <c r="P34" i="2"/>
  <c r="B35" i="2"/>
  <c r="J35" i="2"/>
  <c r="N35" i="2"/>
  <c r="O35" i="2" s="1"/>
  <c r="B36" i="2"/>
  <c r="N36" i="2"/>
  <c r="P36" i="2" s="1"/>
  <c r="O36" i="2"/>
  <c r="B37" i="2"/>
  <c r="J37" i="2"/>
  <c r="N37" i="2"/>
  <c r="O37" i="2"/>
  <c r="P37" i="2"/>
  <c r="B38" i="2"/>
  <c r="N38" i="2"/>
  <c r="O38" i="2" s="1"/>
  <c r="P38" i="2"/>
  <c r="B39" i="2"/>
  <c r="N39" i="2"/>
  <c r="O39" i="2" s="1"/>
  <c r="P39" i="2"/>
  <c r="B40" i="2"/>
  <c r="N40" i="2"/>
  <c r="O40" i="2" s="1"/>
  <c r="B41" i="2"/>
  <c r="N41" i="2"/>
  <c r="O41" i="2"/>
  <c r="P41" i="2"/>
  <c r="B42" i="2"/>
  <c r="N42" i="2"/>
  <c r="O42" i="2" s="1"/>
  <c r="P42" i="2"/>
  <c r="B43" i="2"/>
  <c r="N43" i="2"/>
  <c r="O43" i="2" s="1"/>
  <c r="P43" i="2"/>
  <c r="B44" i="2"/>
  <c r="N44" i="2"/>
  <c r="O44" i="2" s="1"/>
  <c r="B45" i="2"/>
  <c r="N45" i="2"/>
  <c r="O45" i="2"/>
  <c r="P45" i="2"/>
  <c r="B46" i="2"/>
  <c r="N46" i="2"/>
  <c r="O46" i="2" s="1"/>
  <c r="P46" i="2"/>
  <c r="B47" i="2"/>
  <c r="N47" i="2"/>
  <c r="O47" i="2" s="1"/>
  <c r="P47" i="2"/>
  <c r="B48" i="2"/>
  <c r="N48" i="2"/>
  <c r="O48" i="2" s="1"/>
  <c r="B49" i="2"/>
  <c r="N49" i="2"/>
  <c r="O49" i="2"/>
  <c r="P49" i="2"/>
  <c r="B50" i="2"/>
  <c r="N50" i="2"/>
  <c r="O50" i="2" s="1"/>
  <c r="P50" i="2"/>
  <c r="B51" i="2"/>
  <c r="N51" i="2"/>
  <c r="O51" i="2" s="1"/>
  <c r="P51" i="2"/>
  <c r="B52" i="2"/>
  <c r="B53" i="2"/>
  <c r="B54" i="2"/>
  <c r="B55" i="2"/>
  <c r="N55" i="2"/>
  <c r="O55" i="2" s="1"/>
  <c r="B56" i="2"/>
  <c r="N56" i="2"/>
  <c r="P56" i="2" s="1"/>
  <c r="O56" i="2"/>
  <c r="B57" i="2"/>
  <c r="N57" i="2"/>
  <c r="O57" i="2" s="1"/>
  <c r="B58" i="2"/>
  <c r="N58" i="2"/>
  <c r="P58" i="2" s="1"/>
  <c r="O58" i="2"/>
  <c r="B59" i="2"/>
  <c r="N59" i="2"/>
  <c r="O59" i="2" s="1"/>
  <c r="B60" i="2"/>
  <c r="N60" i="2"/>
  <c r="P60" i="2" s="1"/>
  <c r="O60" i="2"/>
  <c r="B61" i="2"/>
  <c r="N61" i="2"/>
  <c r="O61" i="2" s="1"/>
  <c r="B62" i="2"/>
  <c r="N62" i="2"/>
  <c r="P62" i="2" s="1"/>
  <c r="O62" i="2"/>
  <c r="B63" i="2"/>
  <c r="N63" i="2"/>
  <c r="O63" i="2" s="1"/>
  <c r="B64" i="2"/>
  <c r="N64" i="2"/>
  <c r="P64" i="2" s="1"/>
  <c r="O64" i="2"/>
  <c r="B65" i="2"/>
  <c r="N65" i="2"/>
  <c r="O65" i="2" s="1"/>
  <c r="N66" i="2"/>
  <c r="O66" i="2"/>
  <c r="P66" i="2"/>
  <c r="N67" i="2"/>
  <c r="O67" i="2"/>
  <c r="P67" i="2"/>
  <c r="N68" i="2"/>
  <c r="O68" i="2"/>
  <c r="P68" i="2"/>
  <c r="N69" i="2"/>
  <c r="P69" i="2" s="1"/>
  <c r="O69" i="2"/>
  <c r="N70" i="2"/>
  <c r="P70" i="2" s="1"/>
  <c r="O70" i="2"/>
  <c r="N71" i="2"/>
  <c r="O71" i="2"/>
  <c r="P71" i="2"/>
  <c r="E20" i="5" l="1"/>
  <c r="H20" i="5" s="1"/>
  <c r="G20" i="5"/>
  <c r="J20" i="5" s="1"/>
  <c r="D18" i="5"/>
  <c r="B33" i="5"/>
  <c r="C32" i="5"/>
  <c r="D21" i="5"/>
  <c r="R144" i="3"/>
  <c r="R147" i="3"/>
  <c r="H26" i="2"/>
  <c r="P23" i="2"/>
  <c r="P30" i="2"/>
  <c r="P63" i="2"/>
  <c r="P59" i="2"/>
  <c r="P55" i="2"/>
  <c r="P22" i="2"/>
  <c r="P48" i="2"/>
  <c r="P44" i="2"/>
  <c r="P40" i="2"/>
  <c r="P19" i="2"/>
  <c r="P21" i="2"/>
  <c r="P65" i="2"/>
  <c r="P61" i="2"/>
  <c r="P57" i="2"/>
  <c r="P35" i="2"/>
  <c r="P26" i="2"/>
  <c r="E21" i="5" l="1"/>
  <c r="H21" i="5" s="1"/>
  <c r="G21" i="5"/>
  <c r="J21" i="5" s="1"/>
  <c r="E18" i="5"/>
  <c r="H18" i="5" s="1"/>
  <c r="G18" i="5"/>
  <c r="J18" i="5" s="1"/>
</calcChain>
</file>

<file path=xl/sharedStrings.xml><?xml version="1.0" encoding="utf-8"?>
<sst xmlns="http://schemas.openxmlformats.org/spreadsheetml/2006/main" count="176" uniqueCount="136">
  <si>
    <t>单框架结构点数估计值</t>
    <phoneticPr fontId="3" type="noConversion"/>
  </si>
  <si>
    <t>框架结构点数/半径</t>
    <phoneticPr fontId="3" type="noConversion"/>
  </si>
  <si>
    <t>框架结构点数</t>
    <phoneticPr fontId="3" type="noConversion"/>
  </si>
  <si>
    <t>结构点数</t>
    <phoneticPr fontId="3" type="noConversion"/>
  </si>
  <si>
    <t>细胞点数</t>
    <phoneticPr fontId="3" type="noConversion"/>
  </si>
  <si>
    <t>半径</t>
    <phoneticPr fontId="3" type="noConversion"/>
  </si>
  <si>
    <t>450壳面</t>
    <phoneticPr fontId="3" type="noConversion"/>
  </si>
  <si>
    <t>450细胞点数拟合计算器(误差不超±1%)</t>
    <phoneticPr fontId="3" type="noConversion"/>
  </si>
  <si>
    <t>2720细胞点数拟合计算器(误差不超±6%)</t>
    <phoneticPr fontId="3" type="noConversion"/>
  </si>
  <si>
    <t>值</t>
    <phoneticPr fontId="3" type="noConversion"/>
  </si>
  <si>
    <t>c</t>
    <phoneticPr fontId="3" type="noConversion"/>
  </si>
  <si>
    <t>b</t>
    <phoneticPr fontId="3" type="noConversion"/>
  </si>
  <si>
    <t>a</t>
    <phoneticPr fontId="3" type="noConversion"/>
  </si>
  <si>
    <t>sum</t>
    <phoneticPr fontId="3" type="noConversion"/>
  </si>
  <si>
    <t>d</t>
    <phoneticPr fontId="3" type="noConversion"/>
  </si>
  <si>
    <t>2720壳面</t>
    <phoneticPr fontId="3" type="noConversion"/>
  </si>
  <si>
    <t>误差</t>
    <phoneticPr fontId="3" type="noConversion"/>
  </si>
  <si>
    <t>yi</t>
    <phoneticPr fontId="3" type="noConversion"/>
  </si>
  <si>
    <t>即框架包含的结构点数：20 * int(两端测地线长度 / 600 + 0.5)</t>
    <phoneticPr fontId="3" type="noConversion"/>
  </si>
  <si>
    <t>每段所包含的结构点数：10</t>
    <phoneticPr fontId="3" type="noConversion"/>
  </si>
  <si>
    <t>最小壳面半径</t>
    <phoneticPr fontId="3" type="noConversion"/>
  </si>
  <si>
    <t>细胞组半径</t>
    <phoneticPr fontId="3" type="noConversion"/>
  </si>
  <si>
    <t>框架所包含的段数：2 * int(两端测地线长度 / 600 + 0.5)</t>
    <phoneticPr fontId="3" type="noConversion"/>
  </si>
  <si>
    <t>故细胞组半径——壳面半径范围为：</t>
    <phoneticPr fontId="3" type="noConversion"/>
  </si>
  <si>
    <t>“细胞组半径”含义：一个细胞组包含的小六边形数量=细胞组半径^2</t>
    <phoneticPr fontId="3" type="noConversion"/>
  </si>
  <si>
    <t>细胞组半径公式：细胞组半径 = int((壳半径/4000)^0.75 +0.5)</t>
    <phoneticPr fontId="3" type="noConversion"/>
  </si>
  <si>
    <t>细胞组生成逻辑：生成vertex时，首先找到各个节点的几何中心，生成一个由六边形一角指向极点的细胞组并向周围平面延展，延展范围不超过一个巨大的六边形区域，该区域的大小由几何中心所在的细胞组向四周移动不超过stepCount步构成(stepCount的赋值逻辑放在后文)。然后判断这个巨大六边形区域内的细胞组中心是否在壳面内部，或者到壳面距离是否小于一定定值(“距离”的详细定义见后文)</t>
    <phoneticPr fontId="3" type="noConversion"/>
  </si>
  <si>
    <t>Vertex(下文可能称之为“细胞组”，而Vertex更多指代一个细胞组中心的坐标点)：戴森球壳面的基本结构之一，一块壳面必定包含整数个细胞组，一个细胞组在游戏内能看到的表现为一个大六边形，里面包含着许多小六边形，一个小六边形包含两个细胞点数。节点每吸附一个太阳帆，都会建成半个小六边形，对应一个细胞点数。半径固定时，每个细胞组所包含的细胞点数固定</t>
    <phoneticPr fontId="3" type="noConversion"/>
  </si>
  <si>
    <t>主序星光度-理论最大半径(m)图</t>
    <phoneticPr fontId="3" type="noConversion"/>
  </si>
  <si>
    <t>O</t>
    <phoneticPr fontId="3" type="noConversion"/>
  </si>
  <si>
    <t>B</t>
    <phoneticPr fontId="3" type="noConversion"/>
  </si>
  <si>
    <t>A</t>
    <phoneticPr fontId="3" type="noConversion"/>
  </si>
  <si>
    <t>F</t>
    <phoneticPr fontId="3" type="noConversion"/>
  </si>
  <si>
    <t>G</t>
    <phoneticPr fontId="3" type="noConversion"/>
  </si>
  <si>
    <t>K</t>
    <phoneticPr fontId="3" type="noConversion"/>
  </si>
  <si>
    <t>M</t>
    <phoneticPr fontId="3" type="noConversion"/>
  </si>
  <si>
    <t>种类</t>
    <phoneticPr fontId="3" type="noConversion"/>
  </si>
  <si>
    <t>≥2.023751</t>
    <phoneticPr fontId="3" type="noConversion"/>
  </si>
  <si>
    <t>&lt;2.023751</t>
    <phoneticPr fontId="3" type="noConversion"/>
  </si>
  <si>
    <t>&lt;1.397858</t>
    <phoneticPr fontId="3" type="noConversion"/>
  </si>
  <si>
    <t>&lt;1.131809</t>
    <phoneticPr fontId="3" type="noConversion"/>
  </si>
  <si>
    <t>&lt;1.044266</t>
    <phoneticPr fontId="3" type="noConversion"/>
  </si>
  <si>
    <t>&lt;0.965029</t>
    <phoneticPr fontId="3" type="noConversion"/>
  </si>
  <si>
    <t>&lt;0.892829</t>
    <phoneticPr fontId="3" type="noConversion"/>
  </si>
  <si>
    <t>光度</t>
    <phoneticPr fontId="3" type="noConversion"/>
  </si>
  <si>
    <t>另：恒星光度与分类关系如下表</t>
    <phoneticPr fontId="3" type="noConversion"/>
  </si>
  <si>
    <t>1.对A、B、O星以及对应的蓝巨来说，最大壳半径和最高光度近似成线性，但也只是近似而已，当光度&gt;2.1时，最大壳半径(au)/光度的斜率在0.61~0.58不等</t>
    <phoneticPr fontId="3" type="noConversion"/>
  </si>
  <si>
    <t>次级结论：</t>
    <phoneticPr fontId="3" type="noConversion"/>
  </si>
  <si>
    <t>斜率(au/l)</t>
    <phoneticPr fontId="3" type="noConversion"/>
  </si>
  <si>
    <t>最大壳半径(m)</t>
    <phoneticPr fontId="3" type="noConversion"/>
  </si>
  <si>
    <t>光度(l)</t>
    <phoneticPr fontId="3" type="noConversion"/>
  </si>
  <si>
    <t>ABO光度-理论最大半径表</t>
    <phoneticPr fontId="3" type="noConversion"/>
  </si>
  <si>
    <t>同时，如果最大球半径小于恒星物理半径的3倍，那么会被强制拉到恒星半径的3倍，不过这种情况只会发生在部分光度不足1.05的红巨上，其余恒星统统不会触发这个条件。因为红巨星的最大壳半径通常不是我们感兴趣的东西，而且把星球物理半径的生成计算加进来也太麻烦了，此处就没有处理这类特殊情况</t>
    <phoneticPr fontId="3" type="noConversion"/>
  </si>
  <si>
    <t>1~10</t>
    <phoneticPr fontId="3" type="noConversion"/>
  </si>
  <si>
    <t>1.6^0.33</t>
    <phoneticPr fontId="3" type="noConversion"/>
  </si>
  <si>
    <t>巨星</t>
    <phoneticPr fontId="3" type="noConversion"/>
  </si>
  <si>
    <t>得到理论最大球半径后，还需将理论半径四舍五入到整百数字，才是实际最大球半径</t>
    <phoneticPr fontId="3" type="noConversion"/>
  </si>
  <si>
    <t>0.8~1.2</t>
    <phoneticPr fontId="3" type="noConversion"/>
  </si>
  <si>
    <t>(0.04x)^0.33</t>
    <phoneticPr fontId="3" type="noConversion"/>
  </si>
  <si>
    <t>白矮星</t>
    <phoneticPr fontId="3" type="noConversion"/>
  </si>
  <si>
    <t>0.95~1.05</t>
    <phoneticPr fontId="3" type="noConversion"/>
  </si>
  <si>
    <t>1.5x</t>
    <phoneticPr fontId="3" type="noConversion"/>
  </si>
  <si>
    <t>(0.2x)^0.33</t>
    <phoneticPr fontId="3" type="noConversion"/>
  </si>
  <si>
    <t>中子星</t>
    <phoneticPr fontId="3" type="noConversion"/>
  </si>
  <si>
    <t>(0.001x)^0.33</t>
    <phoneticPr fontId="3" type="noConversion"/>
  </si>
  <si>
    <t>黑洞</t>
    <phoneticPr fontId="3" type="noConversion"/>
  </si>
  <si>
    <t>光度、戴森球半径首先通过一定计算生成且存在如上关系式，之后会通过恒星年龄来判断是否是巨星或死星(黑洞/中子星/白矮星)，变为巨星时，恒星光度直接变为生成为主序星时的1.6^0.33即约1.16778倍, 戴森球半径直接变为原来的3.3倍，其余变化会根据某个均匀分布的随机数乘以相应系数，具体如右</t>
    <phoneticPr fontId="3" type="noConversion"/>
  </si>
  <si>
    <t>参数x范围</t>
    <phoneticPr fontId="3" type="noConversion"/>
  </si>
  <si>
    <t>壳半径系数</t>
    <phoneticPr fontId="3" type="noConversion"/>
  </si>
  <si>
    <t>光度系数</t>
    <phoneticPr fontId="3" type="noConversion"/>
  </si>
  <si>
    <t>类型变化</t>
    <phoneticPr fontId="3" type="noConversion"/>
  </si>
  <si>
    <t>原光度→</t>
    <phoneticPr fontId="3" type="noConversion"/>
  </si>
  <si>
    <t>输入→</t>
    <phoneticPr fontId="3" type="noConversion"/>
  </si>
  <si>
    <t>相对温度系数</t>
    <phoneticPr fontId="3" type="noConversion"/>
  </si>
  <si>
    <t>巨星光度-半径计算器</t>
    <phoneticPr fontId="3" type="noConversion"/>
  </si>
  <si>
    <t>蓝巨光度-理论最大半径表</t>
    <phoneticPr fontId="3" type="noConversion"/>
  </si>
  <si>
    <t>主序星光度-半径计算器</t>
    <phoneticPr fontId="3" type="noConversion"/>
  </si>
  <si>
    <t>主序星光度(l)——理论最大球半径(au)公式：</t>
    <phoneticPr fontId="3" type="noConversion"/>
  </si>
  <si>
    <t>升交点经度=180°+原经度</t>
    <phoneticPr fontId="3" type="noConversion"/>
  </si>
  <si>
    <t>轨道倾角=180°-原倾角</t>
    <phoneticPr fontId="3" type="noConversion"/>
  </si>
  <si>
    <t>翻转太阳帆朝向公式：</t>
    <phoneticPr fontId="3"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</si>
  <si>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</si>
  <si>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3" type="noConversion"/>
  </si>
  <si>
    <t>轨道半径均为最大值</t>
    <phoneticPr fontId="3" type="noConversion"/>
  </si>
  <si>
    <t>180°</t>
    <phoneticPr fontId="3" type="noConversion"/>
  </si>
  <si>
    <t>90°</t>
    <phoneticPr fontId="3" type="noConversion"/>
  </si>
  <si>
    <t>太阳帆轨道4</t>
  </si>
  <si>
    <t>0°</t>
    <phoneticPr fontId="3" type="noConversion"/>
  </si>
  <si>
    <t>太阳帆轨道3</t>
  </si>
  <si>
    <t>太阳帆轨道2</t>
  </si>
  <si>
    <t>太阳帆轨道1</t>
    <phoneticPr fontId="3" type="noConversion"/>
  </si>
  <si>
    <t>升交点经度</t>
    <phoneticPr fontId="3" type="noConversion"/>
  </si>
  <si>
    <t>倾角</t>
    <phoneticPr fontId="3" type="noConversion"/>
  </si>
  <si>
    <t>如果是潮汐锁定，可以直接根据覆盖范围设置永久弹射区域，考虑到潮汐锁定星球轨道半径一般较小可以参照如下设置：</t>
    <phoneticPr fontId="3"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</si>
  <si>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3" type="noConversion"/>
  </si>
  <si>
    <t>无论是用mod还是正常游戏，都建议将太阳帆的轨道半径设置为最大，因为这样覆盖面积更广，不同轨道的重复覆盖区域差异也更大</t>
    <phoneticPr fontId="3" type="noConversion"/>
  </si>
  <si>
    <t>而如果使用了自动选择轨道mod，应将弹射器放在轨道尽量内侧的行星上，以获得更广的全目标点覆盖范围</t>
    <phoneticPr fontId="3" type="noConversion"/>
  </si>
  <si>
    <t>故对于正常游戏的轨道弹射器，应放在尽量远的行星上</t>
    <phoneticPr fontId="3" type="noConversion"/>
  </si>
  <si>
    <t>目标点离星球越远，可工作弹射器的范围越广，目标点无穷远时，可工作弹射器的覆盖范围相当于星球纬度30°~85°的区域面积的区域</t>
    <phoneticPr fontId="3" type="noConversion"/>
  </si>
  <si>
    <t>戴森云轨道设置与弹射器轨道选取建议：</t>
    <phoneticPr fontId="3" type="noConversion"/>
  </si>
  <si>
    <t>弹射器的目标点位置：(戴森云轨道法向量(右手定则)×地→日向量) 得到的向量与戴森云轨道的交点</t>
    <phoneticPr fontId="3" type="noConversion"/>
  </si>
  <si>
    <t>基础：弹射器满足发射条件的俯仰角范围：5°~60°</t>
    <phoneticPr fontId="3" type="noConversion"/>
  </si>
  <si>
    <t>其它星球</t>
    <phoneticPr fontId="3" type="noConversion"/>
  </si>
  <si>
    <t>火山灰、干旱荒漠、飓风石林</t>
    <phoneticPr fontId="3" type="noConversion"/>
  </si>
  <si>
    <t>冰原冻土、极寒冻土、猩红冰湖、橙晶荒漠</t>
    <phoneticPr fontId="3" type="noConversion"/>
  </si>
  <si>
    <t>灰烬冻土</t>
  </si>
  <si>
    <t>贫瘠荒漠</t>
  </si>
  <si>
    <t>注：此为带透镜时的高度角，若想计算无透镜时的高度角，则全当做是贫瘠荒漠看待(绿色代表可全球全功率接收)</t>
    <phoneticPr fontId="3" type="noConversion"/>
  </si>
  <si>
    <t>暖机最低太阳高度角</t>
    <phoneticPr fontId="3" type="noConversion"/>
  </si>
  <si>
    <t>全功率最低太阳高度角</t>
    <phoneticPr fontId="3" type="noConversion"/>
  </si>
  <si>
    <t>星球类型：</t>
  </si>
  <si>
    <t>接收范围计算器</t>
    <phoneticPr fontId="3" type="noConversion"/>
  </si>
  <si>
    <t>输入行星轨道半径(au)：</t>
    <phoneticPr fontId="3" type="noConversion"/>
  </si>
  <si>
    <t>输入戴森壳半径(m)：</t>
    <phoneticPr fontId="3" type="noConversion"/>
  </si>
  <si>
    <t>火山灰等</t>
    <phoneticPr fontId="3" type="noConversion"/>
  </si>
  <si>
    <t>冰原冻土等</t>
    <phoneticPr fontId="3" type="noConversion"/>
  </si>
  <si>
    <t>暖机轨壳比</t>
    <phoneticPr fontId="3" type="noConversion"/>
  </si>
  <si>
    <t>星球类型</t>
    <phoneticPr fontId="3" type="noConversion"/>
  </si>
  <si>
    <t>全功率轨壳比</t>
    <phoneticPr fontId="3" type="noConversion"/>
  </si>
  <si>
    <t>全球全天暖机最低壳轨半径比</t>
    <phoneticPr fontId="3" type="noConversion"/>
  </si>
  <si>
    <t>全球全功率接受最低壳轨半径比</t>
    <phoneticPr fontId="3" type="noConversion"/>
  </si>
  <si>
    <t>太阳高度角-90°</t>
    <phoneticPr fontId="3" type="noConversion"/>
  </si>
  <si>
    <t>加成系数i</t>
    <phoneticPr fontId="3" type="noConversion"/>
  </si>
  <si>
    <t>大气高度</t>
  </si>
  <si>
    <t>取反</t>
    <phoneticPr fontId="3" type="noConversion"/>
  </si>
  <si>
    <t>透镜加成系数i=sqrt(R^2-r^2)/R</t>
    <phoneticPr fontId="3" type="noConversion"/>
  </si>
  <si>
    <t>电离层（大气圈）有效半径：R=r+h*0.6</t>
  </si>
  <si>
    <t>接收站透镜加成系数公式：</t>
  </si>
  <si>
    <t>暖机接收效率提升：暖机可以降低射线损失率(1-接收效率)，损失率=原损失率*(1-0.4*暖机系数²)，最低将至原先的0.6</t>
    <phoneticPr fontId="3" type="noConversion"/>
  </si>
  <si>
    <t>最终请求量：直射强度系数*(1+暖机率*1.5)*透镜加成(2*(1+增产加速效果倍))*生产模式加成(直接发电=1,光子模式=8)*锅初始发电系数(6MW)</t>
    <phoneticPr fontId="3" type="noConversion"/>
  </si>
  <si>
    <t>持续接收系数增长（暖机）：(射线强度-0.75)*0.2 /min</t>
    <phoneticPr fontId="3" type="noConversion"/>
  </si>
  <si>
    <t>i为接收站透镜加成系数</t>
  </si>
  <si>
    <t>k为戴森球半径与行星轨道半径之比（戴森球半径为max{戴森壳半径，0.75*戴森云最大半径+0.25*戴森云平均半径}）</t>
  </si>
  <si>
    <t>v1·v2为行星中心分别到太阳中心与射线接受站位置方向的单位向量的点积，值同sin(θ)，θ为射线接收站所在地的太阳高度角</t>
  </si>
  <si>
    <t>其中：</t>
  </si>
  <si>
    <t>接收站射线强度公式：strenth=[(v1·v2)+k*0.8+i]*6+0.5 , strenth∈[0,1]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</si>
</sst>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11"/>
      <color theme="1"/>
      <name val="等线"/>
      <family val="2"/>
      <charset val="134"/>
      <scheme val="minor"/>
    </font>
    <font>
      <sz val="9"/>
      <name val="等线"/>
      <family val="3"/>
      <charset val="134"/>
      <scheme val="minor"/>
    </font>
    <font>
      <sz val="9"/>
      <name val="等线"/>
      <family val="2"/>
      <charset val="134"/>
      <scheme val="minor"/>
    </font>
    <font>
      <b/>
      <sz val="16"/>
      <color rgb="FFFF0000"/>
      <name val="等线"/>
      <family val="3"/>
      <charset val="134"/>
      <scheme val="minor"/>
    </font>
    <font>
      <b/>
      <sz val="14"/>
      <color rgb="FFFF0000"/>
      <name val="等线"/>
      <family val="3"/>
      <charset val="134"/>
      <scheme val="minor"/>
    </font>
    <font>
      <b/>
      <sz val="16"/>
      <color theme="1"/>
      <name val="等线"/>
      <family val="3"/>
      <charset val="134"/>
      <scheme val="minor"/>
    </font>
    <font>
      <sz val="11"/>
      <color theme="0" tint="-0.14999847407452621"/>
      <name val="等线"/>
      <family val="3"/>
      <charset val="134"/>
      <scheme val="minor"/>
    </font>
    <font>
      <sz val="11"/>
      <color theme="0" tint="-0.14999847407452621"/>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2">
    <xf numFmtId="0" fontId="0" fillId="0" borderId="0" xfId="0"/>
    <xf numFmtId="0" fontId="1" fillId="0" borderId="0" xfId="1">
      <alignment vertical="center"/>
    </xf>
    <xf numFmtId="0" fontId="1" fillId="0" borderId="0" xfId="1" applyAlignment="1">
      <alignment horizontal="left" vertical="center"/>
    </xf>
    <xf numFmtId="0" fontId="1" fillId="0" borderId="0" xfId="1" applyAlignment="1">
      <alignment horizontal="right" vertical="center"/>
    </xf>
    <xf numFmtId="0" fontId="7" fillId="0" borderId="0" xfId="1" applyFont="1">
      <alignment vertical="center"/>
    </xf>
    <xf numFmtId="0" fontId="8" fillId="0" borderId="0" xfId="1" applyFont="1">
      <alignment vertical="center"/>
    </xf>
    <xf numFmtId="0" fontId="1" fillId="0" borderId="0" xfId="1" applyAlignment="1">
      <alignment horizontal="center" vertical="center"/>
    </xf>
    <xf numFmtId="0" fontId="1" fillId="0" borderId="0" xfId="1" applyAlignment="1">
      <alignment horizontal="left" vertical="center"/>
    </xf>
    <xf numFmtId="0" fontId="1" fillId="0" borderId="0" xfId="1" applyAlignment="1">
      <alignment horizontal="left" vertical="top" wrapText="1"/>
    </xf>
    <xf numFmtId="0" fontId="4" fillId="0" borderId="0" xfId="1" applyFont="1" applyAlignment="1">
      <alignment horizontal="center" vertical="center"/>
    </xf>
    <xf numFmtId="0" fontId="5" fillId="0" borderId="0" xfId="1" applyFont="1" applyAlignment="1">
      <alignment horizontal="center" vertical="center"/>
    </xf>
    <xf numFmtId="0" fontId="6" fillId="0" borderId="0" xfId="1" applyFont="1" applyAlignment="1">
      <alignment horizontal="left" vertical="center" wrapText="1"/>
    </xf>
  </cellXfs>
  <cellStyles count="2">
    <cellStyle name="常规" xfId="0" builtinId="0"/>
    <cellStyle name="常规 2" xfId="1" xr:uid="{71E6FA5A-C6D6-4221-B4ED-B90B6F3ACAB8}"/>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2720</a:t>
            </a:r>
            <a:r>
              <a:rPr lang="zh-CN" altLang="en-US"/>
              <a:t>半径</a:t>
            </a:r>
            <a:r>
              <a:rPr lang="en-US" altLang="zh-CN"/>
              <a:t>-</a:t>
            </a:r>
            <a:r>
              <a:rPr lang="zh-CN" altLang="en-US"/>
              <a:t>细胞点数拟合</a:t>
            </a:r>
            <a:endParaRPr lang="en-US" altLang="zh-CN"/>
          </a:p>
        </c:rich>
      </c:tx>
      <c:layout>
        <c:manualLayout>
          <c:xMode val="edge"/>
          <c:yMode val="edge"/>
          <c:x val="0.2916666666666666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Vertex半径!$K$18:$K$32</c:f>
              <c:numCache>
                <c:formatCode>General</c:formatCode>
                <c:ptCount val="15"/>
                <c:pt idx="0">
                  <c:v>10000</c:v>
                </c:pt>
                <c:pt idx="1">
                  <c:v>13000</c:v>
                </c:pt>
                <c:pt idx="2">
                  <c:v>16000</c:v>
                </c:pt>
                <c:pt idx="3">
                  <c:v>19000</c:v>
                </c:pt>
                <c:pt idx="4">
                  <c:v>24000</c:v>
                </c:pt>
                <c:pt idx="5">
                  <c:v>29000</c:v>
                </c:pt>
                <c:pt idx="6">
                  <c:v>35000</c:v>
                </c:pt>
                <c:pt idx="7">
                  <c:v>40000</c:v>
                </c:pt>
                <c:pt idx="8">
                  <c:v>45000</c:v>
                </c:pt>
                <c:pt idx="9">
                  <c:v>50000</c:v>
                </c:pt>
                <c:pt idx="10">
                  <c:v>55000</c:v>
                </c:pt>
                <c:pt idx="11">
                  <c:v>65536</c:v>
                </c:pt>
                <c:pt idx="12">
                  <c:v>74400</c:v>
                </c:pt>
                <c:pt idx="13">
                  <c:v>86054</c:v>
                </c:pt>
                <c:pt idx="14">
                  <c:v>102000</c:v>
                </c:pt>
              </c:numCache>
            </c:numRef>
          </c:xVal>
          <c:yVal>
            <c:numRef>
              <c:f>Vertex半径!$L$18:$L$32</c:f>
              <c:numCache>
                <c:formatCode>General</c:formatCode>
                <c:ptCount val="15"/>
                <c:pt idx="0">
                  <c:v>869784</c:v>
                </c:pt>
                <c:pt idx="1">
                  <c:v>1245656</c:v>
                </c:pt>
                <c:pt idx="2">
                  <c:v>2124558</c:v>
                </c:pt>
                <c:pt idx="3">
                  <c:v>2725038</c:v>
                </c:pt>
                <c:pt idx="4">
                  <c:v>4502304</c:v>
                </c:pt>
                <c:pt idx="5">
                  <c:v>5732448</c:v>
                </c:pt>
                <c:pt idx="6">
                  <c:v>8533100</c:v>
                </c:pt>
                <c:pt idx="7">
                  <c:v>11540232</c:v>
                </c:pt>
                <c:pt idx="8">
                  <c:v>13667616</c:v>
                </c:pt>
                <c:pt idx="9">
                  <c:v>17190474</c:v>
                </c:pt>
                <c:pt idx="10">
                  <c:v>20481902</c:v>
                </c:pt>
                <c:pt idx="11">
                  <c:v>29465856</c:v>
                </c:pt>
                <c:pt idx="12">
                  <c:v>38073078</c:v>
                </c:pt>
                <c:pt idx="13">
                  <c:v>50129600</c:v>
                </c:pt>
                <c:pt idx="14">
                  <c:v>67907378</c:v>
                </c:pt>
              </c:numCache>
            </c:numRef>
          </c:yVal>
          <c:smooth val="0"/>
          <c:extLst>
            <c:ext xmlns:c16="http://schemas.microsoft.com/office/drawing/2014/chart" uri="{C3380CC4-5D6E-409C-BE32-E72D297353CC}">
              <c16:uniqueId val="{00000007-8B9F-47D6-8FFE-F1AB9477F500}"/>
            </c:ext>
          </c:extLst>
        </c:ser>
        <c:dLbls>
          <c:showLegendKey val="0"/>
          <c:showVal val="0"/>
          <c:showCatName val="0"/>
          <c:showSerName val="0"/>
          <c:showPercent val="0"/>
          <c:showBubbleSize val="0"/>
        </c:dLbls>
        <c:axId val="806033576"/>
        <c:axId val="806033216"/>
      </c:scatterChart>
      <c:valAx>
        <c:axId val="806033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6033216"/>
        <c:crosses val="autoZero"/>
        <c:crossBetween val="midCat"/>
      </c:valAx>
      <c:valAx>
        <c:axId val="8060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6033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450</a:t>
            </a:r>
            <a:r>
              <a:rPr lang="zh-CN" altLang="en-US"/>
              <a:t>半径</a:t>
            </a:r>
            <a:r>
              <a:rPr lang="en-US" altLang="zh-CN"/>
              <a:t>-</a:t>
            </a:r>
            <a:r>
              <a:rPr lang="zh-CN" altLang="en-US"/>
              <a:t>细胞点数拟合</a:t>
            </a:r>
            <a:endParaRPr lang="en-US" altLang="zh-CN"/>
          </a:p>
        </c:rich>
      </c:tx>
      <c:layout>
        <c:manualLayout>
          <c:xMode val="edge"/>
          <c:yMode val="edge"/>
          <c:x val="0.2888888888888888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linear"/>
            <c:dispRSqr val="0"/>
            <c:dispEq val="0"/>
          </c:trendline>
          <c:xVal>
            <c:numRef>
              <c:f>Vertex半径!$K$55:$K$71</c:f>
              <c:numCache>
                <c:formatCode>General</c:formatCode>
                <c:ptCount val="17"/>
                <c:pt idx="0">
                  <c:v>4564</c:v>
                </c:pt>
                <c:pt idx="1">
                  <c:v>7792</c:v>
                </c:pt>
                <c:pt idx="2">
                  <c:v>16700</c:v>
                </c:pt>
                <c:pt idx="3">
                  <c:v>25534</c:v>
                </c:pt>
                <c:pt idx="4">
                  <c:v>39285</c:v>
                </c:pt>
                <c:pt idx="5">
                  <c:v>46378</c:v>
                </c:pt>
                <c:pt idx="6">
                  <c:v>53652</c:v>
                </c:pt>
                <c:pt idx="7">
                  <c:v>74400</c:v>
                </c:pt>
                <c:pt idx="8">
                  <c:v>82000</c:v>
                </c:pt>
                <c:pt idx="9">
                  <c:v>92560</c:v>
                </c:pt>
                <c:pt idx="10">
                  <c:v>100000</c:v>
                </c:pt>
                <c:pt idx="11">
                  <c:v>105000</c:v>
                </c:pt>
                <c:pt idx="12">
                  <c:v>110000</c:v>
                </c:pt>
                <c:pt idx="13">
                  <c:v>120000</c:v>
                </c:pt>
                <c:pt idx="14">
                  <c:v>130000</c:v>
                </c:pt>
                <c:pt idx="15">
                  <c:v>144650</c:v>
                </c:pt>
                <c:pt idx="16">
                  <c:v>150000</c:v>
                </c:pt>
              </c:numCache>
            </c:numRef>
          </c:xVal>
          <c:yVal>
            <c:numRef>
              <c:f>Vertex半径!$L$55:$L$71</c:f>
              <c:numCache>
                <c:formatCode>General</c:formatCode>
                <c:ptCount val="17"/>
                <c:pt idx="0">
                  <c:v>109024</c:v>
                </c:pt>
                <c:pt idx="1">
                  <c:v>325600</c:v>
                </c:pt>
                <c:pt idx="2">
                  <c:v>1459152</c:v>
                </c:pt>
                <c:pt idx="3">
                  <c:v>3383552</c:v>
                </c:pt>
                <c:pt idx="4">
                  <c:v>8008416</c:v>
                </c:pt>
                <c:pt idx="5">
                  <c:v>11145312</c:v>
                </c:pt>
                <c:pt idx="6">
                  <c:v>14917560</c:v>
                </c:pt>
                <c:pt idx="7">
                  <c:v>28784808</c:v>
                </c:pt>
                <c:pt idx="8">
                  <c:v>34611200</c:v>
                </c:pt>
                <c:pt idx="9">
                  <c:v>44214368</c:v>
                </c:pt>
                <c:pt idx="10">
                  <c:v>51583752</c:v>
                </c:pt>
                <c:pt idx="11">
                  <c:v>56812032</c:v>
                </c:pt>
                <c:pt idx="12">
                  <c:v>62337600</c:v>
                </c:pt>
                <c:pt idx="13">
                  <c:v>73938852</c:v>
                </c:pt>
                <c:pt idx="14">
                  <c:v>86376416</c:v>
                </c:pt>
                <c:pt idx="15">
                  <c:v>107139600</c:v>
                </c:pt>
                <c:pt idx="16">
                  <c:v>115318800</c:v>
                </c:pt>
              </c:numCache>
            </c:numRef>
          </c:yVal>
          <c:smooth val="0"/>
          <c:extLst>
            <c:ext xmlns:c16="http://schemas.microsoft.com/office/drawing/2014/chart" uri="{C3380CC4-5D6E-409C-BE32-E72D297353CC}">
              <c16:uniqueId val="{00000006-5354-4D12-8EC2-F6B96C58222C}"/>
            </c:ext>
          </c:extLst>
        </c:ser>
        <c:dLbls>
          <c:showLegendKey val="0"/>
          <c:showVal val="0"/>
          <c:showCatName val="0"/>
          <c:showSerName val="0"/>
          <c:showPercent val="0"/>
          <c:showBubbleSize val="0"/>
        </c:dLbls>
        <c:axId val="806033576"/>
        <c:axId val="806033216"/>
      </c:scatterChart>
      <c:valAx>
        <c:axId val="806033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6033216"/>
        <c:crosses val="autoZero"/>
        <c:crossBetween val="midCat"/>
      </c:valAx>
      <c:valAx>
        <c:axId val="8060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6033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176212</xdr:colOff>
      <xdr:row>16</xdr:row>
      <xdr:rowOff>104775</xdr:rowOff>
    </xdr:from>
    <xdr:to>
      <xdr:col>23</xdr:col>
      <xdr:colOff>633412</xdr:colOff>
      <xdr:row>31</xdr:row>
      <xdr:rowOff>133350</xdr:rowOff>
    </xdr:to>
    <xdr:graphicFrame macro="">
      <xdr:nvGraphicFramePr>
        <xdr:cNvPr id="2" name="图表 1">
          <a:extLst>
            <a:ext uri="{FF2B5EF4-FFF2-40B4-BE49-F238E27FC236}">
              <a16:creationId xmlns:a16="http://schemas.microsoft.com/office/drawing/2014/main" id="{DE96F139-7777-4319-8CFF-0AC8A99CB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619125</xdr:colOff>
      <xdr:row>51</xdr:row>
      <xdr:rowOff>19050</xdr:rowOff>
    </xdr:from>
    <xdr:to>
      <xdr:col>23</xdr:col>
      <xdr:colOff>390525</xdr:colOff>
      <xdr:row>66</xdr:row>
      <xdr:rowOff>47625</xdr:rowOff>
    </xdr:to>
    <xdr:graphicFrame macro="">
      <xdr:nvGraphicFramePr>
        <xdr:cNvPr id="3" name="图表 2">
          <a:extLst>
            <a:ext uri="{FF2B5EF4-FFF2-40B4-BE49-F238E27FC236}">
              <a16:creationId xmlns:a16="http://schemas.microsoft.com/office/drawing/2014/main" id="{84F2C3A9-09B7-4308-A13F-46A313465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120015</xdr:rowOff>
    </xdr:from>
    <xdr:to>
      <xdr:col>12</xdr:col>
      <xdr:colOff>472440</xdr:colOff>
      <xdr:row>13</xdr:row>
      <xdr:rowOff>121920</xdr:rowOff>
    </xdr:to>
    <mc:AlternateContent xmlns:mc="http://schemas.openxmlformats.org/markup-compatibility/2006" xmlns:a14="http://schemas.microsoft.com/office/drawing/2010/main">
      <mc:Choice Requires="a14">
        <xdr:sp macro="" textlink="">
          <xdr:nvSpPr>
            <xdr:cNvPr id="2" name="文本框 1">
              <a:extLst>
                <a:ext uri="{FF2B5EF4-FFF2-40B4-BE49-F238E27FC236}">
                  <a16:creationId xmlns:a16="http://schemas.microsoft.com/office/drawing/2014/main" id="{7ADEFA10-62E8-49D8-9AE6-0768FEBE0A5D}"/>
                </a:ext>
              </a:extLst>
            </xdr:cNvPr>
            <xdr:cNvSpPr txBox="1"/>
          </xdr:nvSpPr>
          <xdr:spPr>
            <a:xfrm>
              <a:off x="76200" y="300990"/>
              <a:ext cx="9425940" cy="2173605"/>
            </a:xfrm>
            <a:prstGeom prst="rect">
              <a:avLst/>
            </a:prstGeom>
            <a:noFill/>
          </xdr:spPr>
          <xdr:txBody>
            <a:bodyPr wrap="square" lIns="0" tIns="0" rIns="0" bIns="0"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d>
                      <m:dPr>
                        <m:begChr m:val="{"/>
                        <m:endChr m:val=""/>
                        <m:ctrlPr>
                          <a:rPr lang="en-US" altLang="zh-CN" i="1">
                            <a:latin typeface="Cambria Math" panose="02040503050406030204" pitchFamily="18" charset="0"/>
                          </a:rPr>
                        </m:ctrlPr>
                      </m:dPr>
                      <m:e>
                        <m:eqArr>
                          <m:eqArrPr>
                            <m:ctrlPr>
                              <a:rPr lang="en-US" altLang="zh-CN" b="0" i="1">
                                <a:latin typeface="Cambria Math" panose="02040503050406030204" pitchFamily="18" charset="0"/>
                              </a:rPr>
                            </m:ctrlPr>
                          </m:eqArrPr>
                          <m:e>
                            <m:r>
                              <a:rPr lang="en-US" altLang="zh-CN" b="0" i="1">
                                <a:latin typeface="Cambria Math" panose="02040503050406030204" pitchFamily="18" charset="0"/>
                              </a:rPr>
                              <m:t>0.458908     , </m:t>
                            </m:r>
                            <m:r>
                              <a:rPr lang="en-US" altLang="zh-CN" b="0" i="1">
                                <a:latin typeface="Cambria Math" panose="02040503050406030204" pitchFamily="18" charset="0"/>
                              </a:rPr>
                              <m:t>𝑙</m:t>
                            </m:r>
                            <m:r>
                              <a:rPr lang="en-US" altLang="zh-CN" b="0" i="1">
                                <a:latin typeface="Cambria Math" panose="02040503050406030204" pitchFamily="18" charset="0"/>
                              </a:rPr>
                              <m:t>&lt;0.859048</m:t>
                            </m:r>
                          </m:e>
                          <m:e>
                            <m:r>
                              <a:rPr lang="en-US" altLang="zh-CN" b="0" i="1">
                                <a:latin typeface="Cambria Math" panose="02040503050406030204" pitchFamily="18" charset="0"/>
                              </a:rPr>
                              <m:t>0.336+0.220878</m:t>
                            </m:r>
                            <m:r>
                              <a:rPr lang="en-US" altLang="zh-CN" sz="1800" b="0" i="1" kern="1200">
                                <a:solidFill>
                                  <a:schemeClr val="tx1"/>
                                </a:solidFill>
                                <a:effectLst/>
                                <a:latin typeface="Cambria Math" panose="02040503050406030204" pitchFamily="18" charset="0"/>
                                <a:ea typeface="+mn-ea"/>
                                <a:cs typeface="+mn-cs"/>
                              </a:rPr>
                              <m:t>×</m:t>
                            </m:r>
                            <m:sSup>
                              <m:sSupPr>
                                <m:ctrlPr>
                                  <a:rPr lang="en-US" altLang="zh-CN" sz="1800" b="0" i="1" kern="1200">
                                    <a:solidFill>
                                      <a:schemeClr val="tx1"/>
                                    </a:solidFill>
                                    <a:effectLst/>
                                    <a:latin typeface="Cambria Math" panose="02040503050406030204" pitchFamily="18" charset="0"/>
                                    <a:ea typeface="+mn-ea"/>
                                    <a:cs typeface="+mn-cs"/>
                                  </a:rPr>
                                </m:ctrlPr>
                              </m:sSupPr>
                              <m:e>
                                <m:r>
                                  <a:rPr lang="en-US" altLang="zh-CN" sz="1800" b="0" i="1" kern="1200">
                                    <a:solidFill>
                                      <a:schemeClr val="tx1"/>
                                    </a:solidFill>
                                    <a:effectLst/>
                                    <a:latin typeface="Cambria Math" panose="02040503050406030204" pitchFamily="18" charset="0"/>
                                    <a:ea typeface="+mn-ea"/>
                                    <a:cs typeface="+mn-cs"/>
                                  </a:rPr>
                                  <m:t>(</m:t>
                                </m:r>
                                <m:sSup>
                                  <m:sSupPr>
                                    <m:ctrlPr>
                                      <a:rPr lang="en-US" altLang="zh-CN" sz="1800" b="0" i="1" kern="1200">
                                        <a:solidFill>
                                          <a:schemeClr val="tx1"/>
                                        </a:solidFill>
                                        <a:effectLst/>
                                        <a:latin typeface="Cambria Math" panose="02040503050406030204" pitchFamily="18" charset="0"/>
                                        <a:ea typeface="+mn-ea"/>
                                        <a:cs typeface="+mn-cs"/>
                                      </a:rPr>
                                    </m:ctrlPr>
                                  </m:sSupPr>
                                  <m:e>
                                    <m:r>
                                      <a:rPr lang="en-US" altLang="zh-CN" sz="1800" b="0" i="1" kern="1200">
                                        <a:solidFill>
                                          <a:schemeClr val="tx1"/>
                                        </a:solidFill>
                                        <a:effectLst/>
                                        <a:latin typeface="Cambria Math" panose="02040503050406030204" pitchFamily="18" charset="0"/>
                                        <a:ea typeface="+mn-ea"/>
                                        <a:cs typeface="+mn-cs"/>
                                      </a:rPr>
                                      <m:t>𝑙</m:t>
                                    </m:r>
                                  </m:e>
                                  <m:sup>
                                    <m:r>
                                      <a:rPr lang="en-US" altLang="zh-CN" sz="1800" b="0" i="1" kern="1200">
                                        <a:solidFill>
                                          <a:schemeClr val="tx1"/>
                                        </a:solidFill>
                                        <a:effectLst/>
                                        <a:latin typeface="Cambria Math" panose="02040503050406030204" pitchFamily="18" charset="0"/>
                                        <a:ea typeface="+mn-ea"/>
                                        <a:cs typeface="+mn-cs"/>
                                      </a:rPr>
                                      <m:t>2.424242+</m:t>
                                    </m:r>
                                    <m:f>
                                      <m:fPr>
                                        <m:ctrlPr>
                                          <a:rPr lang="en-US" altLang="zh-CN" sz="1800" b="0" i="1" kern="1200">
                                            <a:solidFill>
                                              <a:schemeClr val="tx1"/>
                                            </a:solidFill>
                                            <a:effectLst/>
                                            <a:latin typeface="Cambria Math" panose="02040503050406030204" pitchFamily="18" charset="0"/>
                                            <a:ea typeface="+mn-ea"/>
                                            <a:cs typeface="+mn-cs"/>
                                          </a:rPr>
                                        </m:ctrlPr>
                                      </m:fPr>
                                      <m:num>
                                        <m:r>
                                          <a:rPr lang="en-US" altLang="zh-CN" sz="1800" b="0" i="1" kern="1200">
                                            <a:solidFill>
                                              <a:schemeClr val="tx1"/>
                                            </a:solidFill>
                                            <a:effectLst/>
                                            <a:latin typeface="Cambria Math" panose="02040503050406030204" pitchFamily="18" charset="0"/>
                                            <a:ea typeface="+mn-ea"/>
                                            <a:cs typeface="+mn-cs"/>
                                          </a:rPr>
                                          <m:t>0.975417</m:t>
                                        </m:r>
                                      </m:num>
                                      <m:den>
                                        <m:func>
                                          <m:funcPr>
                                            <m:ctrlPr>
                                              <a:rPr lang="en-US" altLang="zh-CN" sz="1800" b="0" i="1" kern="1200">
                                                <a:solidFill>
                                                  <a:schemeClr val="tx1"/>
                                                </a:solidFill>
                                                <a:effectLst/>
                                                <a:latin typeface="Cambria Math" panose="02040503050406030204" pitchFamily="18" charset="0"/>
                                                <a:ea typeface="+mn-ea"/>
                                                <a:cs typeface="+mn-cs"/>
                                              </a:rPr>
                                            </m:ctrlPr>
                                          </m:funcPr>
                                          <m:fName>
                                            <m:r>
                                              <m:rPr>
                                                <m:sty m:val="p"/>
                                              </m:rPr>
                                              <a:rPr lang="en-US" altLang="zh-CN" sz="1800" b="0" i="0" kern="1200">
                                                <a:solidFill>
                                                  <a:schemeClr val="tx1"/>
                                                </a:solidFill>
                                                <a:effectLst/>
                                                <a:latin typeface="Cambria Math" panose="02040503050406030204" pitchFamily="18" charset="0"/>
                                                <a:ea typeface="+mn-ea"/>
                                                <a:cs typeface="+mn-cs"/>
                                              </a:rPr>
                                              <m:t>ln</m:t>
                                            </m:r>
                                          </m:fName>
                                          <m:e>
                                            <m:r>
                                              <a:rPr lang="en-US" altLang="zh-CN" sz="1800" b="0" i="1" kern="1200">
                                                <a:solidFill>
                                                  <a:schemeClr val="tx1"/>
                                                </a:solidFill>
                                                <a:effectLst/>
                                                <a:latin typeface="Cambria Math" panose="02040503050406030204" pitchFamily="18" charset="0"/>
                                                <a:ea typeface="+mn-ea"/>
                                                <a:cs typeface="+mn-cs"/>
                                              </a:rPr>
                                              <m:t>(</m:t>
                                            </m:r>
                                            <m:sSup>
                                              <m:sSupPr>
                                                <m:ctrlPr>
                                                  <a:rPr lang="en-US" altLang="zh-CN" sz="1800" b="0" i="1" kern="1200">
                                                    <a:solidFill>
                                                      <a:schemeClr val="tx1"/>
                                                    </a:solidFill>
                                                    <a:effectLst/>
                                                    <a:latin typeface="Cambria Math" panose="02040503050406030204" pitchFamily="18" charset="0"/>
                                                    <a:ea typeface="+mn-ea"/>
                                                    <a:cs typeface="+mn-cs"/>
                                                  </a:rPr>
                                                </m:ctrlPr>
                                              </m:sSupPr>
                                              <m:e>
                                                <m:r>
                                                  <a:rPr lang="en-US" altLang="zh-CN" sz="1800" b="0" i="1" kern="1200">
                                                    <a:solidFill>
                                                      <a:schemeClr val="tx1"/>
                                                    </a:solidFill>
                                                    <a:effectLst/>
                                                    <a:latin typeface="Cambria Math" panose="02040503050406030204" pitchFamily="18" charset="0"/>
                                                    <a:ea typeface="+mn-ea"/>
                                                    <a:cs typeface="+mn-cs"/>
                                                  </a:rPr>
                                                  <m:t>𝑙</m:t>
                                                </m:r>
                                              </m:e>
                                              <m:sup>
                                                <m:r>
                                                  <a:rPr lang="en-US" altLang="zh-CN" sz="1800" b="0" i="1" kern="1200">
                                                    <a:solidFill>
                                                      <a:schemeClr val="tx1"/>
                                                    </a:solidFill>
                                                    <a:effectLst/>
                                                    <a:latin typeface="Cambria Math" panose="02040503050406030204" pitchFamily="18" charset="0"/>
                                                    <a:ea typeface="+mn-ea"/>
                                                    <a:cs typeface="+mn-cs"/>
                                                  </a:rPr>
                                                  <m:t>4.329004</m:t>
                                                </m:r>
                                              </m:sup>
                                            </m:sSup>
                                            <m:r>
                                              <a:rPr lang="en-US" altLang="zh-CN" sz="1800" b="0" i="1" kern="1200">
                                                <a:solidFill>
                                                  <a:schemeClr val="tx1"/>
                                                </a:solidFill>
                                                <a:effectLst/>
                                                <a:latin typeface="Cambria Math" panose="02040503050406030204" pitchFamily="18" charset="0"/>
                                                <a:ea typeface="+mn-ea"/>
                                                <a:cs typeface="+mn-cs"/>
                                              </a:rPr>
                                              <m:t>+4)</m:t>
                                            </m:r>
                                          </m:e>
                                        </m:func>
                                      </m:den>
                                    </m:f>
                                  </m:sup>
                                </m:sSup>
                                <m:r>
                                  <a:rPr lang="en-US" altLang="zh-CN" sz="1800" b="0" i="1" kern="1200">
                                    <a:solidFill>
                                      <a:schemeClr val="tx1"/>
                                    </a:solidFill>
                                    <a:effectLst/>
                                    <a:latin typeface="Cambria Math" panose="02040503050406030204" pitchFamily="18" charset="0"/>
                                    <a:ea typeface="+mn-ea"/>
                                    <a:cs typeface="+mn-cs"/>
                                  </a:rPr>
                                  <m:t>)</m:t>
                                </m:r>
                              </m:e>
                              <m:sup>
                                <m:r>
                                  <a:rPr lang="en-US" altLang="zh-CN" sz="1800" b="0" i="1" kern="1200">
                                    <a:solidFill>
                                      <a:schemeClr val="tx1"/>
                                    </a:solidFill>
                                    <a:effectLst/>
                                    <a:latin typeface="Cambria Math" panose="02040503050406030204" pitchFamily="18" charset="0"/>
                                    <a:ea typeface="+mn-ea"/>
                                    <a:cs typeface="+mn-cs"/>
                                  </a:rPr>
                                  <m:t>1.256310</m:t>
                                </m:r>
                              </m:sup>
                            </m:sSup>
                            <m:r>
                              <a:rPr lang="en-US" altLang="zh-CN" b="0" i="1">
                                <a:latin typeface="Cambria Math" panose="02040503050406030204" pitchFamily="18" charset="0"/>
                                <a:ea typeface="Cambria Math" panose="02040503050406030204" pitchFamily="18" charset="0"/>
                              </a:rPr>
                              <m:t>,</m:t>
                            </m:r>
                            <m:r>
                              <a:rPr lang="en-US" altLang="zh-CN" sz="1800" b="0" i="1" kern="1200">
                                <a:solidFill>
                                  <a:schemeClr val="tx1"/>
                                </a:solidFill>
                                <a:effectLst/>
                                <a:latin typeface="Cambria Math" panose="02040503050406030204" pitchFamily="18" charset="0"/>
                                <a:ea typeface="+mn-ea"/>
                                <a:cs typeface="+mn-cs"/>
                              </a:rPr>
                              <m:t>0.859048</m:t>
                            </m:r>
                            <m:r>
                              <a:rPr lang="zh-CN" altLang="en-US" i="1">
                                <a:latin typeface="Cambria Math" panose="02040503050406030204" pitchFamily="18" charset="0"/>
                              </a:rPr>
                              <m:t>≤</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&lt;1.003696</m:t>
                            </m:r>
                          </m:e>
                          <m:e>
                            <m:r>
                              <a:rPr lang="en-US" altLang="zh-CN" b="0" i="1">
                                <a:latin typeface="Cambria Math" panose="02040503050406030204" pitchFamily="18" charset="0"/>
                              </a:rPr>
                              <m:t>0.552194</m:t>
                            </m:r>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2.424242+</m:t>
                                    </m:r>
                                    <m:f>
                                      <m:fPr>
                                        <m:ctrlPr>
                                          <a:rPr lang="en-US" altLang="zh-CN" b="0" i="1">
                                            <a:latin typeface="Cambria Math" panose="02040503050406030204" pitchFamily="18" charset="0"/>
                                            <a:ea typeface="Cambria Math" panose="02040503050406030204" pitchFamily="18" charset="0"/>
                                          </a:rPr>
                                        </m:ctrlPr>
                                      </m:fPr>
                                      <m:num>
                                        <m:r>
                                          <a:rPr lang="en-US" altLang="zh-CN" b="0" i="1">
                                            <a:latin typeface="Cambria Math" panose="02040503050406030204" pitchFamily="18" charset="0"/>
                                            <a:ea typeface="Cambria Math" panose="02040503050406030204" pitchFamily="18" charset="0"/>
                                          </a:rPr>
                                          <m:t>0.975417</m:t>
                                        </m:r>
                                      </m:num>
                                      <m:den>
                                        <m:func>
                                          <m:funcPr>
                                            <m:ctrlPr>
                                              <a:rPr lang="en-US" altLang="zh-CN" b="0" i="1">
                                                <a:latin typeface="Cambria Math" panose="02040503050406030204" pitchFamily="18" charset="0"/>
                                                <a:ea typeface="Cambria Math" panose="02040503050406030204" pitchFamily="18" charset="0"/>
                                              </a:rPr>
                                            </m:ctrlPr>
                                          </m:funcPr>
                                          <m:fName>
                                            <m:r>
                                              <m:rPr>
                                                <m:sty m:val="p"/>
                                              </m:rPr>
                                              <a:rPr lang="en-US" altLang="zh-CN" b="0" i="0">
                                                <a:latin typeface="Cambria Math" panose="02040503050406030204" pitchFamily="18" charset="0"/>
                                                <a:ea typeface="Cambria Math" panose="02040503050406030204" pitchFamily="18" charset="0"/>
                                              </a:rPr>
                                              <m:t>ln</m:t>
                                            </m:r>
                                          </m:fName>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4.329004</m:t>
                                                </m:r>
                                              </m:sup>
                                            </m:sSup>
                                            <m:r>
                                              <a:rPr lang="en-US" altLang="zh-CN" b="0" i="1">
                                                <a:latin typeface="Cambria Math" panose="02040503050406030204" pitchFamily="18" charset="0"/>
                                                <a:ea typeface="Cambria Math" panose="02040503050406030204" pitchFamily="18" charset="0"/>
                                              </a:rPr>
                                              <m:t>+4)</m:t>
                                            </m:r>
                                          </m:e>
                                        </m:func>
                                      </m:den>
                                    </m:f>
                                  </m:sup>
                                </m:sSup>
                                <m:r>
                                  <a:rPr lang="en-US" altLang="zh-CN" b="0" i="1">
                                    <a:latin typeface="Cambria Math" panose="02040503050406030204" pitchFamily="18" charset="0"/>
                                    <a:ea typeface="Cambria Math" panose="02040503050406030204" pitchFamily="18" charset="0"/>
                                  </a:rPr>
                                  <m:t>)</m:t>
                                </m:r>
                              </m:e>
                              <m:sup>
                                <m:r>
                                  <a:rPr lang="en-US" altLang="zh-CN" b="0" i="1">
                                    <a:latin typeface="Cambria Math" panose="02040503050406030204" pitchFamily="18" charset="0"/>
                                    <a:ea typeface="Cambria Math" panose="02040503050406030204" pitchFamily="18" charset="0"/>
                                  </a:rPr>
                                  <m:t>1.256310</m:t>
                                </m:r>
                              </m:sup>
                            </m:sSup>
                            <m:r>
                              <a:rPr lang="en-US" altLang="zh-CN" b="0" i="1">
                                <a:latin typeface="Cambria Math" panose="02040503050406030204" pitchFamily="18" charset="0"/>
                                <a:ea typeface="Cambria Math" panose="02040503050406030204" pitchFamily="18" charset="0"/>
                              </a:rPr>
                              <m:t>  ,1.003696</m:t>
                            </m:r>
                            <m:r>
                              <a:rPr lang="zh-CN" altLang="en-US" i="1">
                                <a:latin typeface="Cambria Math" panose="02040503050406030204" pitchFamily="18" charset="0"/>
                              </a:rPr>
                              <m:t>≤</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&lt;1.179172</m:t>
                            </m:r>
                          </m:e>
                          <m:e>
                            <m:r>
                              <a:rPr lang="en-US" altLang="zh-CN" b="0" i="1">
                                <a:latin typeface="Cambria Math" panose="02040503050406030204" pitchFamily="18" charset="0"/>
                              </a:rPr>
                              <m:t>0.875315</m:t>
                            </m:r>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2.424242+</m:t>
                                    </m:r>
                                    <m:f>
                                      <m:fPr>
                                        <m:ctrlPr>
                                          <a:rPr lang="en-US" altLang="zh-CN" b="0" i="1">
                                            <a:latin typeface="Cambria Math" panose="02040503050406030204" pitchFamily="18" charset="0"/>
                                            <a:ea typeface="Cambria Math" panose="02040503050406030204" pitchFamily="18" charset="0"/>
                                          </a:rPr>
                                        </m:ctrlPr>
                                      </m:fPr>
                                      <m:num>
                                        <m:r>
                                          <a:rPr lang="en-US" altLang="zh-CN" b="0" i="1">
                                            <a:latin typeface="Cambria Math" panose="02040503050406030204" pitchFamily="18" charset="0"/>
                                            <a:ea typeface="Cambria Math" panose="02040503050406030204" pitchFamily="18" charset="0"/>
                                          </a:rPr>
                                          <m:t>0.975417</m:t>
                                        </m:r>
                                      </m:num>
                                      <m:den>
                                        <m:func>
                                          <m:funcPr>
                                            <m:ctrlPr>
                                              <a:rPr lang="en-US" altLang="zh-CN" b="0" i="1">
                                                <a:latin typeface="Cambria Math" panose="02040503050406030204" pitchFamily="18" charset="0"/>
                                                <a:ea typeface="Cambria Math" panose="02040503050406030204" pitchFamily="18" charset="0"/>
                                              </a:rPr>
                                            </m:ctrlPr>
                                          </m:funcPr>
                                          <m:fName>
                                            <m:r>
                                              <m:rPr>
                                                <m:sty m:val="p"/>
                                              </m:rPr>
                                              <a:rPr lang="en-US" altLang="zh-CN" b="0" i="0">
                                                <a:latin typeface="Cambria Math" panose="02040503050406030204" pitchFamily="18" charset="0"/>
                                                <a:ea typeface="Cambria Math" panose="02040503050406030204" pitchFamily="18" charset="0"/>
                                              </a:rPr>
                                              <m:t>ln</m:t>
                                            </m:r>
                                          </m:fName>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4.329004</m:t>
                                                </m:r>
                                              </m:sup>
                                            </m:sSup>
                                            <m:r>
                                              <a:rPr lang="en-US" altLang="zh-CN" b="0" i="1">
                                                <a:latin typeface="Cambria Math" panose="02040503050406030204" pitchFamily="18" charset="0"/>
                                                <a:ea typeface="Cambria Math" panose="02040503050406030204" pitchFamily="18" charset="0"/>
                                              </a:rPr>
                                              <m:t>+4)</m:t>
                                            </m:r>
                                          </m:e>
                                        </m:func>
                                      </m:den>
                                    </m:f>
                                  </m:sup>
                                </m:sSup>
                                <m:r>
                                  <a:rPr lang="en-US" altLang="zh-CN" b="0" i="1">
                                    <a:latin typeface="Cambria Math" panose="02040503050406030204" pitchFamily="18" charset="0"/>
                                    <a:ea typeface="Cambria Math" panose="02040503050406030204" pitchFamily="18" charset="0"/>
                                  </a:rPr>
                                  <m:t>)</m:t>
                                </m:r>
                              </m:e>
                              <m:sup>
                                <m:r>
                                  <a:rPr lang="en-US" altLang="zh-CN" b="0" i="1">
                                    <a:latin typeface="Cambria Math" panose="02040503050406030204" pitchFamily="18" charset="0"/>
                                    <a:ea typeface="Cambria Math" panose="02040503050406030204" pitchFamily="18" charset="0"/>
                                  </a:rPr>
                                  <m:t>0.314077</m:t>
                                </m:r>
                              </m:sup>
                            </m:sSup>
                            <m:r>
                              <a:rPr lang="en-US" altLang="zh-CN" b="0" i="1">
                                <a:latin typeface="Cambria Math" panose="02040503050406030204" pitchFamily="18" charset="0"/>
                                <a:ea typeface="Cambria Math" panose="02040503050406030204" pitchFamily="18" charset="0"/>
                              </a:rPr>
                              <m:t>  ,1.179172</m:t>
                            </m:r>
                            <m:r>
                              <a:rPr lang="zh-CN" altLang="en-US" i="1">
                                <a:latin typeface="Cambria Math" panose="02040503050406030204" pitchFamily="18" charset="0"/>
                              </a:rPr>
                              <m:t>≤</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&lt;2.456765</m:t>
                            </m:r>
                          </m:e>
                          <m:e>
                            <m:r>
                              <a:rPr lang="en-US" altLang="zh-CN" b="0" i="1">
                                <a:latin typeface="Cambria Math" panose="02040503050406030204" pitchFamily="18" charset="0"/>
                                <a:ea typeface="Cambria Math" panose="02040503050406030204" pitchFamily="18" charset="0"/>
                              </a:rPr>
                              <m:t>1.860000    , </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≥2.456765</m:t>
                            </m:r>
                          </m:e>
                        </m:eqArr>
                      </m:e>
                    </m:d>
                  </m:oMath>
                </m:oMathPara>
              </a14:m>
              <a:endParaRPr lang="zh-CN" altLang="en-US"/>
            </a:p>
          </xdr:txBody>
        </xdr:sp>
      </mc:Choice>
      <mc:Fallback xmlns="">
        <xdr:sp macro="" textlink="">
          <xdr:nvSpPr>
            <xdr:cNvPr id="2" name="文本框 1">
              <a:extLst>
                <a:ext uri="{FF2B5EF4-FFF2-40B4-BE49-F238E27FC236}">
                  <a16:creationId xmlns:a16="http://schemas.microsoft.com/office/drawing/2014/main" id="{7ADEFA10-62E8-49D8-9AE6-0768FEBE0A5D}"/>
                </a:ext>
              </a:extLst>
            </xdr:cNvPr>
            <xdr:cNvSpPr txBox="1"/>
          </xdr:nvSpPr>
          <xdr:spPr>
            <a:xfrm>
              <a:off x="76200" y="300990"/>
              <a:ext cx="9425940" cy="2173605"/>
            </a:xfrm>
            <a:prstGeom prst="rect">
              <a:avLst/>
            </a:prstGeom>
            <a:noFill/>
          </xdr:spPr>
          <xdr:txBody>
            <a:bodyPr wrap="square" lIns="0" tIns="0" rIns="0" bIns="0"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altLang="zh-CN" i="0">
                  <a:latin typeface="Cambria Math" panose="02040503050406030204" pitchFamily="18" charset="0"/>
                </a:rPr>
                <a:t>{</a:t>
              </a:r>
              <a:r>
                <a:rPr lang="en-US" altLang="zh-CN" b="0" i="0">
                  <a:latin typeface="Cambria Math" panose="02040503050406030204" pitchFamily="18" charset="0"/>
                </a:rPr>
                <a:t>█(0.458908     , 𝑙&lt;0.859048@0.336+0.220878</a:t>
              </a:r>
              <a:r>
                <a:rPr lang="en-US" altLang="zh-CN" sz="1800" b="0" i="0" kern="1200">
                  <a:solidFill>
                    <a:schemeClr val="tx1"/>
                  </a:solidFill>
                  <a:effectLst/>
                  <a:latin typeface="Cambria Math" panose="02040503050406030204" pitchFamily="18" charset="0"/>
                  <a:ea typeface="+mn-ea"/>
                  <a:cs typeface="+mn-cs"/>
                </a:rPr>
                <a:t>×〖(𝑙^(2.424242+0.975417/ln⁡〖(𝑙^4.329004+4)〗 ))〗^1.256310</a:t>
              </a:r>
              <a:r>
                <a:rPr lang="en-US" altLang="zh-CN" b="0" i="0">
                  <a:latin typeface="Cambria Math" panose="02040503050406030204" pitchFamily="18" charset="0"/>
                  <a:ea typeface="Cambria Math" panose="02040503050406030204" pitchFamily="18" charset="0"/>
                </a:rPr>
                <a:t>,</a:t>
              </a:r>
              <a:r>
                <a:rPr lang="en-US" altLang="zh-CN" sz="1800" b="0" i="0" kern="1200">
                  <a:solidFill>
                    <a:schemeClr val="tx1"/>
                  </a:solidFill>
                  <a:effectLst/>
                  <a:latin typeface="Cambria Math" panose="02040503050406030204" pitchFamily="18" charset="0"/>
                  <a:ea typeface="+mn-ea"/>
                  <a:cs typeface="+mn-cs"/>
                </a:rPr>
                <a:t>0.859048</a:t>
              </a:r>
              <a:r>
                <a:rPr lang="zh-CN" altLang="en-US" i="0">
                  <a:latin typeface="Cambria Math" panose="02040503050406030204" pitchFamily="18" charset="0"/>
                </a:rPr>
                <a:t>≤</a:t>
              </a:r>
              <a:r>
                <a:rPr lang="en-US" altLang="zh-CN" b="0" i="0">
                  <a:latin typeface="Cambria Math" panose="02040503050406030204" pitchFamily="18" charset="0"/>
                  <a:ea typeface="Cambria Math" panose="02040503050406030204" pitchFamily="18" charset="0"/>
                </a:rPr>
                <a:t>𝑙&lt;1.003696@</a:t>
              </a:r>
              <a:r>
                <a:rPr lang="en-US" altLang="zh-CN" b="0" i="0">
                  <a:latin typeface="Cambria Math" panose="02040503050406030204" pitchFamily="18" charset="0"/>
                </a:rPr>
                <a:t>0.552194</a:t>
              </a:r>
              <a:r>
                <a:rPr lang="en-US" altLang="zh-CN" b="0" i="0">
                  <a:latin typeface="Cambria Math" panose="02040503050406030204" pitchFamily="18" charset="0"/>
                  <a:ea typeface="Cambria Math" panose="02040503050406030204" pitchFamily="18" charset="0"/>
                </a:rPr>
                <a:t>×〖(𝑙^(2.424242+0.975417/ln⁡〖(𝑙^4.329004+4)〗 ))〗^1.256310   ,1.003696</a:t>
              </a:r>
              <a:r>
                <a:rPr lang="zh-CN" altLang="en-US" i="0">
                  <a:latin typeface="Cambria Math" panose="02040503050406030204" pitchFamily="18" charset="0"/>
                </a:rPr>
                <a:t>≤</a:t>
              </a:r>
              <a:r>
                <a:rPr lang="en-US" altLang="zh-CN" b="0" i="0">
                  <a:latin typeface="Cambria Math" panose="02040503050406030204" pitchFamily="18" charset="0"/>
                  <a:ea typeface="Cambria Math" panose="02040503050406030204" pitchFamily="18" charset="0"/>
                </a:rPr>
                <a:t>𝑙&lt;1.179172@</a:t>
              </a:r>
              <a:r>
                <a:rPr lang="en-US" altLang="zh-CN" b="0" i="0">
                  <a:latin typeface="Cambria Math" panose="02040503050406030204" pitchFamily="18" charset="0"/>
                </a:rPr>
                <a:t>0.875315</a:t>
              </a:r>
              <a:r>
                <a:rPr lang="en-US" altLang="zh-CN" b="0" i="0">
                  <a:latin typeface="Cambria Math" panose="02040503050406030204" pitchFamily="18" charset="0"/>
                  <a:ea typeface="Cambria Math" panose="02040503050406030204" pitchFamily="18" charset="0"/>
                </a:rPr>
                <a:t>×〖(𝑙^(2.424242+0.975417/ln⁡〖(𝑙^4.329004+4)〗 ))〗^0.314077   ,1.179172</a:t>
              </a:r>
              <a:r>
                <a:rPr lang="zh-CN" altLang="en-US" i="0">
                  <a:latin typeface="Cambria Math" panose="02040503050406030204" pitchFamily="18" charset="0"/>
                </a:rPr>
                <a:t>≤</a:t>
              </a:r>
              <a:r>
                <a:rPr lang="en-US" altLang="zh-CN" b="0" i="0">
                  <a:latin typeface="Cambria Math" panose="02040503050406030204" pitchFamily="18" charset="0"/>
                  <a:ea typeface="Cambria Math" panose="02040503050406030204" pitchFamily="18" charset="0"/>
                </a:rPr>
                <a:t>𝑙&lt;2.456765@1.860000    , 𝑙≥2.456765)┤</a:t>
              </a:r>
              <a:endParaRPr lang="zh-CN" altLang="en-US"/>
            </a:p>
          </xdr:txBody>
        </xdr:sp>
      </mc:Fallback>
    </mc:AlternateContent>
    <xdr:clientData/>
  </xdr:twoCellAnchor>
  <xdr:oneCellAnchor>
    <xdr:from>
      <xdr:col>0</xdr:col>
      <xdr:colOff>0</xdr:colOff>
      <xdr:row>35</xdr:row>
      <xdr:rowOff>160020</xdr:rowOff>
    </xdr:from>
    <xdr:ext cx="9641071" cy="5835663"/>
    <xdr:pic>
      <xdr:nvPicPr>
        <xdr:cNvPr id="3" name="图片 2">
          <a:extLst>
            <a:ext uri="{FF2B5EF4-FFF2-40B4-BE49-F238E27FC236}">
              <a16:creationId xmlns:a16="http://schemas.microsoft.com/office/drawing/2014/main" id="{32510320-B3B3-4B4C-9376-BE41B0F349CD}"/>
            </a:ext>
          </a:extLst>
        </xdr:cNvPr>
        <xdr:cNvPicPr>
          <a:picLocks noChangeAspect="1"/>
        </xdr:cNvPicPr>
      </xdr:nvPicPr>
      <xdr:blipFill>
        <a:blip xmlns:r="http://schemas.openxmlformats.org/officeDocument/2006/relationships" r:embed="rId1"/>
        <a:stretch>
          <a:fillRect/>
        </a:stretch>
      </xdr:blipFill>
      <xdr:spPr>
        <a:xfrm>
          <a:off x="0" y="6494145"/>
          <a:ext cx="9641071" cy="58356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A1B35-DF7A-4233-A679-B19B00117017}">
  <dimension ref="A1:S74"/>
  <sheetViews>
    <sheetView tabSelected="1" topLeftCell="B1" workbookViewId="0">
      <selection activeCell="U40" sqref="U40"/>
    </sheetView>
  </sheetViews>
  <sheetFormatPr defaultRowHeight="14.25" x14ac:dyDescent="0.2"/>
  <cols>
    <col min="1" max="1" width="18.125" style="1" customWidth="1"/>
    <col min="2" max="2" width="21.75" style="1" customWidth="1"/>
    <col min="3" max="4" width="9" style="1"/>
    <col min="5" max="5" width="22" style="1" customWidth="1"/>
    <col min="6" max="6" width="13" style="1" bestFit="1" customWidth="1"/>
    <col min="7" max="7" width="17.25" style="1" customWidth="1"/>
    <col min="8" max="8" width="13.75" style="1" customWidth="1"/>
    <col min="9" max="9" width="9.5" style="1" bestFit="1" customWidth="1"/>
    <col min="10" max="10" width="14.125" style="1" bestFit="1" customWidth="1"/>
    <col min="11" max="11" width="11.375" style="1" bestFit="1" customWidth="1"/>
    <col min="12" max="12" width="10.5" style="1" bestFit="1" customWidth="1"/>
    <col min="13" max="13" width="9" style="1"/>
    <col min="14" max="14" width="12.375" style="1" customWidth="1"/>
    <col min="15" max="15" width="16.875" style="1" customWidth="1"/>
    <col min="16" max="16" width="15.5" style="1" customWidth="1"/>
    <col min="17" max="16384" width="9" style="1"/>
  </cols>
  <sheetData>
    <row r="1" spans="1:19" ht="14.25" customHeight="1" x14ac:dyDescent="0.2">
      <c r="A1" s="8" t="s">
        <v>27</v>
      </c>
      <c r="B1" s="8"/>
      <c r="C1" s="8"/>
      <c r="D1" s="8"/>
      <c r="E1" s="8"/>
      <c r="F1" s="8"/>
      <c r="G1" s="8"/>
      <c r="H1" s="8"/>
      <c r="I1" s="8"/>
      <c r="K1" s="8" t="s">
        <v>26</v>
      </c>
      <c r="L1" s="8"/>
      <c r="M1" s="8"/>
      <c r="N1" s="8"/>
      <c r="O1" s="8"/>
      <c r="P1" s="8"/>
      <c r="Q1" s="8"/>
      <c r="R1" s="8"/>
      <c r="S1" s="8"/>
    </row>
    <row r="2" spans="1:19" x14ac:dyDescent="0.2">
      <c r="A2" s="8"/>
      <c r="B2" s="8"/>
      <c r="C2" s="8"/>
      <c r="D2" s="8"/>
      <c r="E2" s="8"/>
      <c r="F2" s="8"/>
      <c r="G2" s="8"/>
      <c r="H2" s="8"/>
      <c r="I2" s="8"/>
      <c r="K2" s="8"/>
      <c r="L2" s="8"/>
      <c r="M2" s="8"/>
      <c r="N2" s="8"/>
      <c r="O2" s="8"/>
      <c r="P2" s="8"/>
      <c r="Q2" s="8"/>
      <c r="R2" s="8"/>
      <c r="S2" s="8"/>
    </row>
    <row r="3" spans="1:19" x14ac:dyDescent="0.2">
      <c r="A3" s="8"/>
      <c r="B3" s="8"/>
      <c r="C3" s="8"/>
      <c r="D3" s="8"/>
      <c r="E3" s="8"/>
      <c r="F3" s="8"/>
      <c r="G3" s="8"/>
      <c r="H3" s="8"/>
      <c r="I3" s="8"/>
      <c r="K3" s="8"/>
      <c r="L3" s="8"/>
      <c r="M3" s="8"/>
      <c r="N3" s="8"/>
      <c r="O3" s="8"/>
      <c r="P3" s="8"/>
      <c r="Q3" s="8"/>
      <c r="R3" s="8"/>
      <c r="S3" s="8"/>
    </row>
    <row r="4" spans="1:19" x14ac:dyDescent="0.2">
      <c r="A4" s="8"/>
      <c r="B4" s="8"/>
      <c r="C4" s="8"/>
      <c r="D4" s="8"/>
      <c r="E4" s="8"/>
      <c r="F4" s="8"/>
      <c r="G4" s="8"/>
      <c r="H4" s="8"/>
      <c r="I4" s="8"/>
      <c r="K4" s="8"/>
      <c r="L4" s="8"/>
      <c r="M4" s="8"/>
      <c r="N4" s="8"/>
      <c r="O4" s="8"/>
      <c r="P4" s="8"/>
      <c r="Q4" s="8"/>
      <c r="R4" s="8"/>
      <c r="S4" s="8"/>
    </row>
    <row r="5" spans="1:19" x14ac:dyDescent="0.2">
      <c r="A5" s="7" t="s">
        <v>25</v>
      </c>
      <c r="B5" s="7"/>
      <c r="C5" s="7"/>
      <c r="D5" s="7"/>
      <c r="E5" s="7"/>
      <c r="F5" s="7"/>
      <c r="G5" s="7"/>
      <c r="H5" s="7"/>
      <c r="I5" s="7"/>
      <c r="K5" s="8"/>
      <c r="L5" s="8"/>
      <c r="M5" s="8"/>
      <c r="N5" s="8"/>
      <c r="O5" s="8"/>
      <c r="P5" s="8"/>
      <c r="Q5" s="8"/>
      <c r="R5" s="8"/>
      <c r="S5" s="8"/>
    </row>
    <row r="6" spans="1:19" x14ac:dyDescent="0.2">
      <c r="A6" s="7" t="s">
        <v>24</v>
      </c>
      <c r="B6" s="7"/>
      <c r="C6" s="7"/>
      <c r="D6" s="7"/>
      <c r="E6" s="7"/>
      <c r="F6" s="7"/>
      <c r="G6" s="7"/>
      <c r="H6" s="7"/>
      <c r="I6" s="7"/>
    </row>
    <row r="7" spans="1:19" x14ac:dyDescent="0.2">
      <c r="A7" s="2" t="s">
        <v>23</v>
      </c>
      <c r="B7" s="2"/>
      <c r="C7" s="2"/>
      <c r="D7" s="2"/>
      <c r="K7" s="1" t="s">
        <v>22</v>
      </c>
    </row>
    <row r="8" spans="1:19" x14ac:dyDescent="0.2">
      <c r="A8" s="1" t="s">
        <v>21</v>
      </c>
      <c r="B8" s="1" t="s">
        <v>20</v>
      </c>
      <c r="K8" s="1" t="s">
        <v>19</v>
      </c>
    </row>
    <row r="9" spans="1:19" x14ac:dyDescent="0.2">
      <c r="A9" s="1">
        <v>1</v>
      </c>
      <c r="B9" s="1">
        <f t="shared" ref="B9:B40" si="0">POWER((A9-0.5),4/3)*4000</f>
        <v>1587.4010519681997</v>
      </c>
      <c r="K9" s="1" t="s">
        <v>18</v>
      </c>
    </row>
    <row r="10" spans="1:19" x14ac:dyDescent="0.2">
      <c r="A10" s="1">
        <v>2</v>
      </c>
      <c r="B10" s="1">
        <f t="shared" si="0"/>
        <v>6868.2854553199904</v>
      </c>
    </row>
    <row r="11" spans="1:19" x14ac:dyDescent="0.2">
      <c r="A11" s="1">
        <v>3</v>
      </c>
      <c r="B11" s="1">
        <f t="shared" si="0"/>
        <v>13572.088082974533</v>
      </c>
    </row>
    <row r="12" spans="1:19" x14ac:dyDescent="0.2">
      <c r="A12" s="1">
        <v>4</v>
      </c>
      <c r="B12" s="1">
        <f t="shared" si="0"/>
        <v>21256.122803129638</v>
      </c>
    </row>
    <row r="13" spans="1:19" x14ac:dyDescent="0.2">
      <c r="A13" s="1">
        <v>5</v>
      </c>
      <c r="B13" s="1">
        <f t="shared" si="0"/>
        <v>29717.345240051643</v>
      </c>
    </row>
    <row r="14" spans="1:19" x14ac:dyDescent="0.2">
      <c r="A14" s="1">
        <v>6</v>
      </c>
      <c r="B14" s="1">
        <f t="shared" si="0"/>
        <v>38833.831688586688</v>
      </c>
    </row>
    <row r="15" spans="1:19" x14ac:dyDescent="0.2">
      <c r="A15" s="1">
        <v>7</v>
      </c>
      <c r="B15" s="1">
        <f t="shared" si="0"/>
        <v>48522.645038624221</v>
      </c>
    </row>
    <row r="16" spans="1:19" x14ac:dyDescent="0.2">
      <c r="A16" s="1">
        <v>8</v>
      </c>
      <c r="B16" s="1">
        <f t="shared" si="0"/>
        <v>58723.014617532943</v>
      </c>
      <c r="E16" s="1" t="s">
        <v>17</v>
      </c>
      <c r="F16" s="1" t="s">
        <v>16</v>
      </c>
      <c r="K16" s="1" t="s">
        <v>15</v>
      </c>
    </row>
    <row r="17" spans="1:16" x14ac:dyDescent="0.2">
      <c r="A17" s="1">
        <v>9</v>
      </c>
      <c r="B17" s="1">
        <f t="shared" si="0"/>
        <v>69388.136732594896</v>
      </c>
      <c r="E17" s="1">
        <f t="shared" ref="E17:E31" si="1">$H$17*POWER(K18,2.75)+$H$18*K18*K18+$H$19*K18+$H$20</f>
        <v>3875400</v>
      </c>
      <c r="F17" s="1">
        <f t="shared" ref="F17:F31" si="2">(E17-L18)*(E17-L18)</f>
        <v>9033727539456</v>
      </c>
      <c r="G17" s="1" t="s">
        <v>12</v>
      </c>
      <c r="H17" s="1">
        <v>0</v>
      </c>
      <c r="K17" s="1" t="s">
        <v>5</v>
      </c>
      <c r="L17" s="1" t="s">
        <v>4</v>
      </c>
      <c r="M17" s="1" t="s">
        <v>3</v>
      </c>
      <c r="N17" s="1" t="s">
        <v>2</v>
      </c>
      <c r="O17" s="1" t="s">
        <v>1</v>
      </c>
      <c r="P17" s="1" t="s">
        <v>0</v>
      </c>
    </row>
    <row r="18" spans="1:16" x14ac:dyDescent="0.2">
      <c r="A18" s="1">
        <v>10</v>
      </c>
      <c r="B18" s="1">
        <f t="shared" si="0"/>
        <v>80480.648100842969</v>
      </c>
      <c r="E18" s="1">
        <f t="shared" si="1"/>
        <v>4363200</v>
      </c>
      <c r="F18" s="1">
        <f t="shared" si="2"/>
        <v>9719080591936</v>
      </c>
      <c r="G18" s="1" t="s">
        <v>11</v>
      </c>
      <c r="H18" s="1">
        <v>6.1999999999999998E-3</v>
      </c>
      <c r="K18" s="1">
        <v>10000</v>
      </c>
      <c r="L18" s="1">
        <v>869784</v>
      </c>
      <c r="M18" s="1">
        <v>244820</v>
      </c>
      <c r="N18" s="1">
        <f t="shared" ref="N18:N51" si="3">M18-2720*30</f>
        <v>163220</v>
      </c>
      <c r="O18" s="1">
        <f t="shared" ref="O18:O51" si="4">N18/K18</f>
        <v>16.321999999999999</v>
      </c>
      <c r="P18" s="1">
        <f t="shared" ref="P18:P51" si="5">N18/8034</f>
        <v>20.316156335573812</v>
      </c>
    </row>
    <row r="19" spans="1:16" x14ac:dyDescent="0.2">
      <c r="A19" s="1">
        <v>11</v>
      </c>
      <c r="B19" s="1">
        <f t="shared" si="0"/>
        <v>91969.901937645656</v>
      </c>
      <c r="E19" s="1">
        <f t="shared" si="1"/>
        <v>4962600</v>
      </c>
      <c r="F19" s="1">
        <f t="shared" si="2"/>
        <v>8054482393764</v>
      </c>
      <c r="G19" s="1" t="s">
        <v>10</v>
      </c>
      <c r="H19" s="1">
        <v>20</v>
      </c>
      <c r="K19" s="1">
        <v>13000</v>
      </c>
      <c r="L19" s="1">
        <v>1245656</v>
      </c>
      <c r="M19" s="1">
        <v>402960</v>
      </c>
      <c r="N19" s="1">
        <f t="shared" si="3"/>
        <v>321360</v>
      </c>
      <c r="O19" s="1">
        <f t="shared" si="4"/>
        <v>24.72</v>
      </c>
      <c r="P19" s="1">
        <f t="shared" si="5"/>
        <v>40</v>
      </c>
    </row>
    <row r="20" spans="1:16" x14ac:dyDescent="0.2">
      <c r="A20" s="1">
        <v>12</v>
      </c>
      <c r="B20" s="1">
        <f t="shared" si="0"/>
        <v>103830.22101590202</v>
      </c>
      <c r="E20" s="1">
        <f t="shared" si="1"/>
        <v>5673600</v>
      </c>
      <c r="F20" s="1">
        <f t="shared" si="2"/>
        <v>8694017867844</v>
      </c>
      <c r="G20" s="1" t="s">
        <v>14</v>
      </c>
      <c r="H20" s="1">
        <v>3055400</v>
      </c>
      <c r="K20" s="1">
        <v>16000</v>
      </c>
      <c r="L20" s="1">
        <v>2124558</v>
      </c>
      <c r="M20" s="1">
        <v>404080</v>
      </c>
      <c r="N20" s="1">
        <f t="shared" si="3"/>
        <v>322480</v>
      </c>
      <c r="O20" s="1">
        <f t="shared" si="4"/>
        <v>20.155000000000001</v>
      </c>
      <c r="P20" s="1">
        <f t="shared" si="5"/>
        <v>40.139407518048294</v>
      </c>
    </row>
    <row r="21" spans="1:16" x14ac:dyDescent="0.2">
      <c r="A21" s="1">
        <v>13</v>
      </c>
      <c r="B21" s="1">
        <f t="shared" si="0"/>
        <v>116039.72084031951</v>
      </c>
      <c r="E21" s="1">
        <f t="shared" si="1"/>
        <v>7106600</v>
      </c>
      <c r="F21" s="1">
        <f t="shared" si="2"/>
        <v>6782357655616</v>
      </c>
      <c r="K21" s="1">
        <v>19000</v>
      </c>
      <c r="L21" s="1">
        <v>2725038</v>
      </c>
      <c r="M21" s="1">
        <v>411020</v>
      </c>
      <c r="N21" s="1">
        <f t="shared" si="3"/>
        <v>329420</v>
      </c>
      <c r="O21" s="1">
        <f t="shared" si="4"/>
        <v>17.337894736842106</v>
      </c>
      <c r="P21" s="1">
        <f t="shared" si="5"/>
        <v>41.003236245954696</v>
      </c>
    </row>
    <row r="22" spans="1:16" x14ac:dyDescent="0.2">
      <c r="A22" s="1">
        <v>14</v>
      </c>
      <c r="B22" s="1">
        <f t="shared" si="0"/>
        <v>128579.48520942412</v>
      </c>
      <c r="E22" s="1">
        <f t="shared" si="1"/>
        <v>8849600</v>
      </c>
      <c r="F22" s="1">
        <f t="shared" si="2"/>
        <v>9716636591104</v>
      </c>
      <c r="K22" s="1">
        <v>24000</v>
      </c>
      <c r="L22" s="1">
        <v>4502304</v>
      </c>
      <c r="M22" s="1">
        <v>567100</v>
      </c>
      <c r="N22" s="1">
        <f t="shared" si="3"/>
        <v>485500</v>
      </c>
      <c r="O22" s="1">
        <f t="shared" si="4"/>
        <v>20.229166666666668</v>
      </c>
      <c r="P22" s="1">
        <f t="shared" si="5"/>
        <v>60.430669653970625</v>
      </c>
    </row>
    <row r="23" spans="1:16" x14ac:dyDescent="0.2">
      <c r="A23" s="1">
        <v>15</v>
      </c>
      <c r="B23" s="1">
        <f t="shared" si="0"/>
        <v>141432.96987112606</v>
      </c>
      <c r="E23" s="1">
        <f t="shared" si="1"/>
        <v>11350400</v>
      </c>
      <c r="F23" s="1">
        <f t="shared" si="2"/>
        <v>7937179290000</v>
      </c>
      <c r="K23" s="1">
        <v>29000</v>
      </c>
      <c r="L23" s="1">
        <v>5732448</v>
      </c>
      <c r="M23" s="1">
        <v>602240</v>
      </c>
      <c r="N23" s="1">
        <f t="shared" si="3"/>
        <v>520640</v>
      </c>
      <c r="O23" s="1">
        <f t="shared" si="4"/>
        <v>17.953103448275861</v>
      </c>
      <c r="P23" s="1">
        <f t="shared" si="5"/>
        <v>64.804580532735869</v>
      </c>
    </row>
    <row r="24" spans="1:16" x14ac:dyDescent="0.2">
      <c r="A24" s="1">
        <v>16</v>
      </c>
      <c r="B24" s="1">
        <f t="shared" si="0"/>
        <v>154585.55951939797</v>
      </c>
      <c r="E24" s="1">
        <f t="shared" si="1"/>
        <v>13775400</v>
      </c>
      <c r="F24" s="1">
        <f t="shared" si="2"/>
        <v>4995975988224</v>
      </c>
      <c r="K24" s="1">
        <v>35000</v>
      </c>
      <c r="L24" s="1">
        <v>8533100</v>
      </c>
      <c r="M24" s="1">
        <v>736820</v>
      </c>
      <c r="N24" s="1">
        <f t="shared" si="3"/>
        <v>655220</v>
      </c>
      <c r="O24" s="1">
        <f t="shared" si="4"/>
        <v>18.720571428571429</v>
      </c>
      <c r="P24" s="1">
        <f t="shared" si="5"/>
        <v>81.555887478217571</v>
      </c>
    </row>
    <row r="25" spans="1:16" x14ac:dyDescent="0.2">
      <c r="A25" s="1">
        <v>17</v>
      </c>
      <c r="B25" s="1">
        <f t="shared" si="0"/>
        <v>168024.2311987631</v>
      </c>
      <c r="E25" s="1">
        <f t="shared" si="1"/>
        <v>16510400</v>
      </c>
      <c r="F25" s="1">
        <f t="shared" si="2"/>
        <v>8081420870656</v>
      </c>
      <c r="K25" s="1">
        <v>40000</v>
      </c>
      <c r="L25" s="1">
        <v>11540232</v>
      </c>
      <c r="M25" s="1">
        <v>890080</v>
      </c>
      <c r="N25" s="1">
        <f t="shared" si="3"/>
        <v>808480</v>
      </c>
      <c r="O25" s="1">
        <f t="shared" si="4"/>
        <v>20.212</v>
      </c>
      <c r="P25" s="1">
        <f t="shared" si="5"/>
        <v>100.63231267114762</v>
      </c>
    </row>
    <row r="26" spans="1:16" x14ac:dyDescent="0.2">
      <c r="A26" s="1">
        <v>18</v>
      </c>
      <c r="B26" s="1">
        <f t="shared" si="0"/>
        <v>181737.29356478871</v>
      </c>
      <c r="E26" s="1">
        <f t="shared" si="1"/>
        <v>19555400</v>
      </c>
      <c r="F26" s="1">
        <f t="shared" si="2"/>
        <v>5592874985476</v>
      </c>
      <c r="G26" s="1" t="s">
        <v>13</v>
      </c>
      <c r="H26" s="1">
        <f>SUM(F17:F31)</f>
        <v>90645672234434.188</v>
      </c>
      <c r="K26" s="1">
        <v>45000</v>
      </c>
      <c r="L26" s="1">
        <v>13667616</v>
      </c>
      <c r="M26" s="1">
        <v>917280</v>
      </c>
      <c r="N26" s="1">
        <f t="shared" si="3"/>
        <v>835680</v>
      </c>
      <c r="O26" s="1">
        <f t="shared" si="4"/>
        <v>18.570666666666668</v>
      </c>
      <c r="P26" s="1">
        <f t="shared" si="5"/>
        <v>104.01792382374907</v>
      </c>
    </row>
    <row r="27" spans="1:16" x14ac:dyDescent="0.2">
      <c r="A27" s="1">
        <v>19</v>
      </c>
      <c r="B27" s="1">
        <f t="shared" si="0"/>
        <v>195714.18148968558</v>
      </c>
      <c r="E27" s="1">
        <f t="shared" si="1"/>
        <v>22910400</v>
      </c>
      <c r="F27" s="1">
        <f t="shared" si="2"/>
        <v>5897602536004</v>
      </c>
      <c r="K27" s="1">
        <v>50000</v>
      </c>
      <c r="L27" s="1">
        <v>17190474</v>
      </c>
      <c r="M27" s="1">
        <v>1057880</v>
      </c>
      <c r="N27" s="1">
        <f t="shared" si="3"/>
        <v>976280</v>
      </c>
      <c r="O27" s="1">
        <f t="shared" si="4"/>
        <v>19.525600000000001</v>
      </c>
      <c r="P27" s="1">
        <f t="shared" si="5"/>
        <v>121.51854617874035</v>
      </c>
    </row>
    <row r="28" spans="1:16" x14ac:dyDescent="0.2">
      <c r="A28" s="1">
        <v>20</v>
      </c>
      <c r="B28" s="1">
        <f t="shared" si="0"/>
        <v>209945.29187140396</v>
      </c>
      <c r="E28" s="1">
        <f t="shared" si="1"/>
        <v>30994917.235199999</v>
      </c>
      <c r="F28" s="1">
        <f t="shared" si="2"/>
        <v>2338028260991.3467</v>
      </c>
      <c r="K28" s="1">
        <v>55000</v>
      </c>
      <c r="L28" s="1">
        <v>20481902</v>
      </c>
      <c r="M28" s="1">
        <v>1213100</v>
      </c>
      <c r="N28" s="1">
        <f t="shared" si="3"/>
        <v>1131500</v>
      </c>
      <c r="O28" s="1">
        <f t="shared" si="4"/>
        <v>20.572727272727274</v>
      </c>
      <c r="P28" s="1">
        <f t="shared" si="5"/>
        <v>140.83893452825492</v>
      </c>
    </row>
    <row r="29" spans="1:16" x14ac:dyDescent="0.2">
      <c r="A29" s="1">
        <v>21</v>
      </c>
      <c r="B29" s="1">
        <f t="shared" si="0"/>
        <v>224421.8506667355</v>
      </c>
      <c r="E29" s="1">
        <f t="shared" si="1"/>
        <v>38862632</v>
      </c>
      <c r="F29" s="1">
        <f t="shared" si="2"/>
        <v>623395518916</v>
      </c>
      <c r="K29" s="1">
        <v>65536</v>
      </c>
      <c r="L29" s="1">
        <v>29465856</v>
      </c>
      <c r="M29" s="1">
        <v>1380960</v>
      </c>
      <c r="N29" s="1">
        <f t="shared" si="3"/>
        <v>1299360</v>
      </c>
      <c r="O29" s="1">
        <f t="shared" si="4"/>
        <v>19.82666015625</v>
      </c>
      <c r="P29" s="1">
        <f t="shared" si="5"/>
        <v>161.73263629574311</v>
      </c>
    </row>
    <row r="30" spans="1:16" x14ac:dyDescent="0.2">
      <c r="A30" s="1">
        <v>22</v>
      </c>
      <c r="B30" s="1">
        <f t="shared" si="0"/>
        <v>239135.80396041309</v>
      </c>
      <c r="E30" s="1">
        <f t="shared" si="1"/>
        <v>50689283.679200001</v>
      </c>
      <c r="F30" s="1">
        <f t="shared" si="2"/>
        <v>313245820762.84967</v>
      </c>
      <c r="K30" s="1">
        <v>74400</v>
      </c>
      <c r="L30" s="1">
        <v>38073078</v>
      </c>
      <c r="M30" s="1">
        <v>1546180</v>
      </c>
      <c r="N30" s="1">
        <f t="shared" si="3"/>
        <v>1464580</v>
      </c>
      <c r="O30" s="1">
        <f t="shared" si="4"/>
        <v>19.685215053763439</v>
      </c>
      <c r="P30" s="1">
        <f t="shared" si="5"/>
        <v>182.29773462783172</v>
      </c>
    </row>
    <row r="31" spans="1:16" x14ac:dyDescent="0.2">
      <c r="A31" s="1">
        <v>23</v>
      </c>
      <c r="B31" s="1">
        <f t="shared" si="0"/>
        <v>254079.7277978776</v>
      </c>
      <c r="E31" s="1">
        <f t="shared" si="1"/>
        <v>69600200</v>
      </c>
      <c r="F31" s="1">
        <f t="shared" si="2"/>
        <v>2865646323684</v>
      </c>
      <c r="K31" s="1">
        <v>86054</v>
      </c>
      <c r="L31" s="1">
        <v>50129600</v>
      </c>
      <c r="M31" s="1">
        <v>1729320</v>
      </c>
      <c r="N31" s="1">
        <f t="shared" si="3"/>
        <v>1647720</v>
      </c>
      <c r="O31" s="1">
        <f t="shared" si="4"/>
        <v>19.147512027331675</v>
      </c>
      <c r="P31" s="1">
        <f t="shared" si="5"/>
        <v>205.09335324869306</v>
      </c>
    </row>
    <row r="32" spans="1:16" x14ac:dyDescent="0.2">
      <c r="A32" s="1">
        <v>24</v>
      </c>
      <c r="B32" s="1">
        <f t="shared" si="0"/>
        <v>269246.75285117462</v>
      </c>
      <c r="K32" s="1">
        <v>102000</v>
      </c>
      <c r="L32" s="1">
        <v>67907378</v>
      </c>
      <c r="M32" s="1">
        <v>2050460</v>
      </c>
      <c r="N32" s="1">
        <f t="shared" si="3"/>
        <v>1968860</v>
      </c>
      <c r="O32" s="1">
        <f t="shared" si="4"/>
        <v>19.302549019607842</v>
      </c>
      <c r="P32" s="1">
        <f t="shared" si="5"/>
        <v>245.06596962907642</v>
      </c>
    </row>
    <row r="33" spans="1:16" x14ac:dyDescent="0.2">
      <c r="A33" s="1">
        <v>25</v>
      </c>
      <c r="B33" s="1">
        <f t="shared" si="0"/>
        <v>284630.50094462157</v>
      </c>
      <c r="F33" s="1" t="s">
        <v>5</v>
      </c>
      <c r="G33" s="1" t="s">
        <v>12</v>
      </c>
      <c r="H33" s="1" t="s">
        <v>11</v>
      </c>
      <c r="I33" s="1" t="s">
        <v>10</v>
      </c>
      <c r="J33" s="1" t="s">
        <v>9</v>
      </c>
      <c r="K33" s="1">
        <v>232000</v>
      </c>
      <c r="L33" s="1">
        <v>327958470</v>
      </c>
      <c r="M33" s="1">
        <v>4647600</v>
      </c>
      <c r="N33" s="1">
        <f t="shared" si="3"/>
        <v>4566000</v>
      </c>
      <c r="O33" s="1">
        <f t="shared" si="4"/>
        <v>19.681034482758619</v>
      </c>
      <c r="P33" s="1">
        <f t="shared" si="5"/>
        <v>568.3345780433159</v>
      </c>
    </row>
    <row r="34" spans="1:16" x14ac:dyDescent="0.2">
      <c r="A34" s="1">
        <v>26</v>
      </c>
      <c r="B34" s="1">
        <f t="shared" si="0"/>
        <v>300225.0311610499</v>
      </c>
      <c r="E34" s="1" t="s">
        <v>8</v>
      </c>
      <c r="F34" s="1">
        <v>232000</v>
      </c>
      <c r="G34" s="1">
        <v>5.1149999999999998E-3</v>
      </c>
      <c r="H34" s="1">
        <v>12.5</v>
      </c>
      <c r="I34" s="1">
        <v>2858</v>
      </c>
      <c r="J34" s="1">
        <f>G34*F34*F34+ROUND(POWER(F34/4000,0.75),0)*H34*F34+I34*ROUND(POWER(F34/4000,0.75),0)</f>
        <v>336269777.99999994</v>
      </c>
      <c r="K34" s="1">
        <v>4000</v>
      </c>
      <c r="L34" s="1">
        <v>134698</v>
      </c>
      <c r="M34" s="1">
        <v>242280</v>
      </c>
      <c r="N34" s="1">
        <f t="shared" si="3"/>
        <v>160680</v>
      </c>
      <c r="O34" s="1">
        <f t="shared" si="4"/>
        <v>40.17</v>
      </c>
      <c r="P34" s="1">
        <f t="shared" si="5"/>
        <v>20</v>
      </c>
    </row>
    <row r="35" spans="1:16" x14ac:dyDescent="0.2">
      <c r="A35" s="1">
        <v>27</v>
      </c>
      <c r="B35" s="1">
        <f t="shared" si="0"/>
        <v>316024.79376041569</v>
      </c>
      <c r="G35" s="1">
        <v>5.0045000000000003E-3</v>
      </c>
      <c r="H35" s="1">
        <v>15.75</v>
      </c>
      <c r="I35" s="1">
        <v>30</v>
      </c>
      <c r="J35" s="1">
        <f>G35*F34*F34+ROUND(POWER(F34/4000,0.75),0)*H35*F34+I35*ROUND(POWER(F34/4000,0.75),0)</f>
        <v>346096838</v>
      </c>
      <c r="K35" s="1">
        <v>5000</v>
      </c>
      <c r="L35" s="1">
        <v>217446</v>
      </c>
      <c r="M35" s="1">
        <v>242280</v>
      </c>
      <c r="N35" s="1">
        <f t="shared" si="3"/>
        <v>160680</v>
      </c>
      <c r="O35" s="1">
        <f t="shared" si="4"/>
        <v>32.136000000000003</v>
      </c>
      <c r="P35" s="1">
        <f t="shared" si="5"/>
        <v>20</v>
      </c>
    </row>
    <row r="36" spans="1:16" x14ac:dyDescent="0.2">
      <c r="A36" s="1">
        <v>28</v>
      </c>
      <c r="B36" s="1">
        <f t="shared" si="0"/>
        <v>332024.59052387282</v>
      </c>
      <c r="K36" s="1">
        <v>6000</v>
      </c>
      <c r="L36" s="1">
        <v>281394</v>
      </c>
      <c r="M36" s="1">
        <v>242280</v>
      </c>
      <c r="N36" s="1">
        <f t="shared" si="3"/>
        <v>160680</v>
      </c>
      <c r="O36" s="1">
        <f t="shared" si="4"/>
        <v>26.78</v>
      </c>
      <c r="P36" s="1">
        <f t="shared" si="5"/>
        <v>20</v>
      </c>
    </row>
    <row r="37" spans="1:16" x14ac:dyDescent="0.2">
      <c r="A37" s="1">
        <v>29</v>
      </c>
      <c r="B37" s="1">
        <f t="shared" si="0"/>
        <v>348219.54042450758</v>
      </c>
      <c r="E37" s="1" t="s">
        <v>7</v>
      </c>
      <c r="F37" s="1">
        <v>150000</v>
      </c>
      <c r="G37" s="1">
        <v>5.0045000000000003E-3</v>
      </c>
      <c r="H37" s="1">
        <v>1.2849999999999999</v>
      </c>
      <c r="I37" s="1">
        <v>2</v>
      </c>
      <c r="J37" s="1">
        <f>G37*F37*F37+ROUND(POWER(F37/4000,0.75),0)*H37*F37+I37*ROUND(POWER(F37/4000,0.75),0)</f>
        <v>115492530.00000001</v>
      </c>
      <c r="K37" s="1">
        <v>7000</v>
      </c>
      <c r="L37" s="1">
        <v>475848</v>
      </c>
      <c r="M37" s="1">
        <v>242280</v>
      </c>
      <c r="N37" s="1">
        <f t="shared" si="3"/>
        <v>160680</v>
      </c>
      <c r="O37" s="1">
        <f t="shared" si="4"/>
        <v>22.954285714285714</v>
      </c>
      <c r="P37" s="1">
        <f t="shared" si="5"/>
        <v>20</v>
      </c>
    </row>
    <row r="38" spans="1:16" x14ac:dyDescent="0.2">
      <c r="A38" s="1">
        <v>30</v>
      </c>
      <c r="B38" s="1">
        <f t="shared" si="0"/>
        <v>364605.04974607297</v>
      </c>
      <c r="K38" s="1">
        <v>8000</v>
      </c>
      <c r="L38" s="1">
        <v>538792</v>
      </c>
      <c r="M38" s="1">
        <v>242280</v>
      </c>
      <c r="N38" s="1">
        <f t="shared" si="3"/>
        <v>160680</v>
      </c>
      <c r="O38" s="1">
        <f t="shared" si="4"/>
        <v>20.085000000000001</v>
      </c>
      <c r="P38" s="1">
        <f t="shared" si="5"/>
        <v>20</v>
      </c>
    </row>
    <row r="39" spans="1:16" x14ac:dyDescent="0.2">
      <c r="A39" s="1">
        <v>31</v>
      </c>
      <c r="B39" s="1">
        <f t="shared" si="0"/>
        <v>381176.78594110068</v>
      </c>
      <c r="K39" s="1">
        <v>9000</v>
      </c>
      <c r="L39" s="1">
        <v>696480</v>
      </c>
      <c r="M39" s="1">
        <v>242300</v>
      </c>
      <c r="N39" s="1">
        <f t="shared" si="3"/>
        <v>160700</v>
      </c>
      <c r="O39" s="1">
        <f t="shared" si="4"/>
        <v>17.855555555555554</v>
      </c>
      <c r="P39" s="1">
        <f t="shared" si="5"/>
        <v>20.002489419965148</v>
      </c>
    </row>
    <row r="40" spans="1:16" x14ac:dyDescent="0.2">
      <c r="A40" s="1">
        <v>32</v>
      </c>
      <c r="B40" s="1">
        <f t="shared" si="0"/>
        <v>397930.6546523518</v>
      </c>
      <c r="K40" s="1">
        <v>10000</v>
      </c>
      <c r="L40" s="1">
        <v>869784</v>
      </c>
      <c r="M40" s="1">
        <v>244820</v>
      </c>
      <c r="N40" s="1">
        <f t="shared" si="3"/>
        <v>163220</v>
      </c>
      <c r="O40" s="1">
        <f t="shared" si="4"/>
        <v>16.321999999999999</v>
      </c>
      <c r="P40" s="1">
        <f t="shared" si="5"/>
        <v>20.316156335573812</v>
      </c>
    </row>
    <row r="41" spans="1:16" x14ac:dyDescent="0.2">
      <c r="A41" s="1">
        <v>33</v>
      </c>
      <c r="B41" s="1">
        <f t="shared" ref="B41:B72" si="6">POWER((A41-0.5),4/3)*4000</f>
        <v>414862.77942589379</v>
      </c>
      <c r="K41" s="1">
        <v>11000</v>
      </c>
      <c r="L41" s="1">
        <v>983344</v>
      </c>
      <c r="M41" s="1">
        <v>2476740</v>
      </c>
      <c r="N41" s="1">
        <f t="shared" si="3"/>
        <v>2395140</v>
      </c>
      <c r="O41" s="1">
        <f t="shared" si="4"/>
        <v>217.74</v>
      </c>
      <c r="P41" s="1">
        <f t="shared" si="5"/>
        <v>298.12546676624345</v>
      </c>
    </row>
    <row r="42" spans="1:16" x14ac:dyDescent="0.2">
      <c r="A42" s="1">
        <v>34</v>
      </c>
      <c r="B42" s="1">
        <f t="shared" si="6"/>
        <v>431969.48372688325</v>
      </c>
      <c r="K42" s="1">
        <v>12000</v>
      </c>
      <c r="L42" s="1">
        <v>1125576</v>
      </c>
      <c r="M42" s="1">
        <v>261240</v>
      </c>
      <c r="N42" s="1">
        <f t="shared" si="3"/>
        <v>179640</v>
      </c>
      <c r="O42" s="1">
        <f t="shared" si="4"/>
        <v>14.97</v>
      </c>
      <c r="P42" s="1">
        <f t="shared" si="5"/>
        <v>22.35997012696042</v>
      </c>
    </row>
    <row r="43" spans="1:16" x14ac:dyDescent="0.2">
      <c r="A43" s="1">
        <v>35</v>
      </c>
      <c r="B43" s="1">
        <f t="shared" si="6"/>
        <v>449247.27493532398</v>
      </c>
      <c r="K43" s="1">
        <v>13000</v>
      </c>
      <c r="L43" s="1">
        <v>1245656</v>
      </c>
      <c r="M43" s="1">
        <v>402960</v>
      </c>
      <c r="N43" s="1">
        <f t="shared" si="3"/>
        <v>321360</v>
      </c>
      <c r="O43" s="1">
        <f t="shared" si="4"/>
        <v>24.72</v>
      </c>
      <c r="P43" s="1">
        <f t="shared" si="5"/>
        <v>40</v>
      </c>
    </row>
    <row r="44" spans="1:16" x14ac:dyDescent="0.2">
      <c r="A44" s="1">
        <v>36</v>
      </c>
      <c r="B44" s="1">
        <f t="shared" si="6"/>
        <v>466692.83005241223</v>
      </c>
      <c r="K44" s="1">
        <v>14000</v>
      </c>
      <c r="L44" s="1">
        <v>1700766</v>
      </c>
      <c r="M44" s="1">
        <v>402960</v>
      </c>
      <c r="N44" s="1">
        <f t="shared" si="3"/>
        <v>321360</v>
      </c>
      <c r="O44" s="1">
        <f t="shared" si="4"/>
        <v>22.954285714285714</v>
      </c>
      <c r="P44" s="1">
        <f t="shared" si="5"/>
        <v>40</v>
      </c>
    </row>
    <row r="45" spans="1:16" x14ac:dyDescent="0.2">
      <c r="A45" s="1">
        <v>37</v>
      </c>
      <c r="B45" s="1">
        <f t="shared" si="6"/>
        <v>484302.98289132741</v>
      </c>
      <c r="K45" s="1">
        <v>15000</v>
      </c>
      <c r="L45" s="1">
        <v>1957014</v>
      </c>
      <c r="M45" s="1">
        <v>402980</v>
      </c>
      <c r="N45" s="1">
        <f t="shared" si="3"/>
        <v>321380</v>
      </c>
      <c r="O45" s="1">
        <f t="shared" si="4"/>
        <v>21.425333333333334</v>
      </c>
      <c r="P45" s="1">
        <f t="shared" si="5"/>
        <v>40.002489419965151</v>
      </c>
    </row>
    <row r="46" spans="1:16" x14ac:dyDescent="0.2">
      <c r="A46" s="1">
        <v>38</v>
      </c>
      <c r="B46" s="1">
        <f t="shared" si="6"/>
        <v>502074.71256162698</v>
      </c>
      <c r="K46" s="1">
        <v>16000</v>
      </c>
      <c r="L46" s="1">
        <v>2124558</v>
      </c>
      <c r="M46" s="1">
        <v>404080</v>
      </c>
      <c r="N46" s="1">
        <f t="shared" si="3"/>
        <v>322480</v>
      </c>
      <c r="O46" s="1">
        <f t="shared" si="4"/>
        <v>20.155000000000001</v>
      </c>
      <c r="P46" s="1">
        <f t="shared" si="5"/>
        <v>40.139407518048294</v>
      </c>
    </row>
    <row r="47" spans="1:16" x14ac:dyDescent="0.2">
      <c r="A47" s="1">
        <v>39</v>
      </c>
      <c r="B47" s="1">
        <f t="shared" si="6"/>
        <v>520005.13308542431</v>
      </c>
      <c r="K47" s="1">
        <v>17000</v>
      </c>
      <c r="L47" s="1">
        <v>2308680</v>
      </c>
      <c r="M47" s="1">
        <v>406140</v>
      </c>
      <c r="N47" s="1">
        <f t="shared" si="3"/>
        <v>324540</v>
      </c>
      <c r="O47" s="1">
        <f t="shared" si="4"/>
        <v>19.090588235294117</v>
      </c>
      <c r="P47" s="1">
        <f t="shared" si="5"/>
        <v>40.39581777445855</v>
      </c>
    </row>
    <row r="48" spans="1:16" x14ac:dyDescent="0.2">
      <c r="A48" s="1">
        <v>40</v>
      </c>
      <c r="B48" s="1">
        <f t="shared" si="6"/>
        <v>538091.48400743725</v>
      </c>
      <c r="K48" s="1">
        <v>18000</v>
      </c>
      <c r="L48" s="1">
        <v>2532546</v>
      </c>
      <c r="M48" s="1">
        <v>407620</v>
      </c>
      <c r="N48" s="1">
        <f t="shared" si="3"/>
        <v>326020</v>
      </c>
      <c r="O48" s="1">
        <f t="shared" si="4"/>
        <v>18.112222222222222</v>
      </c>
      <c r="P48" s="1">
        <f t="shared" si="5"/>
        <v>40.58003485187951</v>
      </c>
    </row>
    <row r="49" spans="1:16" x14ac:dyDescent="0.2">
      <c r="A49" s="1">
        <v>41</v>
      </c>
      <c r="B49" s="1">
        <f t="shared" si="6"/>
        <v>556331.12188091886</v>
      </c>
      <c r="K49" s="1">
        <v>19000</v>
      </c>
      <c r="L49" s="1">
        <v>2725038</v>
      </c>
      <c r="M49" s="1">
        <v>411020</v>
      </c>
      <c r="N49" s="1">
        <f t="shared" si="3"/>
        <v>329420</v>
      </c>
      <c r="O49" s="1">
        <f t="shared" si="4"/>
        <v>17.337894736842106</v>
      </c>
      <c r="P49" s="1">
        <f t="shared" si="5"/>
        <v>41.003236245954696</v>
      </c>
    </row>
    <row r="50" spans="1:16" x14ac:dyDescent="0.2">
      <c r="A50" s="1">
        <v>42</v>
      </c>
      <c r="B50" s="1">
        <f t="shared" si="6"/>
        <v>574721.51252804417</v>
      </c>
      <c r="K50" s="1">
        <v>20000</v>
      </c>
      <c r="L50" s="1">
        <v>2885058</v>
      </c>
      <c r="M50" s="1">
        <v>421940</v>
      </c>
      <c r="N50" s="1">
        <f t="shared" si="3"/>
        <v>340340</v>
      </c>
      <c r="O50" s="1">
        <f t="shared" si="4"/>
        <v>17.016999999999999</v>
      </c>
      <c r="P50" s="1">
        <f t="shared" si="5"/>
        <v>42.362459546925564</v>
      </c>
    </row>
    <row r="51" spans="1:16" x14ac:dyDescent="0.2">
      <c r="A51" s="1">
        <v>43</v>
      </c>
      <c r="B51" s="1">
        <f t="shared" si="6"/>
        <v>593260.22398725559</v>
      </c>
      <c r="K51" s="1">
        <v>21000</v>
      </c>
      <c r="L51" s="1">
        <v>3071898</v>
      </c>
      <c r="M51" s="1">
        <v>563660</v>
      </c>
      <c r="N51" s="1">
        <f t="shared" si="3"/>
        <v>482060</v>
      </c>
      <c r="O51" s="1">
        <f t="shared" si="4"/>
        <v>22.955238095238094</v>
      </c>
      <c r="P51" s="1">
        <f t="shared" si="5"/>
        <v>60.002489419965151</v>
      </c>
    </row>
    <row r="52" spans="1:16" x14ac:dyDescent="0.2">
      <c r="A52" s="1">
        <v>44</v>
      </c>
      <c r="B52" s="1">
        <f t="shared" si="6"/>
        <v>611944.92007179616</v>
      </c>
    </row>
    <row r="53" spans="1:16" x14ac:dyDescent="0.2">
      <c r="A53" s="1">
        <v>45</v>
      </c>
      <c r="B53" s="1">
        <f t="shared" si="6"/>
        <v>630773.35447356722</v>
      </c>
      <c r="K53" s="1" t="s">
        <v>6</v>
      </c>
    </row>
    <row r="54" spans="1:16" x14ac:dyDescent="0.2">
      <c r="A54" s="1">
        <v>46</v>
      </c>
      <c r="B54" s="1">
        <f t="shared" si="6"/>
        <v>649743.36535486137</v>
      </c>
      <c r="K54" s="1" t="s">
        <v>5</v>
      </c>
      <c r="L54" s="1" t="s">
        <v>4</v>
      </c>
      <c r="M54" s="1" t="s">
        <v>3</v>
      </c>
      <c r="N54" s="1" t="s">
        <v>2</v>
      </c>
      <c r="O54" s="1" t="s">
        <v>1</v>
      </c>
      <c r="P54" s="1" t="s">
        <v>0</v>
      </c>
    </row>
    <row r="55" spans="1:16" x14ac:dyDescent="0.2">
      <c r="A55" s="1">
        <v>47</v>
      </c>
      <c r="B55" s="1">
        <f t="shared" si="6"/>
        <v>668852.87037774571</v>
      </c>
      <c r="K55" s="1">
        <v>4564</v>
      </c>
      <c r="L55" s="1">
        <v>109024</v>
      </c>
      <c r="M55" s="1">
        <v>23100</v>
      </c>
      <c r="N55" s="1">
        <f t="shared" ref="N55:N71" si="7">M55-450*30</f>
        <v>9600</v>
      </c>
      <c r="O55" s="1">
        <f t="shared" ref="O55:O71" si="8">N55/K55</f>
        <v>2.1034180543382996</v>
      </c>
      <c r="P55" s="1">
        <f t="shared" ref="P55:P71" si="9">N55/450/1.066666666</f>
        <v>20.000000012499999</v>
      </c>
    </row>
    <row r="56" spans="1:16" x14ac:dyDescent="0.2">
      <c r="A56" s="1">
        <v>48</v>
      </c>
      <c r="B56" s="1">
        <f t="shared" si="6"/>
        <v>688099.86212696484</v>
      </c>
      <c r="K56" s="1">
        <v>7792</v>
      </c>
      <c r="L56" s="1">
        <v>325600</v>
      </c>
      <c r="M56" s="1">
        <v>23100</v>
      </c>
      <c r="N56" s="1">
        <f t="shared" si="7"/>
        <v>9600</v>
      </c>
      <c r="O56" s="1">
        <f t="shared" si="8"/>
        <v>1.2320328542094456</v>
      </c>
      <c r="P56" s="1">
        <f t="shared" si="9"/>
        <v>20.000000012499999</v>
      </c>
    </row>
    <row r="57" spans="1:16" x14ac:dyDescent="0.2">
      <c r="A57" s="1">
        <v>49</v>
      </c>
      <c r="B57" s="1">
        <f t="shared" si="6"/>
        <v>707482.40388756141</v>
      </c>
      <c r="K57" s="1">
        <v>16700</v>
      </c>
      <c r="L57" s="1">
        <v>1459152</v>
      </c>
      <c r="M57" s="1">
        <v>32700</v>
      </c>
      <c r="N57" s="1">
        <f t="shared" si="7"/>
        <v>19200</v>
      </c>
      <c r="O57" s="1">
        <f t="shared" si="8"/>
        <v>1.1497005988023952</v>
      </c>
      <c r="P57" s="1">
        <f t="shared" si="9"/>
        <v>40.000000024999999</v>
      </c>
    </row>
    <row r="58" spans="1:16" x14ac:dyDescent="0.2">
      <c r="A58" s="1">
        <v>50</v>
      </c>
      <c r="B58" s="1">
        <f t="shared" si="6"/>
        <v>726998.62574294605</v>
      </c>
      <c r="K58" s="1">
        <v>25534</v>
      </c>
      <c r="L58" s="1">
        <v>3383552</v>
      </c>
      <c r="M58" s="1">
        <v>42300</v>
      </c>
      <c r="N58" s="1">
        <f t="shared" si="7"/>
        <v>28800</v>
      </c>
      <c r="O58" s="1">
        <f t="shared" si="8"/>
        <v>1.127907887522519</v>
      </c>
      <c r="P58" s="1">
        <f t="shared" si="9"/>
        <v>60.000000037500001</v>
      </c>
    </row>
    <row r="59" spans="1:16" x14ac:dyDescent="0.2">
      <c r="A59" s="1">
        <v>51</v>
      </c>
      <c r="B59" s="1">
        <f t="shared" si="6"/>
        <v>746646.72096308519</v>
      </c>
      <c r="K59" s="1">
        <v>39285</v>
      </c>
      <c r="L59" s="1">
        <v>8008416</v>
      </c>
      <c r="M59" s="1">
        <v>61500</v>
      </c>
      <c r="N59" s="1">
        <f t="shared" si="7"/>
        <v>48000</v>
      </c>
      <c r="O59" s="1">
        <f t="shared" si="8"/>
        <v>1.2218403970981291</v>
      </c>
      <c r="P59" s="1">
        <f t="shared" si="9"/>
        <v>100.00000006250001</v>
      </c>
    </row>
    <row r="60" spans="1:16" x14ac:dyDescent="0.2">
      <c r="A60" s="1">
        <v>52</v>
      </c>
      <c r="B60" s="1">
        <f t="shared" si="6"/>
        <v>766424.94265590084</v>
      </c>
      <c r="K60" s="1">
        <v>46378</v>
      </c>
      <c r="L60" s="1">
        <v>11145312</v>
      </c>
      <c r="M60" s="1">
        <v>71100</v>
      </c>
      <c r="N60" s="1">
        <f t="shared" si="7"/>
        <v>57600</v>
      </c>
      <c r="O60" s="1">
        <f t="shared" si="8"/>
        <v>1.2419681745655267</v>
      </c>
      <c r="P60" s="1">
        <f t="shared" si="9"/>
        <v>120.000000075</v>
      </c>
    </row>
    <row r="61" spans="1:16" x14ac:dyDescent="0.2">
      <c r="A61" s="1">
        <v>53</v>
      </c>
      <c r="B61" s="1">
        <f t="shared" si="6"/>
        <v>786331.60065794317</v>
      </c>
      <c r="K61" s="1">
        <v>53652</v>
      </c>
      <c r="L61" s="1">
        <v>14917560</v>
      </c>
      <c r="M61" s="1">
        <v>80700</v>
      </c>
      <c r="N61" s="1">
        <f t="shared" si="7"/>
        <v>67200</v>
      </c>
      <c r="O61" s="1">
        <f t="shared" si="8"/>
        <v>1.25251621561172</v>
      </c>
      <c r="P61" s="1">
        <f t="shared" si="9"/>
        <v>140.00000008750001</v>
      </c>
    </row>
    <row r="62" spans="1:16" x14ac:dyDescent="0.2">
      <c r="A62" s="1">
        <v>54</v>
      </c>
      <c r="B62" s="1">
        <f t="shared" si="6"/>
        <v>806365.05864298239</v>
      </c>
      <c r="K62" s="1">
        <v>74400</v>
      </c>
      <c r="L62" s="1">
        <v>28784808</v>
      </c>
      <c r="M62" s="1">
        <v>104700</v>
      </c>
      <c r="N62" s="1">
        <f t="shared" si="7"/>
        <v>91200</v>
      </c>
      <c r="O62" s="1">
        <f t="shared" si="8"/>
        <v>1.2258064516129032</v>
      </c>
      <c r="P62" s="1">
        <f t="shared" si="9"/>
        <v>190.00000011874999</v>
      </c>
    </row>
    <row r="63" spans="1:16" x14ac:dyDescent="0.2">
      <c r="A63" s="1">
        <v>55</v>
      </c>
      <c r="B63" s="1">
        <f t="shared" si="6"/>
        <v>826523.73142945988</v>
      </c>
      <c r="K63" s="1">
        <v>82000</v>
      </c>
      <c r="L63" s="1">
        <v>34611200</v>
      </c>
      <c r="M63" s="1">
        <v>114300</v>
      </c>
      <c r="N63" s="1">
        <f t="shared" si="7"/>
        <v>100800</v>
      </c>
      <c r="O63" s="1">
        <f t="shared" si="8"/>
        <v>1.2292682926829268</v>
      </c>
      <c r="P63" s="1">
        <f t="shared" si="9"/>
        <v>210.00000013125</v>
      </c>
    </row>
    <row r="64" spans="1:16" x14ac:dyDescent="0.2">
      <c r="A64" s="1">
        <v>56</v>
      </c>
      <c r="B64" s="1">
        <f t="shared" si="6"/>
        <v>846806.08246969501</v>
      </c>
      <c r="K64" s="1">
        <v>92560</v>
      </c>
      <c r="L64" s="1">
        <v>44214368</v>
      </c>
      <c r="M64" s="1">
        <v>128700</v>
      </c>
      <c r="N64" s="1">
        <f t="shared" si="7"/>
        <v>115200</v>
      </c>
      <c r="O64" s="1">
        <f t="shared" si="8"/>
        <v>1.2445980985306828</v>
      </c>
      <c r="P64" s="1">
        <f t="shared" si="9"/>
        <v>240.00000015000001</v>
      </c>
    </row>
    <row r="65" spans="1:16" x14ac:dyDescent="0.2">
      <c r="A65" s="1">
        <v>57</v>
      </c>
      <c r="B65" s="1">
        <f t="shared" si="6"/>
        <v>867210.62150552799</v>
      </c>
      <c r="K65" s="1">
        <v>100000</v>
      </c>
      <c r="L65" s="1">
        <v>51583752</v>
      </c>
      <c r="M65" s="1">
        <v>135900</v>
      </c>
      <c r="N65" s="1">
        <f t="shared" si="7"/>
        <v>122400</v>
      </c>
      <c r="O65" s="1">
        <f t="shared" si="8"/>
        <v>1.224</v>
      </c>
      <c r="P65" s="1">
        <f t="shared" si="9"/>
        <v>255.00000015937502</v>
      </c>
    </row>
    <row r="66" spans="1:16" x14ac:dyDescent="0.2">
      <c r="K66" s="1">
        <v>105000</v>
      </c>
      <c r="L66" s="1">
        <v>56812032</v>
      </c>
      <c r="M66" s="1">
        <v>143100</v>
      </c>
      <c r="N66" s="1">
        <f t="shared" si="7"/>
        <v>129600</v>
      </c>
      <c r="O66" s="1">
        <f t="shared" si="8"/>
        <v>1.2342857142857142</v>
      </c>
      <c r="P66" s="1">
        <f t="shared" si="9"/>
        <v>270.00000016875003</v>
      </c>
    </row>
    <row r="67" spans="1:16" x14ac:dyDescent="0.2">
      <c r="K67" s="1">
        <v>110000</v>
      </c>
      <c r="L67" s="1">
        <v>62337600</v>
      </c>
      <c r="M67" s="1">
        <v>149100</v>
      </c>
      <c r="N67" s="1">
        <f t="shared" si="7"/>
        <v>135600</v>
      </c>
      <c r="O67" s="1">
        <f t="shared" si="8"/>
        <v>1.2327272727272727</v>
      </c>
      <c r="P67" s="1">
        <f t="shared" si="9"/>
        <v>282.50000017656248</v>
      </c>
    </row>
    <row r="68" spans="1:16" x14ac:dyDescent="0.2">
      <c r="K68" s="1">
        <v>120000</v>
      </c>
      <c r="L68" s="1">
        <v>73938852</v>
      </c>
      <c r="M68" s="1">
        <v>159900</v>
      </c>
      <c r="N68" s="1">
        <f t="shared" si="7"/>
        <v>146400</v>
      </c>
      <c r="O68" s="1">
        <f t="shared" si="8"/>
        <v>1.22</v>
      </c>
      <c r="P68" s="1">
        <f t="shared" si="9"/>
        <v>305.00000019062503</v>
      </c>
    </row>
    <row r="69" spans="1:16" x14ac:dyDescent="0.2">
      <c r="K69" s="1">
        <v>130000</v>
      </c>
      <c r="L69" s="1">
        <v>86376416</v>
      </c>
      <c r="M69" s="1">
        <v>174300</v>
      </c>
      <c r="N69" s="1">
        <f t="shared" si="7"/>
        <v>160800</v>
      </c>
      <c r="O69" s="1">
        <f t="shared" si="8"/>
        <v>1.236923076923077</v>
      </c>
      <c r="P69" s="1">
        <f t="shared" si="9"/>
        <v>335.000000209375</v>
      </c>
    </row>
    <row r="70" spans="1:16" x14ac:dyDescent="0.2">
      <c r="K70" s="1">
        <v>144650</v>
      </c>
      <c r="L70" s="1">
        <v>107139600</v>
      </c>
      <c r="M70" s="1">
        <v>191100</v>
      </c>
      <c r="N70" s="1">
        <f t="shared" si="7"/>
        <v>177600</v>
      </c>
      <c r="O70" s="1">
        <f t="shared" si="8"/>
        <v>1.2277912201866574</v>
      </c>
      <c r="P70" s="1">
        <f t="shared" si="9"/>
        <v>370.00000023125006</v>
      </c>
    </row>
    <row r="71" spans="1:16" x14ac:dyDescent="0.2">
      <c r="K71" s="1">
        <v>150000</v>
      </c>
      <c r="L71" s="1">
        <v>115318800</v>
      </c>
      <c r="M71" s="1">
        <v>198300</v>
      </c>
      <c r="N71" s="1">
        <f t="shared" si="7"/>
        <v>184800</v>
      </c>
      <c r="O71" s="1">
        <f t="shared" si="8"/>
        <v>1.232</v>
      </c>
      <c r="P71" s="1">
        <f t="shared" si="9"/>
        <v>385.00000024062507</v>
      </c>
    </row>
    <row r="72" spans="1:16" x14ac:dyDescent="0.2">
      <c r="K72" s="1">
        <v>4000</v>
      </c>
      <c r="L72" s="1">
        <v>85536</v>
      </c>
    </row>
    <row r="73" spans="1:16" x14ac:dyDescent="0.2">
      <c r="K73" s="1">
        <v>5000</v>
      </c>
      <c r="L73" s="1">
        <v>132864</v>
      </c>
    </row>
    <row r="74" spans="1:16" x14ac:dyDescent="0.2">
      <c r="K74" s="1">
        <v>6000</v>
      </c>
      <c r="L74" s="1">
        <v>186416</v>
      </c>
    </row>
  </sheetData>
  <mergeCells count="4">
    <mergeCell ref="A1:I4"/>
    <mergeCell ref="A5:I5"/>
    <mergeCell ref="A6:I6"/>
    <mergeCell ref="K1:S5"/>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97E7-EA43-4998-8D60-CC92EEF5BB19}">
  <dimension ref="A1:V152"/>
  <sheetViews>
    <sheetView topLeftCell="A16" workbookViewId="0">
      <selection sqref="A1:XFD1048576"/>
    </sheetView>
  </sheetViews>
  <sheetFormatPr defaultColWidth="9.875" defaultRowHeight="14.25" x14ac:dyDescent="0.2"/>
  <cols>
    <col min="1" max="16384" width="9.875" style="1"/>
  </cols>
  <sheetData>
    <row r="1" spans="1:22" ht="18" x14ac:dyDescent="0.2">
      <c r="A1" s="7" t="s">
        <v>77</v>
      </c>
      <c r="B1" s="7"/>
      <c r="C1" s="7"/>
      <c r="D1" s="7"/>
      <c r="E1" s="7"/>
      <c r="F1" s="7"/>
      <c r="G1" s="7"/>
      <c r="H1" s="7"/>
      <c r="I1" s="7"/>
      <c r="J1" s="7"/>
      <c r="P1" s="10" t="s">
        <v>76</v>
      </c>
      <c r="Q1" s="10"/>
      <c r="R1" s="10"/>
      <c r="T1" s="10" t="s">
        <v>75</v>
      </c>
      <c r="U1" s="10"/>
      <c r="V1" s="10"/>
    </row>
    <row r="2" spans="1:22" ht="14.25" customHeight="1" x14ac:dyDescent="0.2">
      <c r="A2" s="6"/>
      <c r="B2" s="6"/>
      <c r="C2" s="6"/>
      <c r="D2" s="6"/>
      <c r="E2" s="6"/>
      <c r="F2" s="6"/>
      <c r="G2" s="6"/>
      <c r="H2" s="6"/>
      <c r="I2" s="6"/>
      <c r="J2" s="6"/>
      <c r="K2" s="6"/>
      <c r="L2" s="6"/>
      <c r="M2" s="6"/>
      <c r="P2" s="1" t="s">
        <v>50</v>
      </c>
      <c r="Q2" s="1" t="s">
        <v>73</v>
      </c>
      <c r="R2" s="1" t="s">
        <v>49</v>
      </c>
      <c r="T2" s="1" t="s">
        <v>50</v>
      </c>
      <c r="U2" s="1" t="s">
        <v>49</v>
      </c>
      <c r="V2" s="1" t="s">
        <v>48</v>
      </c>
    </row>
    <row r="3" spans="1:22" x14ac:dyDescent="0.2">
      <c r="A3" s="6"/>
      <c r="B3" s="6"/>
      <c r="C3" s="6"/>
      <c r="D3" s="6"/>
      <c r="E3" s="6"/>
      <c r="F3" s="6"/>
      <c r="G3" s="6"/>
      <c r="H3" s="6"/>
      <c r="I3" s="6"/>
      <c r="J3" s="6"/>
      <c r="K3" s="6"/>
      <c r="L3" s="6"/>
      <c r="M3" s="6"/>
      <c r="O3" s="1" t="s">
        <v>72</v>
      </c>
      <c r="P3" s="1">
        <v>0.79500000000000004</v>
      </c>
      <c r="Q3" s="1">
        <f>POWER(P3,2.424242+0.975417/LN(POWER(P3,4.329004)+4))</f>
        <v>0.49268833803552353</v>
      </c>
      <c r="R3" s="1">
        <f>40000*IF(P3&lt;0.859048,0.458908,IF(P3&lt;1.0003696,0.336+0.220878*POWER(Q3,1.25631),IF(P3&lt;1.179172,0.552194*POWER(Q3,1.25631),IF(P3&lt;2.456765,0.875315*POWER(Q3,0.314077),1.86))))</f>
        <v>18356.32</v>
      </c>
      <c r="T3" s="1">
        <v>1.5</v>
      </c>
      <c r="U3" s="1">
        <f t="shared" ref="U3:U34" si="0">3.3*40000*0.875315*(POWER(POWER(T3/1.16778,2.424242+0.975417/LN(POWER(T3/1.16778,4.329004)+4)),0.314077))</f>
        <v>145445.11212248355</v>
      </c>
      <c r="V3" s="1">
        <f t="shared" ref="V3:V34" si="1">(U4-U3)/0.01/40000</f>
        <v>2.134220759906384</v>
      </c>
    </row>
    <row r="4" spans="1:22" x14ac:dyDescent="0.2">
      <c r="A4" s="6"/>
      <c r="B4" s="6"/>
      <c r="C4" s="6"/>
      <c r="D4" s="6"/>
      <c r="E4" s="6"/>
      <c r="F4" s="6"/>
      <c r="G4" s="6"/>
      <c r="H4" s="6"/>
      <c r="I4" s="6"/>
      <c r="J4" s="6"/>
      <c r="K4" s="6"/>
      <c r="L4" s="6"/>
      <c r="M4" s="6"/>
      <c r="T4" s="1">
        <v>1.51</v>
      </c>
      <c r="U4" s="1">
        <f t="shared" si="0"/>
        <v>146298.80042644611</v>
      </c>
      <c r="V4" s="1">
        <f t="shared" si="1"/>
        <v>2.1273628470913537</v>
      </c>
    </row>
    <row r="5" spans="1:22" x14ac:dyDescent="0.2">
      <c r="A5" s="6"/>
      <c r="B5" s="6"/>
      <c r="C5" s="6"/>
      <c r="D5" s="6"/>
      <c r="E5" s="6"/>
      <c r="F5" s="6"/>
      <c r="G5" s="6"/>
      <c r="H5" s="6"/>
      <c r="I5" s="6"/>
      <c r="J5" s="6"/>
      <c r="K5" s="6"/>
      <c r="L5" s="6"/>
      <c r="M5" s="6"/>
      <c r="T5" s="1">
        <v>1.52</v>
      </c>
      <c r="U5" s="1">
        <f t="shared" si="0"/>
        <v>147149.74556528265</v>
      </c>
      <c r="V5" s="1">
        <f t="shared" si="1"/>
        <v>2.1205349271425074</v>
      </c>
    </row>
    <row r="6" spans="1:22" ht="18" x14ac:dyDescent="0.2">
      <c r="A6" s="6"/>
      <c r="B6" s="6"/>
      <c r="C6" s="6"/>
      <c r="D6" s="6"/>
      <c r="E6" s="6"/>
      <c r="F6" s="6"/>
      <c r="G6" s="6"/>
      <c r="H6" s="6"/>
      <c r="I6" s="6"/>
      <c r="J6" s="6"/>
      <c r="K6" s="6"/>
      <c r="L6" s="6"/>
      <c r="M6" s="6"/>
      <c r="P6" s="10" t="s">
        <v>74</v>
      </c>
      <c r="Q6" s="10"/>
      <c r="R6" s="10"/>
      <c r="T6" s="1">
        <v>1.53</v>
      </c>
      <c r="U6" s="1">
        <f t="shared" si="0"/>
        <v>147997.95953613965</v>
      </c>
      <c r="V6" s="1">
        <f t="shared" si="1"/>
        <v>2.1137401212288385</v>
      </c>
    </row>
    <row r="7" spans="1:22" x14ac:dyDescent="0.2">
      <c r="A7" s="6"/>
      <c r="B7" s="6"/>
      <c r="C7" s="6"/>
      <c r="D7" s="6"/>
      <c r="E7" s="6"/>
      <c r="F7" s="6"/>
      <c r="G7" s="6"/>
      <c r="H7" s="6"/>
      <c r="I7" s="6"/>
      <c r="J7" s="6"/>
      <c r="K7" s="6"/>
      <c r="L7" s="6"/>
      <c r="M7" s="6"/>
      <c r="P7" s="1" t="s">
        <v>50</v>
      </c>
      <c r="Q7" s="1" t="s">
        <v>73</v>
      </c>
      <c r="R7" s="1" t="s">
        <v>49</v>
      </c>
      <c r="T7" s="1">
        <v>1.54</v>
      </c>
      <c r="U7" s="1">
        <f t="shared" si="0"/>
        <v>148843.45558463119</v>
      </c>
      <c r="V7" s="1">
        <f t="shared" si="1"/>
        <v>2.1069814015451995</v>
      </c>
    </row>
    <row r="8" spans="1:22" x14ac:dyDescent="0.2">
      <c r="A8" s="6"/>
      <c r="B8" s="6"/>
      <c r="C8" s="6"/>
      <c r="D8" s="6"/>
      <c r="E8" s="6"/>
      <c r="F8" s="6"/>
      <c r="G8" s="6"/>
      <c r="H8" s="6"/>
      <c r="I8" s="6"/>
      <c r="J8" s="6"/>
      <c r="K8" s="6"/>
      <c r="L8" s="6"/>
      <c r="M8" s="6"/>
      <c r="O8" s="1" t="s">
        <v>72</v>
      </c>
      <c r="P8" s="1">
        <v>2.6779999999999999</v>
      </c>
      <c r="Q8" s="1">
        <f>POWER(P9,2.424242+0.975417/LN(POWER(P9,4.329004)+4))</f>
        <v>9.3091278860456335</v>
      </c>
      <c r="R8" s="1">
        <f>R9*3.3</f>
        <v>232836.10898914313</v>
      </c>
      <c r="T8" s="1">
        <v>1.55</v>
      </c>
      <c r="U8" s="1">
        <f t="shared" si="0"/>
        <v>149686.24814524926</v>
      </c>
      <c r="V8" s="1">
        <f t="shared" si="1"/>
        <v>2.1002615905090352</v>
      </c>
    </row>
    <row r="9" spans="1:22" x14ac:dyDescent="0.2">
      <c r="A9" s="6"/>
      <c r="B9" s="6"/>
      <c r="C9" s="6"/>
      <c r="D9" s="6"/>
      <c r="E9" s="6"/>
      <c r="F9" s="6"/>
      <c r="G9" s="6"/>
      <c r="H9" s="6"/>
      <c r="I9" s="6"/>
      <c r="J9" s="6"/>
      <c r="K9" s="6"/>
      <c r="L9" s="6"/>
      <c r="M9" s="6"/>
      <c r="O9" s="5" t="s">
        <v>71</v>
      </c>
      <c r="P9" s="4">
        <f>P8/1.16778</f>
        <v>2.2932401650995904</v>
      </c>
      <c r="Q9" s="4"/>
      <c r="R9" s="4">
        <f>40000*IF(P9&lt;0.782365,0.455548,IF(P9&lt;1.086909,0.66673*POWER(Q8,0.502524),IF(P9&lt;1.179172,0.552194*POWER(Q8,1.25631),IF(P9&lt;2.456765,0.875315*POWER(Q8,0.314077),1.86))))</f>
        <v>70556.396663376712</v>
      </c>
      <c r="T9" s="1">
        <v>1.56</v>
      </c>
      <c r="U9" s="1">
        <f t="shared" si="0"/>
        <v>150526.35278145288</v>
      </c>
      <c r="V9" s="1">
        <f t="shared" si="1"/>
        <v>2.0935833605112566</v>
      </c>
    </row>
    <row r="10" spans="1:22" x14ac:dyDescent="0.2">
      <c r="A10" s="6"/>
      <c r="B10" s="6"/>
      <c r="C10" s="6"/>
      <c r="D10" s="6"/>
      <c r="E10" s="6"/>
      <c r="F10" s="6"/>
      <c r="G10" s="6"/>
      <c r="H10" s="6"/>
      <c r="I10" s="6"/>
      <c r="J10" s="6"/>
      <c r="K10" s="6"/>
      <c r="L10" s="6"/>
      <c r="M10" s="6"/>
      <c r="T10" s="1">
        <v>1.57</v>
      </c>
      <c r="U10" s="1">
        <f t="shared" si="0"/>
        <v>151363.78612565738</v>
      </c>
      <c r="V10" s="1">
        <f t="shared" si="1"/>
        <v>2.0869492341927982</v>
      </c>
    </row>
    <row r="11" spans="1:22" x14ac:dyDescent="0.2">
      <c r="A11" s="6"/>
      <c r="B11" s="6"/>
      <c r="C11" s="6"/>
      <c r="D11" s="6"/>
      <c r="E11" s="6"/>
      <c r="F11" s="6"/>
      <c r="G11" s="6"/>
      <c r="H11" s="6"/>
      <c r="I11" s="6"/>
      <c r="J11" s="6"/>
      <c r="K11" s="6"/>
      <c r="L11" s="6"/>
      <c r="M11" s="6"/>
      <c r="T11" s="1">
        <v>1.58</v>
      </c>
      <c r="U11" s="1">
        <f t="shared" si="0"/>
        <v>152198.5658193345</v>
      </c>
      <c r="V11" s="1">
        <f t="shared" si="1"/>
        <v>2.0803615852126676</v>
      </c>
    </row>
    <row r="12" spans="1:22" x14ac:dyDescent="0.2">
      <c r="A12" s="6"/>
      <c r="B12" s="6"/>
      <c r="C12" s="6"/>
      <c r="D12" s="6"/>
      <c r="E12" s="6"/>
      <c r="F12" s="6"/>
      <c r="G12" s="6"/>
      <c r="H12" s="6"/>
      <c r="I12" s="6"/>
      <c r="J12" s="6"/>
      <c r="K12" s="6"/>
      <c r="L12" s="6"/>
      <c r="M12" s="6"/>
      <c r="T12" s="1">
        <v>1.59</v>
      </c>
      <c r="U12" s="1">
        <f t="shared" si="0"/>
        <v>153030.71045341957</v>
      </c>
      <c r="V12" s="1">
        <f t="shared" si="1"/>
        <v>2.0738226394771484</v>
      </c>
    </row>
    <row r="13" spans="1:22" x14ac:dyDescent="0.2">
      <c r="A13" s="6"/>
      <c r="B13" s="6"/>
      <c r="C13" s="6"/>
      <c r="D13" s="6"/>
      <c r="E13" s="6"/>
      <c r="F13" s="6"/>
      <c r="G13" s="6"/>
      <c r="H13" s="6"/>
      <c r="I13" s="6"/>
      <c r="J13" s="6"/>
      <c r="K13" s="6"/>
      <c r="L13" s="6"/>
      <c r="M13" s="6"/>
      <c r="T13" s="1">
        <v>1.6</v>
      </c>
      <c r="U13" s="1">
        <f t="shared" si="0"/>
        <v>153860.23950921043</v>
      </c>
      <c r="V13" s="1">
        <f t="shared" si="1"/>
        <v>2.0673344767941306</v>
      </c>
    </row>
    <row r="14" spans="1:22" x14ac:dyDescent="0.2">
      <c r="A14" s="6"/>
      <c r="B14" s="6"/>
      <c r="C14" s="6"/>
      <c r="D14" s="6"/>
      <c r="E14" s="6"/>
      <c r="F14" s="6"/>
      <c r="G14" s="6"/>
      <c r="H14" s="6"/>
      <c r="I14" s="6"/>
      <c r="J14" s="6"/>
      <c r="K14" s="6"/>
      <c r="L14" s="6"/>
      <c r="M14" s="6"/>
      <c r="O14" s="1" t="s">
        <v>70</v>
      </c>
      <c r="P14" s="1" t="s">
        <v>69</v>
      </c>
      <c r="Q14" s="1" t="s">
        <v>68</v>
      </c>
      <c r="R14" s="1" t="s">
        <v>67</v>
      </c>
      <c r="T14" s="1">
        <v>1.61</v>
      </c>
      <c r="U14" s="1">
        <f t="shared" si="0"/>
        <v>154687.17329992808</v>
      </c>
      <c r="V14" s="1">
        <f t="shared" si="1"/>
        <v>2.0608990329214429</v>
      </c>
    </row>
    <row r="15" spans="1:22" ht="14.25" customHeight="1" x14ac:dyDescent="0.2">
      <c r="A15" s="8" t="s">
        <v>66</v>
      </c>
      <c r="B15" s="8"/>
      <c r="C15" s="8"/>
      <c r="D15" s="8"/>
      <c r="E15" s="8"/>
      <c r="F15" s="8"/>
      <c r="G15" s="8"/>
      <c r="H15" s="8"/>
      <c r="I15" s="8"/>
      <c r="J15" s="8"/>
      <c r="K15" s="8"/>
      <c r="L15" s="8"/>
      <c r="M15" s="8"/>
      <c r="O15" s="1" t="s">
        <v>65</v>
      </c>
      <c r="P15" s="3" t="s">
        <v>64</v>
      </c>
      <c r="Q15" s="3">
        <v>1</v>
      </c>
      <c r="R15" s="3" t="s">
        <v>60</v>
      </c>
      <c r="T15" s="1">
        <v>1.62</v>
      </c>
      <c r="U15" s="1">
        <f t="shared" si="0"/>
        <v>155511.53291309666</v>
      </c>
      <c r="V15" s="1">
        <f t="shared" si="1"/>
        <v>2.0545181019729353</v>
      </c>
    </row>
    <row r="16" spans="1:22" x14ac:dyDescent="0.2">
      <c r="A16" s="8"/>
      <c r="B16" s="8"/>
      <c r="C16" s="8"/>
      <c r="D16" s="8"/>
      <c r="E16" s="8"/>
      <c r="F16" s="8"/>
      <c r="G16" s="8"/>
      <c r="H16" s="8"/>
      <c r="I16" s="8"/>
      <c r="J16" s="8"/>
      <c r="K16" s="8"/>
      <c r="L16" s="8"/>
      <c r="M16" s="8"/>
      <c r="O16" s="1" t="s">
        <v>63</v>
      </c>
      <c r="P16" s="3" t="s">
        <v>62</v>
      </c>
      <c r="Q16" s="3" t="s">
        <v>61</v>
      </c>
      <c r="R16" s="3" t="s">
        <v>60</v>
      </c>
      <c r="T16" s="1">
        <v>1.63</v>
      </c>
      <c r="U16" s="1">
        <f t="shared" si="0"/>
        <v>156333.34015388583</v>
      </c>
      <c r="V16" s="1">
        <f t="shared" si="1"/>
        <v>2.0481933391524945</v>
      </c>
    </row>
    <row r="17" spans="1:22" x14ac:dyDescent="0.2">
      <c r="A17" s="8"/>
      <c r="B17" s="8"/>
      <c r="C17" s="8"/>
      <c r="D17" s="8"/>
      <c r="E17" s="8"/>
      <c r="F17" s="8"/>
      <c r="G17" s="8"/>
      <c r="H17" s="8"/>
      <c r="I17" s="8"/>
      <c r="J17" s="8"/>
      <c r="K17" s="8"/>
      <c r="L17" s="8"/>
      <c r="M17" s="8"/>
      <c r="O17" s="1" t="s">
        <v>59</v>
      </c>
      <c r="P17" s="3" t="s">
        <v>58</v>
      </c>
      <c r="Q17" s="1">
        <v>1</v>
      </c>
      <c r="R17" s="3" t="s">
        <v>57</v>
      </c>
      <c r="T17" s="1">
        <v>1.64</v>
      </c>
      <c r="U17" s="1">
        <f t="shared" si="0"/>
        <v>157152.61748954683</v>
      </c>
      <c r="V17" s="1">
        <f t="shared" si="1"/>
        <v>2.0419262637801148</v>
      </c>
    </row>
    <row r="18" spans="1:22" ht="14.25" customHeight="1" x14ac:dyDescent="0.2">
      <c r="A18" s="11" t="s">
        <v>56</v>
      </c>
      <c r="B18" s="11"/>
      <c r="C18" s="11"/>
      <c r="D18" s="11"/>
      <c r="E18" s="11"/>
      <c r="F18" s="11"/>
      <c r="G18" s="11"/>
      <c r="H18" s="11"/>
      <c r="I18" s="11"/>
      <c r="J18" s="11"/>
      <c r="K18" s="11"/>
      <c r="L18" s="11"/>
      <c r="M18" s="11"/>
      <c r="O18" s="1" t="s">
        <v>55</v>
      </c>
      <c r="P18" s="3" t="s">
        <v>54</v>
      </c>
      <c r="Q18" s="1">
        <v>3.3</v>
      </c>
      <c r="R18" s="3" t="s">
        <v>53</v>
      </c>
      <c r="T18" s="1">
        <v>1.65</v>
      </c>
      <c r="U18" s="1">
        <f t="shared" si="0"/>
        <v>157969.38799505887</v>
      </c>
      <c r="V18" s="1">
        <f t="shared" si="1"/>
        <v>2.0357182625791754</v>
      </c>
    </row>
    <row r="19" spans="1:22" x14ac:dyDescent="0.2">
      <c r="A19" s="11"/>
      <c r="B19" s="11"/>
      <c r="C19" s="11"/>
      <c r="D19" s="11"/>
      <c r="E19" s="11"/>
      <c r="F19" s="11"/>
      <c r="G19" s="11"/>
      <c r="H19" s="11"/>
      <c r="I19" s="11"/>
      <c r="J19" s="11"/>
      <c r="K19" s="11"/>
      <c r="L19" s="11"/>
      <c r="M19" s="11"/>
      <c r="T19" s="1">
        <v>1.66</v>
      </c>
      <c r="U19" s="1">
        <f t="shared" si="0"/>
        <v>158783.67530009054</v>
      </c>
      <c r="V19" s="1">
        <f t="shared" si="1"/>
        <v>2.0295705931948032</v>
      </c>
    </row>
    <row r="20" spans="1:22" ht="14.25" customHeight="1" x14ac:dyDescent="0.2">
      <c r="A20" s="8" t="s">
        <v>52</v>
      </c>
      <c r="B20" s="8"/>
      <c r="C20" s="8"/>
      <c r="D20" s="8"/>
      <c r="E20" s="8"/>
      <c r="F20" s="8"/>
      <c r="G20" s="8"/>
      <c r="H20" s="8"/>
      <c r="I20" s="8"/>
      <c r="J20" s="8"/>
      <c r="K20" s="8"/>
      <c r="L20" s="8"/>
      <c r="M20" s="8"/>
      <c r="T20" s="1">
        <v>1.67</v>
      </c>
      <c r="U20" s="1">
        <f t="shared" si="0"/>
        <v>159595.50353736847</v>
      </c>
      <c r="V20" s="1">
        <f t="shared" si="1"/>
        <v>2.023484387910794</v>
      </c>
    </row>
    <row r="21" spans="1:22" ht="18.75" customHeight="1" x14ac:dyDescent="0.2">
      <c r="A21" s="8"/>
      <c r="B21" s="8"/>
      <c r="C21" s="8"/>
      <c r="D21" s="8"/>
      <c r="E21" s="8"/>
      <c r="F21" s="8"/>
      <c r="G21" s="8"/>
      <c r="H21" s="8"/>
      <c r="I21" s="8"/>
      <c r="J21" s="8"/>
      <c r="K21" s="8"/>
      <c r="L21" s="8"/>
      <c r="M21" s="8"/>
      <c r="P21" s="10" t="s">
        <v>51</v>
      </c>
      <c r="Q21" s="10"/>
      <c r="R21" s="10"/>
      <c r="T21" s="1">
        <v>1.68</v>
      </c>
      <c r="U21" s="1">
        <f t="shared" si="0"/>
        <v>160404.89729253278</v>
      </c>
      <c r="V21" s="1">
        <f t="shared" si="1"/>
        <v>2.017460657538686</v>
      </c>
    </row>
    <row r="22" spans="1:22" x14ac:dyDescent="0.2">
      <c r="A22" s="8"/>
      <c r="B22" s="8"/>
      <c r="C22" s="8"/>
      <c r="D22" s="8"/>
      <c r="E22" s="8"/>
      <c r="F22" s="8"/>
      <c r="G22" s="8"/>
      <c r="H22" s="8"/>
      <c r="I22" s="8"/>
      <c r="J22" s="8"/>
      <c r="K22" s="8"/>
      <c r="L22" s="8"/>
      <c r="M22" s="8"/>
      <c r="P22" s="1" t="s">
        <v>50</v>
      </c>
      <c r="Q22" s="1" t="s">
        <v>49</v>
      </c>
      <c r="R22" s="1" t="s">
        <v>48</v>
      </c>
      <c r="T22" s="1">
        <v>1.69</v>
      </c>
      <c r="U22" s="1">
        <f t="shared" si="0"/>
        <v>161211.88155554826</v>
      </c>
      <c r="V22" s="1">
        <f t="shared" si="1"/>
        <v>2.0115002954491503</v>
      </c>
    </row>
    <row r="23" spans="1:22" x14ac:dyDescent="0.2">
      <c r="P23" s="1">
        <v>1.18</v>
      </c>
      <c r="Q23" s="1">
        <f t="shared" ref="Q23:Q54" si="2">40000*0.875315*(POWER(POWER(P23,2.424242+0.975417/LN(POWER(P23,4.329004)+4)),0.314077))</f>
        <v>40849.998524711038</v>
      </c>
      <c r="R23" s="1">
        <f t="shared" ref="R23:R54" si="3">(Q24-Q23)/0.01/40000</f>
        <v>0.78501098096903665</v>
      </c>
      <c r="T23" s="1">
        <v>1.7</v>
      </c>
      <c r="U23" s="1">
        <f t="shared" si="0"/>
        <v>162016.48167372792</v>
      </c>
      <c r="V23" s="1">
        <f t="shared" si="1"/>
        <v>2.0056040817195027</v>
      </c>
    </row>
    <row r="24" spans="1:22" x14ac:dyDescent="0.2">
      <c r="P24" s="1">
        <v>1.19</v>
      </c>
      <c r="Q24" s="1">
        <f t="shared" si="2"/>
        <v>41164.002917098653</v>
      </c>
      <c r="R24" s="1">
        <f t="shared" si="3"/>
        <v>0.78215001694192321</v>
      </c>
      <c r="T24" s="1">
        <v>1.71</v>
      </c>
      <c r="U24" s="1">
        <f t="shared" si="0"/>
        <v>162818.72330641572</v>
      </c>
      <c r="V24" s="1">
        <f t="shared" si="1"/>
        <v>1.9997726873745705</v>
      </c>
    </row>
    <row r="25" spans="1:22" x14ac:dyDescent="0.2">
      <c r="A25" s="7" t="s">
        <v>47</v>
      </c>
      <c r="B25" s="7"/>
      <c r="C25" s="7"/>
      <c r="D25" s="7"/>
      <c r="E25" s="7"/>
      <c r="F25" s="7"/>
      <c r="G25" s="7"/>
      <c r="H25" s="7"/>
      <c r="I25" s="7"/>
      <c r="J25" s="7"/>
      <c r="K25" s="7"/>
      <c r="L25" s="7"/>
      <c r="M25" s="7"/>
      <c r="P25" s="1">
        <v>1.2</v>
      </c>
      <c r="Q25" s="1">
        <f t="shared" si="2"/>
        <v>41476.862923875422</v>
      </c>
      <c r="R25" s="1">
        <f t="shared" si="3"/>
        <v>0.77928051505714391</v>
      </c>
      <c r="T25" s="1">
        <v>1.72</v>
      </c>
      <c r="U25" s="1">
        <f t="shared" si="0"/>
        <v>163618.63238136555</v>
      </c>
      <c r="V25" s="1">
        <f t="shared" si="1"/>
        <v>1.994006678693113</v>
      </c>
    </row>
    <row r="26" spans="1:22" x14ac:dyDescent="0.2">
      <c r="A26" s="7" t="s">
        <v>46</v>
      </c>
      <c r="B26" s="7"/>
      <c r="C26" s="7"/>
      <c r="D26" s="7"/>
      <c r="E26" s="7"/>
      <c r="F26" s="7"/>
      <c r="G26" s="7"/>
      <c r="H26" s="7"/>
      <c r="I26" s="7"/>
      <c r="J26" s="7"/>
      <c r="K26" s="7"/>
      <c r="L26" s="7"/>
      <c r="M26" s="7"/>
      <c r="N26" s="7"/>
      <c r="P26" s="1">
        <v>1.21</v>
      </c>
      <c r="Q26" s="1">
        <f t="shared" si="2"/>
        <v>41788.57512989828</v>
      </c>
      <c r="R26" s="1">
        <f t="shared" si="3"/>
        <v>0.77640506711195489</v>
      </c>
      <c r="T26" s="1">
        <v>1.73</v>
      </c>
      <c r="U26" s="1">
        <f t="shared" si="0"/>
        <v>164416.23505284279</v>
      </c>
      <c r="V26" s="1">
        <f t="shared" si="1"/>
        <v>1.988306521561608</v>
      </c>
    </row>
    <row r="27" spans="1:22" x14ac:dyDescent="0.2">
      <c r="P27" s="1">
        <v>1.22</v>
      </c>
      <c r="Q27" s="1">
        <f t="shared" si="2"/>
        <v>42099.137156743061</v>
      </c>
      <c r="R27" s="1">
        <f t="shared" si="3"/>
        <v>0.77352620584435494</v>
      </c>
      <c r="T27" s="1">
        <v>1.74</v>
      </c>
      <c r="U27" s="1">
        <f t="shared" si="0"/>
        <v>165211.55766146744</v>
      </c>
      <c r="V27" s="1">
        <f t="shared" si="1"/>
        <v>1.9826725858529244</v>
      </c>
    </row>
    <row r="28" spans="1:22" x14ac:dyDescent="0.2">
      <c r="P28" s="1">
        <v>1.23</v>
      </c>
      <c r="Q28" s="1">
        <f t="shared" si="2"/>
        <v>42408.547639080803</v>
      </c>
      <c r="R28" s="1">
        <f t="shared" si="3"/>
        <v>0.77064639818252545</v>
      </c>
      <c r="T28" s="1">
        <v>1.75</v>
      </c>
      <c r="U28" s="1">
        <f t="shared" si="0"/>
        <v>166004.62669580861</v>
      </c>
      <c r="V28" s="1">
        <f t="shared" si="1"/>
        <v>1.9771051498103043</v>
      </c>
    </row>
    <row r="29" spans="1:22" x14ac:dyDescent="0.2">
      <c r="P29" s="1">
        <v>1.24</v>
      </c>
      <c r="Q29" s="1">
        <f t="shared" si="2"/>
        <v>42716.806198353814</v>
      </c>
      <c r="R29" s="1">
        <f t="shared" si="3"/>
        <v>0.76776803913664482</v>
      </c>
      <c r="T29" s="1">
        <v>1.76</v>
      </c>
      <c r="U29" s="1">
        <f t="shared" si="0"/>
        <v>166795.46875573273</v>
      </c>
      <c r="V29" s="1">
        <f t="shared" si="1"/>
        <v>1.9716044044202863</v>
      </c>
    </row>
    <row r="30" spans="1:22" x14ac:dyDescent="0.2">
      <c r="A30" s="7" t="s">
        <v>45</v>
      </c>
      <c r="B30" s="7"/>
      <c r="C30" s="7"/>
      <c r="D30" s="7"/>
      <c r="E30" s="7"/>
      <c r="F30" s="7"/>
      <c r="G30" s="7"/>
      <c r="H30" s="7"/>
      <c r="I30" s="7"/>
      <c r="J30" s="7"/>
      <c r="K30" s="7"/>
      <c r="L30" s="7"/>
      <c r="M30" s="7"/>
      <c r="N30" s="7"/>
      <c r="P30" s="1">
        <v>1.25</v>
      </c>
      <c r="Q30" s="1">
        <f t="shared" si="2"/>
        <v>43023.913414008472</v>
      </c>
      <c r="R30" s="1">
        <f t="shared" si="3"/>
        <v>0.76489344633997458</v>
      </c>
      <c r="T30" s="1">
        <v>1.77</v>
      </c>
      <c r="U30" s="1">
        <f t="shared" si="0"/>
        <v>167584.11051750084</v>
      </c>
      <c r="V30" s="1">
        <f t="shared" si="1"/>
        <v>1.9661704577577621</v>
      </c>
    </row>
    <row r="31" spans="1:22" x14ac:dyDescent="0.2">
      <c r="A31" s="1" t="s">
        <v>44</v>
      </c>
      <c r="B31" s="1" t="s">
        <v>43</v>
      </c>
      <c r="C31" s="1" t="s">
        <v>42</v>
      </c>
      <c r="D31" s="1" t="s">
        <v>41</v>
      </c>
      <c r="E31" s="1" t="s">
        <v>40</v>
      </c>
      <c r="F31" s="1" t="s">
        <v>39</v>
      </c>
      <c r="G31" s="1" t="s">
        <v>38</v>
      </c>
      <c r="H31" s="1" t="s">
        <v>37</v>
      </c>
      <c r="P31" s="1">
        <v>1.26</v>
      </c>
      <c r="Q31" s="1">
        <f t="shared" si="2"/>
        <v>43329.870792544461</v>
      </c>
      <c r="R31" s="1">
        <f t="shared" si="3"/>
        <v>0.76202485524143415</v>
      </c>
      <c r="T31" s="1">
        <v>1.78</v>
      </c>
      <c r="U31" s="1">
        <f t="shared" si="0"/>
        <v>168370.57870060395</v>
      </c>
      <c r="V31" s="1">
        <f t="shared" si="1"/>
        <v>1.960803339287595</v>
      </c>
    </row>
    <row r="32" spans="1:22" x14ac:dyDescent="0.2">
      <c r="A32" s="1" t="s">
        <v>36</v>
      </c>
      <c r="B32" s="1" t="s">
        <v>35</v>
      </c>
      <c r="C32" s="1" t="s">
        <v>34</v>
      </c>
      <c r="D32" s="1" t="s">
        <v>33</v>
      </c>
      <c r="E32" s="1" t="s">
        <v>32</v>
      </c>
      <c r="F32" s="1" t="s">
        <v>31</v>
      </c>
      <c r="G32" s="1" t="s">
        <v>30</v>
      </c>
      <c r="H32" s="1" t="s">
        <v>29</v>
      </c>
      <c r="P32" s="1">
        <v>1.27</v>
      </c>
      <c r="Q32" s="1">
        <f t="shared" si="2"/>
        <v>43634.680734641035</v>
      </c>
      <c r="R32" s="1">
        <f t="shared" si="3"/>
        <v>0.75916441494488029</v>
      </c>
      <c r="T32" s="1">
        <v>1.79</v>
      </c>
      <c r="U32" s="1">
        <f t="shared" si="0"/>
        <v>169154.90003631898</v>
      </c>
      <c r="V32" s="1">
        <f t="shared" si="1"/>
        <v>1.9555030041118153</v>
      </c>
    </row>
    <row r="33" spans="1:22" x14ac:dyDescent="0.2">
      <c r="P33" s="1">
        <v>1.28</v>
      </c>
      <c r="Q33" s="1">
        <f t="shared" si="2"/>
        <v>43938.346500618987</v>
      </c>
      <c r="R33" s="1">
        <f t="shared" si="3"/>
        <v>0.75631418468652556</v>
      </c>
      <c r="T33" s="1">
        <v>1.8</v>
      </c>
      <c r="U33" s="1">
        <f t="shared" si="0"/>
        <v>169937.10123796371</v>
      </c>
      <c r="V33" s="1">
        <f t="shared" si="1"/>
        <v>1.9502693371470377</v>
      </c>
    </row>
    <row r="34" spans="1:22" x14ac:dyDescent="0.2">
      <c r="P34" s="1">
        <v>1.29</v>
      </c>
      <c r="Q34" s="1">
        <f t="shared" si="2"/>
        <v>44240.872174493597</v>
      </c>
      <c r="R34" s="1">
        <f t="shared" si="3"/>
        <v>0.7534761309350142</v>
      </c>
      <c r="T34" s="1">
        <v>1.81</v>
      </c>
      <c r="U34" s="1">
        <f t="shared" si="0"/>
        <v>170717.20897282253</v>
      </c>
      <c r="V34" s="1">
        <f t="shared" si="1"/>
        <v>1.9451021572255558</v>
      </c>
    </row>
    <row r="35" spans="1:22" x14ac:dyDescent="0.2">
      <c r="A35" s="9" t="s">
        <v>28</v>
      </c>
      <c r="B35" s="9"/>
      <c r="C35" s="9"/>
      <c r="D35" s="9"/>
      <c r="E35" s="9"/>
      <c r="F35" s="9"/>
      <c r="G35" s="9"/>
      <c r="H35" s="9"/>
      <c r="I35" s="9"/>
      <c r="J35" s="9"/>
      <c r="K35" s="9"/>
      <c r="L35" s="9"/>
      <c r="M35" s="9"/>
      <c r="N35" s="9"/>
      <c r="P35" s="1">
        <v>1.3</v>
      </c>
      <c r="Q35" s="1">
        <f t="shared" si="2"/>
        <v>44542.262626867603</v>
      </c>
      <c r="R35" s="1">
        <f t="shared" si="3"/>
        <v>0.75065212509636692</v>
      </c>
      <c r="T35" s="1">
        <v>1.82</v>
      </c>
      <c r="U35" s="1">
        <f t="shared" ref="U35:U66" si="4">3.3*40000*0.875315*(POWER(POWER(T35/1.16778,2.424242+0.975417/LN(POWER(T35/1.16778,4.329004)+4)),0.314077))</f>
        <v>171495.24983571275</v>
      </c>
      <c r="V35" s="1">
        <f t="shared" ref="V35:V66" si="5">(U36-U35)/0.01/40000</f>
        <v>1.9400012211057038</v>
      </c>
    </row>
    <row r="36" spans="1:22" x14ac:dyDescent="0.2">
      <c r="A36" s="9"/>
      <c r="B36" s="9"/>
      <c r="C36" s="9"/>
      <c r="D36" s="9"/>
      <c r="E36" s="9"/>
      <c r="F36" s="9"/>
      <c r="G36" s="9"/>
      <c r="H36" s="9"/>
      <c r="I36" s="9"/>
      <c r="J36" s="9"/>
      <c r="K36" s="9"/>
      <c r="L36" s="9"/>
      <c r="M36" s="9"/>
      <c r="N36" s="9"/>
      <c r="P36" s="1">
        <v>1.31</v>
      </c>
      <c r="Q36" s="1">
        <f t="shared" si="2"/>
        <v>44842.52347690615</v>
      </c>
      <c r="R36" s="1">
        <f t="shared" si="3"/>
        <v>0.74784394180092928</v>
      </c>
      <c r="T36" s="1">
        <v>1.83</v>
      </c>
      <c r="U36" s="1">
        <f t="shared" si="4"/>
        <v>172271.25032415503</v>
      </c>
      <c r="V36" s="1">
        <f t="shared" si="5"/>
        <v>1.9349662273898138</v>
      </c>
    </row>
    <row r="37" spans="1:22" x14ac:dyDescent="0.2">
      <c r="P37" s="1">
        <v>1.32</v>
      </c>
      <c r="Q37" s="1">
        <f t="shared" si="2"/>
        <v>45141.661053626522</v>
      </c>
      <c r="R37" s="1">
        <f t="shared" si="3"/>
        <v>0.74505325774636733</v>
      </c>
      <c r="T37" s="1">
        <v>1.84</v>
      </c>
      <c r="U37" s="1">
        <f t="shared" si="4"/>
        <v>173045.23681511095</v>
      </c>
      <c r="V37" s="1">
        <f t="shared" si="5"/>
        <v>1.929996820334636</v>
      </c>
    </row>
    <row r="38" spans="1:22" x14ac:dyDescent="0.2">
      <c r="P38" s="1">
        <v>1.33</v>
      </c>
      <c r="Q38" s="1">
        <f t="shared" si="2"/>
        <v>45439.682356725069</v>
      </c>
      <c r="R38" s="1">
        <f t="shared" si="3"/>
        <v>0.74228165106847888</v>
      </c>
      <c r="T38" s="1">
        <v>1.85</v>
      </c>
      <c r="U38" s="1">
        <f t="shared" si="4"/>
        <v>173817.23554324481</v>
      </c>
      <c r="V38" s="1">
        <f t="shared" si="5"/>
        <v>1.9250925935567649</v>
      </c>
    </row>
    <row r="39" spans="1:22" x14ac:dyDescent="0.2">
      <c r="P39" s="1">
        <v>1.34</v>
      </c>
      <c r="Q39" s="1">
        <f t="shared" si="2"/>
        <v>45736.59501715246</v>
      </c>
      <c r="R39" s="1">
        <f t="shared" si="3"/>
        <v>0.73953060120862579</v>
      </c>
      <c r="T39" s="1">
        <v>1.86</v>
      </c>
      <c r="U39" s="1">
        <f t="shared" si="4"/>
        <v>174587.27258066752</v>
      </c>
      <c r="V39" s="1">
        <f t="shared" si="5"/>
        <v>1.9202530936210678</v>
      </c>
    </row>
    <row r="40" spans="1:22" x14ac:dyDescent="0.2">
      <c r="P40" s="1">
        <v>1.35</v>
      </c>
      <c r="Q40" s="1">
        <f t="shared" si="2"/>
        <v>46032.40725763591</v>
      </c>
      <c r="R40" s="1">
        <f t="shared" si="3"/>
        <v>0.73680148924584499</v>
      </c>
      <c r="T40" s="1">
        <v>1.87</v>
      </c>
      <c r="U40" s="1">
        <f t="shared" si="4"/>
        <v>175355.37381811594</v>
      </c>
      <c r="V40" s="1">
        <f t="shared" si="5"/>
        <v>1.9154778235127015</v>
      </c>
    </row>
    <row r="41" spans="1:22" x14ac:dyDescent="0.2">
      <c r="P41" s="1">
        <v>1.36</v>
      </c>
      <c r="Q41" s="1">
        <f t="shared" si="2"/>
        <v>46327.127853334248</v>
      </c>
      <c r="R41" s="1">
        <f t="shared" si="3"/>
        <v>0.7340955986584049</v>
      </c>
      <c r="T41" s="1">
        <v>1.88</v>
      </c>
      <c r="U41" s="1">
        <f t="shared" si="4"/>
        <v>176121.56494752102</v>
      </c>
      <c r="V41" s="1">
        <f t="shared" si="5"/>
        <v>1.9107662459865242</v>
      </c>
    </row>
    <row r="42" spans="1:22" x14ac:dyDescent="0.2">
      <c r="P42" s="1">
        <v>1.37</v>
      </c>
      <c r="Q42" s="1">
        <f t="shared" si="2"/>
        <v>46620.76609279761</v>
      </c>
      <c r="R42" s="1">
        <f t="shared" si="3"/>
        <v>0.73141411648217403</v>
      </c>
      <c r="T42" s="1">
        <v>1.89</v>
      </c>
      <c r="U42" s="1">
        <f t="shared" si="4"/>
        <v>176885.87144591563</v>
      </c>
      <c r="V42" s="1">
        <f t="shared" si="5"/>
        <v>1.9061177867945662</v>
      </c>
    </row>
    <row r="43" spans="1:22" x14ac:dyDescent="0.2">
      <c r="P43" s="1">
        <v>1.38</v>
      </c>
      <c r="Q43" s="1">
        <f t="shared" si="2"/>
        <v>46913.33173939048</v>
      </c>
      <c r="R43" s="1">
        <f t="shared" si="3"/>
        <v>0.72875813482873131</v>
      </c>
      <c r="T43" s="1">
        <v>1.9</v>
      </c>
      <c r="U43" s="1">
        <f t="shared" si="4"/>
        <v>177648.31856063346</v>
      </c>
      <c r="V43" s="1">
        <f t="shared" si="5"/>
        <v>1.9015318377871153</v>
      </c>
    </row>
    <row r="44" spans="1:22" x14ac:dyDescent="0.2">
      <c r="P44" s="1">
        <v>1.39</v>
      </c>
      <c r="Q44" s="1">
        <f t="shared" si="2"/>
        <v>47204.834993321972</v>
      </c>
      <c r="R44" s="1">
        <f t="shared" si="3"/>
        <v>0.72612865272898486</v>
      </c>
      <c r="T44" s="1">
        <v>1.91</v>
      </c>
      <c r="U44" s="1">
        <f t="shared" si="4"/>
        <v>178408.93129574831</v>
      </c>
      <c r="V44" s="1">
        <f t="shared" si="5"/>
        <v>1.8970077598878561</v>
      </c>
    </row>
    <row r="45" spans="1:22" x14ac:dyDescent="0.2">
      <c r="P45" s="1">
        <v>1.4</v>
      </c>
      <c r="Q45" s="1">
        <f t="shared" si="2"/>
        <v>47495.286454413566</v>
      </c>
      <c r="R45" s="1">
        <f t="shared" si="3"/>
        <v>0.72352657826786526</v>
      </c>
      <c r="T45" s="1">
        <v>1.92</v>
      </c>
      <c r="U45" s="1">
        <f t="shared" si="4"/>
        <v>179167.73439970345</v>
      </c>
      <c r="V45" s="1">
        <f t="shared" si="5"/>
        <v>1.8925448859439349</v>
      </c>
    </row>
    <row r="46" spans="1:22" x14ac:dyDescent="0.2">
      <c r="P46" s="1">
        <v>1.41</v>
      </c>
      <c r="Q46" s="1">
        <f t="shared" si="2"/>
        <v>47784.697085720712</v>
      </c>
      <c r="R46" s="1">
        <f t="shared" si="3"/>
        <v>0.72095273097496826</v>
      </c>
      <c r="T46" s="1">
        <v>1.93</v>
      </c>
      <c r="U46" s="1">
        <f t="shared" si="4"/>
        <v>179924.75235408102</v>
      </c>
      <c r="V46" s="1">
        <f t="shared" si="5"/>
        <v>1.8881425234486959</v>
      </c>
    </row>
    <row r="47" spans="1:22" x14ac:dyDescent="0.2">
      <c r="P47" s="1">
        <v>1.42</v>
      </c>
      <c r="Q47" s="1">
        <f t="shared" si="2"/>
        <v>48073.0781781107</v>
      </c>
      <c r="R47" s="1">
        <f t="shared" si="3"/>
        <v>0.71840784443838857</v>
      </c>
      <c r="T47" s="1">
        <v>1.94</v>
      </c>
      <c r="U47" s="1">
        <f t="shared" si="4"/>
        <v>180680.0093634605</v>
      </c>
      <c r="V47" s="1">
        <f t="shared" si="5"/>
        <v>1.883799957139854</v>
      </c>
    </row>
    <row r="48" spans="1:22" x14ac:dyDescent="0.2">
      <c r="P48" s="1">
        <v>1.43</v>
      </c>
      <c r="Q48" s="1">
        <f t="shared" si="2"/>
        <v>48360.441315886055</v>
      </c>
      <c r="R48" s="1">
        <f t="shared" si="3"/>
        <v>0.71589256910976473</v>
      </c>
      <c r="T48" s="1">
        <v>1.95</v>
      </c>
      <c r="U48" s="1">
        <f t="shared" si="4"/>
        <v>181433.52934631644</v>
      </c>
      <c r="V48" s="1">
        <f t="shared" si="5"/>
        <v>1.8795164514744829</v>
      </c>
    </row>
    <row r="49" spans="16:22" x14ac:dyDescent="0.2">
      <c r="P49" s="1">
        <v>1.44</v>
      </c>
      <c r="Q49" s="1">
        <f t="shared" si="2"/>
        <v>48646.798343529961</v>
      </c>
      <c r="R49" s="1">
        <f t="shared" si="3"/>
        <v>0.71340747526899573</v>
      </c>
      <c r="T49" s="1">
        <v>1.96</v>
      </c>
      <c r="U49" s="1">
        <f t="shared" si="4"/>
        <v>182185.33592690623</v>
      </c>
      <c r="V49" s="1">
        <f t="shared" si="5"/>
        <v>1.8752912529801689</v>
      </c>
    </row>
    <row r="50" spans="16:22" x14ac:dyDescent="0.2">
      <c r="P50" s="1">
        <v>1.45</v>
      </c>
      <c r="Q50" s="1">
        <f t="shared" si="2"/>
        <v>48932.161333637559</v>
      </c>
      <c r="R50" s="1">
        <f t="shared" si="3"/>
        <v>0.71095305612012449</v>
      </c>
      <c r="T50" s="1">
        <v>1.97</v>
      </c>
      <c r="U50" s="1">
        <f t="shared" si="4"/>
        <v>182935.4524280983</v>
      </c>
      <c r="V50" s="1">
        <f t="shared" si="5"/>
        <v>1.8711235924890206</v>
      </c>
    </row>
    <row r="51" spans="16:22" x14ac:dyDescent="0.2">
      <c r="P51" s="1">
        <v>1.46</v>
      </c>
      <c r="Q51" s="1">
        <f t="shared" si="2"/>
        <v>49216.542556085609</v>
      </c>
      <c r="R51" s="1">
        <f t="shared" si="3"/>
        <v>0.70852973098999428</v>
      </c>
      <c r="T51" s="1">
        <v>1.98</v>
      </c>
      <c r="U51" s="1">
        <f t="shared" si="4"/>
        <v>183683.90186509391</v>
      </c>
      <c r="V51" s="1">
        <f t="shared" si="5"/>
        <v>1.8670126872502442</v>
      </c>
    </row>
    <row r="52" spans="16:22" x14ac:dyDescent="0.2">
      <c r="P52" s="1">
        <v>1.47</v>
      </c>
      <c r="Q52" s="1">
        <f t="shared" si="2"/>
        <v>49499.954448481607</v>
      </c>
      <c r="R52" s="1">
        <f t="shared" si="3"/>
        <v>0.70613784860384843</v>
      </c>
      <c r="T52" s="1">
        <v>1.99</v>
      </c>
      <c r="U52" s="1">
        <f t="shared" si="4"/>
        <v>184430.70693999401</v>
      </c>
      <c r="V52" s="1">
        <f t="shared" si="5"/>
        <v>1.8629577429303754</v>
      </c>
    </row>
    <row r="53" spans="16:22" x14ac:dyDescent="0.2">
      <c r="P53" s="1">
        <v>1.48</v>
      </c>
      <c r="Q53" s="1">
        <f t="shared" si="2"/>
        <v>49782.409587923146</v>
      </c>
      <c r="R53" s="1">
        <f t="shared" si="3"/>
        <v>0.70377769041397187</v>
      </c>
      <c r="T53" s="1">
        <v>2</v>
      </c>
      <c r="U53" s="1">
        <f t="shared" si="4"/>
        <v>185175.89003716616</v>
      </c>
      <c r="V53" s="1">
        <f t="shared" si="5"/>
        <v>1.8589579555020463</v>
      </c>
    </row>
    <row r="54" spans="16:22" x14ac:dyDescent="0.2">
      <c r="P54" s="1">
        <v>1.49</v>
      </c>
      <c r="Q54" s="1">
        <f t="shared" si="2"/>
        <v>50063.920664088735</v>
      </c>
      <c r="R54" s="1">
        <f t="shared" si="3"/>
        <v>0.70144947395818236</v>
      </c>
      <c r="T54" s="1">
        <v>2.0099999999999998</v>
      </c>
      <c r="U54" s="1">
        <f t="shared" si="4"/>
        <v>185919.47321936698</v>
      </c>
      <c r="V54" s="1">
        <f t="shared" si="5"/>
        <v>1.8550125130196831</v>
      </c>
    </row>
    <row r="55" spans="16:22" x14ac:dyDescent="0.2">
      <c r="P55" s="1">
        <v>1.5</v>
      </c>
      <c r="Q55" s="1">
        <f t="shared" ref="Q55:Q86" si="6">40000*0.875315*(POWER(POWER(P55,2.424242+0.975417/LN(POWER(P55,4.329004)+4)),0.314077))</f>
        <v>50344.500453672008</v>
      </c>
      <c r="R55" s="1">
        <f t="shared" ref="R55:R86" si="7">(Q56-Q55)/0.01/40000</f>
        <v>0.69915335622838026</v>
      </c>
      <c r="T55" s="1">
        <v>2.02</v>
      </c>
      <c r="U55" s="1">
        <f t="shared" si="4"/>
        <v>186661.47822457485</v>
      </c>
      <c r="V55" s="1">
        <f t="shared" si="5"/>
        <v>1.8511205972935567</v>
      </c>
    </row>
    <row r="56" spans="16:22" x14ac:dyDescent="0.2">
      <c r="P56" s="1">
        <v>1.51</v>
      </c>
      <c r="Q56" s="1">
        <f t="shared" si="6"/>
        <v>50624.16179616336</v>
      </c>
      <c r="R56" s="1">
        <f t="shared" si="7"/>
        <v>0.69688943702998585</v>
      </c>
      <c r="T56" s="1">
        <v>2.0299999999999998</v>
      </c>
      <c r="U56" s="1">
        <f t="shared" si="4"/>
        <v>187401.92646349227</v>
      </c>
      <c r="V56" s="1">
        <f t="shared" si="5"/>
        <v>1.8472813854593551</v>
      </c>
    </row>
    <row r="57" spans="16:22" x14ac:dyDescent="0.2">
      <c r="P57" s="1">
        <v>1.52</v>
      </c>
      <c r="Q57" s="1">
        <f t="shared" si="6"/>
        <v>50902.917570975354</v>
      </c>
      <c r="R57" s="1">
        <f t="shared" si="7"/>
        <v>0.69465776231523702</v>
      </c>
      <c r="T57" s="1">
        <v>2.04</v>
      </c>
      <c r="U57" s="1">
        <f t="shared" si="4"/>
        <v>188140.83901767601</v>
      </c>
      <c r="V57" s="1">
        <f t="shared" si="5"/>
        <v>1.8434940514485061</v>
      </c>
    </row>
    <row r="58" spans="16:22" x14ac:dyDescent="0.2">
      <c r="P58" s="1">
        <v>1.53</v>
      </c>
      <c r="Q58" s="1">
        <f t="shared" si="6"/>
        <v>51180.780675901449</v>
      </c>
      <c r="R58" s="1">
        <f t="shared" si="7"/>
        <v>0.69245832747528768</v>
      </c>
      <c r="T58" s="1">
        <v>2.0499999999999998</v>
      </c>
      <c r="U58" s="1">
        <f t="shared" si="4"/>
        <v>188878.23663825542</v>
      </c>
      <c r="V58" s="1">
        <f t="shared" si="5"/>
        <v>1.839757767364572</v>
      </c>
    </row>
    <row r="59" spans="16:22" x14ac:dyDescent="0.2">
      <c r="P59" s="1">
        <v>1.54</v>
      </c>
      <c r="Q59" s="1">
        <f t="shared" si="6"/>
        <v>51457.764006891564</v>
      </c>
      <c r="R59" s="1">
        <f t="shared" si="7"/>
        <v>0.69029108057759003</v>
      </c>
      <c r="T59" s="1">
        <v>2.06</v>
      </c>
      <c r="U59" s="1">
        <f t="shared" si="4"/>
        <v>189614.13974520125</v>
      </c>
      <c r="V59" s="1">
        <f t="shared" si="5"/>
        <v>1.8360717047649815</v>
      </c>
    </row>
    <row r="60" spans="16:22" x14ac:dyDescent="0.2">
      <c r="P60" s="1">
        <v>1.55</v>
      </c>
      <c r="Q60" s="1">
        <f t="shared" si="6"/>
        <v>51733.8804391226</v>
      </c>
      <c r="R60" s="1">
        <f t="shared" si="7"/>
        <v>0.68815592553719396</v>
      </c>
      <c r="T60" s="1">
        <v>2.0699999999999998</v>
      </c>
      <c r="U60" s="1">
        <f t="shared" si="4"/>
        <v>190348.56842710724</v>
      </c>
      <c r="V60" s="1">
        <f t="shared" si="5"/>
        <v>1.8324350358577066</v>
      </c>
    </row>
    <row r="61" spans="16:22" x14ac:dyDescent="0.2">
      <c r="P61" s="1">
        <v>1.56</v>
      </c>
      <c r="Q61" s="1">
        <f t="shared" si="6"/>
        <v>52009.142809337478</v>
      </c>
      <c r="R61" s="1">
        <f t="shared" si="7"/>
        <v>0.68605272521010197</v>
      </c>
      <c r="T61" s="1">
        <v>2.08</v>
      </c>
      <c r="U61" s="1">
        <f t="shared" si="4"/>
        <v>191081.54244145032</v>
      </c>
      <c r="V61" s="1">
        <f t="shared" si="5"/>
        <v>1.8288469346101193</v>
      </c>
    </row>
    <row r="62" spans="16:22" x14ac:dyDescent="0.2">
      <c r="P62" s="1">
        <v>1.57</v>
      </c>
      <c r="Q62" s="1">
        <f t="shared" si="6"/>
        <v>52283.563899421519</v>
      </c>
      <c r="R62" s="1">
        <f t="shared" si="7"/>
        <v>0.68398130440229576</v>
      </c>
      <c r="T62" s="1">
        <v>2.09</v>
      </c>
      <c r="U62" s="1">
        <f t="shared" si="4"/>
        <v>191813.08121529437</v>
      </c>
      <c r="V62" s="1">
        <f t="shared" si="5"/>
        <v>1.8253065777799202</v>
      </c>
    </row>
    <row r="63" spans="16:22" x14ac:dyDescent="0.2">
      <c r="P63" s="1">
        <v>1.58</v>
      </c>
      <c r="Q63" s="1">
        <f t="shared" si="6"/>
        <v>52557.156421182437</v>
      </c>
      <c r="R63" s="1">
        <f t="shared" si="7"/>
        <v>0.68194145278495855</v>
      </c>
      <c r="T63" s="1">
        <v>2.1</v>
      </c>
      <c r="U63" s="1">
        <f t="shared" si="4"/>
        <v>192543.20384640634</v>
      </c>
      <c r="V63" s="1">
        <f t="shared" si="5"/>
        <v>1.8218131458650897</v>
      </c>
    </row>
    <row r="64" spans="16:22" x14ac:dyDescent="0.2">
      <c r="P64" s="1">
        <v>1.59</v>
      </c>
      <c r="Q64" s="1">
        <f t="shared" si="6"/>
        <v>52829.93300229642</v>
      </c>
      <c r="R64" s="1">
        <f t="shared" si="7"/>
        <v>0.67993292771096092</v>
      </c>
      <c r="T64" s="1">
        <v>2.11</v>
      </c>
      <c r="U64" s="1">
        <f t="shared" si="4"/>
        <v>193271.92910475237</v>
      </c>
      <c r="V64" s="1">
        <f t="shared" si="5"/>
        <v>1.8183658239830403</v>
      </c>
    </row>
    <row r="65" spans="16:22" x14ac:dyDescent="0.2">
      <c r="P65" s="1">
        <v>1.6</v>
      </c>
      <c r="Q65" s="1">
        <f t="shared" si="6"/>
        <v>53101.906173380805</v>
      </c>
      <c r="R65" s="1">
        <f t="shared" si="7"/>
        <v>0.67795545692710224</v>
      </c>
      <c r="T65" s="1">
        <v>2.12</v>
      </c>
      <c r="U65" s="1">
        <f t="shared" si="4"/>
        <v>193999.27543434559</v>
      </c>
      <c r="V65" s="1">
        <f t="shared" si="5"/>
        <v>1.8149638026767934</v>
      </c>
    </row>
    <row r="66" spans="16:22" x14ac:dyDescent="0.2">
      <c r="P66" s="1">
        <v>1.61</v>
      </c>
      <c r="Q66" s="1">
        <f t="shared" si="6"/>
        <v>53373.088356151646</v>
      </c>
      <c r="R66" s="1">
        <f t="shared" si="7"/>
        <v>0.67600874117912102</v>
      </c>
      <c r="T66" s="1">
        <v>2.13</v>
      </c>
      <c r="U66" s="1">
        <f t="shared" si="4"/>
        <v>194725.26095541631</v>
      </c>
      <c r="V66" s="1">
        <f t="shared" si="5"/>
        <v>1.811606278656327</v>
      </c>
    </row>
    <row r="67" spans="16:22" x14ac:dyDescent="0.2">
      <c r="P67" s="1">
        <v>1.62</v>
      </c>
      <c r="Q67" s="1">
        <f t="shared" si="6"/>
        <v>53643.491852623294</v>
      </c>
      <c r="R67" s="1">
        <f t="shared" si="7"/>
        <v>0.67409245670609375</v>
      </c>
      <c r="T67" s="1">
        <v>2.14</v>
      </c>
      <c r="U67" s="1">
        <f t="shared" ref="U67:U98" si="8">3.3*40000*0.875315*(POWER(POWER(T67/1.16778,2.424242+0.975417/LN(POWER(T67/1.16778,4.329004)+4)),0.314077))</f>
        <v>195449.90346687884</v>
      </c>
      <c r="V67" s="1">
        <f t="shared" ref="V67:V98" si="9">(U68-U67)/0.01/40000</f>
        <v>1.808292455473711</v>
      </c>
    </row>
    <row r="68" spans="16:22" x14ac:dyDescent="0.2">
      <c r="P68" s="1">
        <v>1.63</v>
      </c>
      <c r="Q68" s="1">
        <f t="shared" si="6"/>
        <v>53913.128835305732</v>
      </c>
      <c r="R68" s="1">
        <f t="shared" si="7"/>
        <v>0.67220625762258346</v>
      </c>
      <c r="T68" s="1">
        <v>2.15</v>
      </c>
      <c r="U68" s="1">
        <f t="shared" si="8"/>
        <v>196173.22044906832</v>
      </c>
      <c r="V68" s="1">
        <f t="shared" si="9"/>
        <v>1.8050215441406181</v>
      </c>
    </row>
    <row r="69" spans="16:22" x14ac:dyDescent="0.2">
      <c r="P69" s="1">
        <v>1.64</v>
      </c>
      <c r="Q69" s="1">
        <f t="shared" si="6"/>
        <v>54182.011338354765</v>
      </c>
      <c r="R69" s="1">
        <f t="shared" si="7"/>
        <v>0.67034977818786501</v>
      </c>
      <c r="T69" s="1">
        <v>2.16</v>
      </c>
      <c r="U69" s="1">
        <f t="shared" si="8"/>
        <v>196895.22906672457</v>
      </c>
      <c r="V69" s="1">
        <f t="shared" si="9"/>
        <v>1.8017927636860986</v>
      </c>
    </row>
    <row r="70" spans="16:22" x14ac:dyDescent="0.2">
      <c r="P70" s="1">
        <v>1.65</v>
      </c>
      <c r="Q70" s="1">
        <f t="shared" si="6"/>
        <v>54450.151249629911</v>
      </c>
      <c r="R70" s="1">
        <f t="shared" si="7"/>
        <v>0.66852263496202791</v>
      </c>
      <c r="T70" s="1">
        <v>2.17</v>
      </c>
      <c r="U70" s="1">
        <f t="shared" si="8"/>
        <v>197615.94617219901</v>
      </c>
      <c r="V70" s="1">
        <f t="shared" si="9"/>
        <v>1.7986053416619689</v>
      </c>
    </row>
    <row r="71" spans="16:22" x14ac:dyDescent="0.2">
      <c r="P71" s="1">
        <v>1.66</v>
      </c>
      <c r="Q71" s="1">
        <f t="shared" si="6"/>
        <v>54717.560303614722</v>
      </c>
      <c r="R71" s="1">
        <f t="shared" si="7"/>
        <v>0.66672442884910199</v>
      </c>
      <c r="T71" s="1">
        <v>2.1800000000000002</v>
      </c>
      <c r="U71" s="1">
        <f t="shared" si="8"/>
        <v>198335.3883088638</v>
      </c>
      <c r="V71" s="1">
        <f t="shared" si="9"/>
        <v>1.7954585145957389</v>
      </c>
    </row>
    <row r="72" spans="16:22" x14ac:dyDescent="0.2">
      <c r="P72" s="1">
        <v>1.67</v>
      </c>
      <c r="Q72" s="1">
        <f t="shared" si="6"/>
        <v>54984.250075154363</v>
      </c>
      <c r="R72" s="1">
        <f t="shared" si="7"/>
        <v>0.66495474702885982</v>
      </c>
      <c r="T72" s="1">
        <v>2.19</v>
      </c>
      <c r="U72" s="1">
        <f t="shared" si="8"/>
        <v>199053.57171470209</v>
      </c>
      <c r="V72" s="1">
        <f t="shared" si="9"/>
        <v>1.792351528397121</v>
      </c>
    </row>
    <row r="73" spans="16:22" x14ac:dyDescent="0.2">
      <c r="P73" s="1">
        <v>1.68</v>
      </c>
      <c r="Q73" s="1">
        <f t="shared" si="6"/>
        <v>55250.231973965907</v>
      </c>
      <c r="R73" s="1">
        <f t="shared" si="7"/>
        <v>0.66321316477862635</v>
      </c>
      <c r="T73" s="1">
        <v>2.2000000000000002</v>
      </c>
      <c r="U73" s="1">
        <f t="shared" si="8"/>
        <v>199770.51232606094</v>
      </c>
      <c r="V73" s="1">
        <f t="shared" si="9"/>
        <v>1.7892836387168063</v>
      </c>
    </row>
    <row r="74" spans="16:22" x14ac:dyDescent="0.2">
      <c r="P74" s="1">
        <v>1.69</v>
      </c>
      <c r="Q74" s="1">
        <f t="shared" si="6"/>
        <v>55515.517239877357</v>
      </c>
      <c r="R74" s="1">
        <f t="shared" si="7"/>
        <v>0.66149924718683906</v>
      </c>
      <c r="T74" s="1">
        <v>2.21</v>
      </c>
      <c r="U74" s="1">
        <f t="shared" si="8"/>
        <v>200486.22578154766</v>
      </c>
      <c r="V74" s="1">
        <f t="shared" si="9"/>
        <v>1.7862541112653707</v>
      </c>
    </row>
    <row r="75" spans="16:22" x14ac:dyDescent="0.2">
      <c r="P75" s="1">
        <v>1.7</v>
      </c>
      <c r="Q75" s="1">
        <f t="shared" si="6"/>
        <v>55780.116938752093</v>
      </c>
      <c r="R75" s="1">
        <f t="shared" si="7"/>
        <v>0.65981255076210799</v>
      </c>
      <c r="T75" s="1">
        <v>2.2200000000000002</v>
      </c>
      <c r="U75" s="1">
        <f t="shared" si="8"/>
        <v>201200.72742605381</v>
      </c>
      <c r="V75" s="1">
        <f t="shared" si="9"/>
        <v>1.7832622220885241</v>
      </c>
    </row>
    <row r="76" spans="16:22" x14ac:dyDescent="0.2">
      <c r="P76" s="1">
        <v>1.71</v>
      </c>
      <c r="Q76" s="1">
        <f t="shared" si="6"/>
        <v>56044.041959056936</v>
      </c>
      <c r="R76" s="1">
        <f t="shared" si="7"/>
        <v>0.65815262493875704</v>
      </c>
      <c r="T76" s="1">
        <v>2.23</v>
      </c>
      <c r="U76" s="1">
        <f t="shared" si="8"/>
        <v>201914.03231488922</v>
      </c>
      <c r="V76" s="1">
        <f t="shared" si="9"/>
        <v>1.7803072578083812</v>
      </c>
    </row>
    <row r="77" spans="16:22" x14ac:dyDescent="0.2">
      <c r="P77" s="1">
        <v>1.72</v>
      </c>
      <c r="Q77" s="1">
        <f t="shared" si="6"/>
        <v>56307.303009032439</v>
      </c>
      <c r="R77" s="1">
        <f t="shared" si="7"/>
        <v>0.65651901348370301</v>
      </c>
      <c r="T77" s="1">
        <v>2.2400000000000002</v>
      </c>
      <c r="U77" s="1">
        <f t="shared" si="8"/>
        <v>202626.15521801257</v>
      </c>
      <c r="V77" s="1">
        <f t="shared" si="9"/>
        <v>1.7773885158278426</v>
      </c>
    </row>
    <row r="78" spans="16:22" x14ac:dyDescent="0.2">
      <c r="P78" s="1">
        <v>1.73</v>
      </c>
      <c r="Q78" s="1">
        <f t="shared" si="6"/>
        <v>56569.91061442592</v>
      </c>
      <c r="R78" s="1">
        <f t="shared" si="7"/>
        <v>0.6549112558065463</v>
      </c>
      <c r="T78" s="1">
        <v>2.25</v>
      </c>
      <c r="U78" s="1">
        <f t="shared" si="8"/>
        <v>203337.11062434371</v>
      </c>
      <c r="V78" s="1">
        <f t="shared" si="9"/>
        <v>1.7745053045016539</v>
      </c>
    </row>
    <row r="79" spans="16:22" x14ac:dyDescent="0.2">
      <c r="P79" s="1">
        <v>1.74</v>
      </c>
      <c r="Q79" s="1">
        <f t="shared" si="6"/>
        <v>56831.875116748539</v>
      </c>
      <c r="R79" s="1">
        <f t="shared" si="7"/>
        <v>0.6533288881776389</v>
      </c>
      <c r="T79" s="1">
        <v>2.2599999999999998</v>
      </c>
      <c r="U79" s="1">
        <f t="shared" si="8"/>
        <v>204046.91274614437</v>
      </c>
      <c r="V79" s="1">
        <f t="shared" si="9"/>
        <v>1.7716569432776306</v>
      </c>
    </row>
    <row r="80" spans="16:22" x14ac:dyDescent="0.2">
      <c r="P80" s="1">
        <v>1.75</v>
      </c>
      <c r="Q80" s="1">
        <f t="shared" si="6"/>
        <v>57093.206672019594</v>
      </c>
      <c r="R80" s="1">
        <f t="shared" si="7"/>
        <v>0.65177144485640381</v>
      </c>
      <c r="T80" s="1">
        <v>2.27</v>
      </c>
      <c r="U80" s="1">
        <f t="shared" si="8"/>
        <v>204755.57552345542</v>
      </c>
      <c r="V80" s="1">
        <f t="shared" si="9"/>
        <v>1.7688427628086356</v>
      </c>
    </row>
    <row r="81" spans="16:22" x14ac:dyDescent="0.2">
      <c r="P81" s="1">
        <v>1.76</v>
      </c>
      <c r="Q81" s="1">
        <f t="shared" si="6"/>
        <v>57353.915249962156</v>
      </c>
      <c r="R81" s="1">
        <f t="shared" si="7"/>
        <v>0.65023845913474365</v>
      </c>
      <c r="T81" s="1">
        <v>2.2799999999999998</v>
      </c>
      <c r="U81" s="1">
        <f t="shared" si="8"/>
        <v>205463.11262857888</v>
      </c>
      <c r="V81" s="1">
        <f t="shared" si="9"/>
        <v>1.7660621050394547</v>
      </c>
    </row>
    <row r="82" spans="16:22" x14ac:dyDescent="0.2">
      <c r="P82" s="1">
        <v>1.77</v>
      </c>
      <c r="Q82" s="1">
        <f t="shared" si="6"/>
        <v>57614.010633616053</v>
      </c>
      <c r="R82" s="1">
        <f t="shared" si="7"/>
        <v>0.64872946429886724</v>
      </c>
      <c r="T82" s="1">
        <v>2.29</v>
      </c>
      <c r="U82" s="1">
        <f t="shared" si="8"/>
        <v>206169.53747059466</v>
      </c>
      <c r="V82" s="1">
        <f t="shared" si="9"/>
        <v>1.7633143232663862</v>
      </c>
    </row>
    <row r="83" spans="16:22" x14ac:dyDescent="0.2">
      <c r="P83" s="1">
        <v>1.78</v>
      </c>
      <c r="Q83" s="1">
        <f t="shared" si="6"/>
        <v>57873.5024193356</v>
      </c>
      <c r="R83" s="1">
        <f t="shared" si="7"/>
        <v>0.64724399451286441</v>
      </c>
      <c r="T83" s="1">
        <v>2.2999999999999998</v>
      </c>
      <c r="U83" s="1">
        <f t="shared" si="8"/>
        <v>206874.86319990121</v>
      </c>
      <c r="V83" s="1">
        <f t="shared" si="9"/>
        <v>1.7605987821766758</v>
      </c>
    </row>
    <row r="84" spans="16:22" x14ac:dyDescent="0.2">
      <c r="P84" s="1">
        <v>1.79</v>
      </c>
      <c r="Q84" s="1">
        <f t="shared" si="6"/>
        <v>58132.400017140746</v>
      </c>
      <c r="R84" s="1">
        <f t="shared" si="7"/>
        <v>0.64578158562886534</v>
      </c>
      <c r="T84" s="1">
        <v>2.31</v>
      </c>
      <c r="U84" s="1">
        <f t="shared" si="8"/>
        <v>207579.10271277188</v>
      </c>
      <c r="V84" s="1">
        <f t="shared" si="9"/>
        <v>1.7579148578645254</v>
      </c>
    </row>
    <row r="85" spans="16:22" x14ac:dyDescent="0.2">
      <c r="P85" s="1">
        <v>1.8</v>
      </c>
      <c r="Q85" s="1">
        <f t="shared" si="6"/>
        <v>58390.712651392292</v>
      </c>
      <c r="R85" s="1">
        <f t="shared" si="7"/>
        <v>0.64434177592618658</v>
      </c>
      <c r="T85" s="1">
        <v>2.3199999999999998</v>
      </c>
      <c r="U85" s="1">
        <f t="shared" si="8"/>
        <v>208282.26865591769</v>
      </c>
      <c r="V85" s="1">
        <f t="shared" si="9"/>
        <v>1.7552619378294185</v>
      </c>
    </row>
    <row r="86" spans="16:22" x14ac:dyDescent="0.2">
      <c r="P86" s="1">
        <v>1.81</v>
      </c>
      <c r="Q86" s="1">
        <f t="shared" si="6"/>
        <v>58648.449361762767</v>
      </c>
      <c r="R86" s="1">
        <f t="shared" si="7"/>
        <v>0.64292410678488521</v>
      </c>
      <c r="T86" s="1">
        <v>2.33</v>
      </c>
      <c r="U86" s="1">
        <f t="shared" si="8"/>
        <v>208984.37343104946</v>
      </c>
      <c r="V86" s="1">
        <f t="shared" si="9"/>
        <v>1.7526394209544378</v>
      </c>
    </row>
    <row r="87" spans="16:22" x14ac:dyDescent="0.2">
      <c r="P87" s="1">
        <v>1.82</v>
      </c>
      <c r="Q87" s="1">
        <f t="shared" ref="Q87:Q118" si="10">40000*0.875315*(POWER(POWER(P87,2.424242+0.975417/LN(POWER(P87,4.329004)+4)),0.314077))</f>
        <v>58905.619004476721</v>
      </c>
      <c r="R87" s="1">
        <f t="shared" ref="R87:R118" si="11">(Q88-Q87)/0.01/40000</f>
        <v>0.64152812329517472</v>
      </c>
      <c r="T87" s="1">
        <v>2.34</v>
      </c>
      <c r="U87" s="1">
        <f t="shared" si="8"/>
        <v>209685.42919943124</v>
      </c>
      <c r="V87" s="1">
        <f t="shared" si="9"/>
        <v>1.7500467174703953</v>
      </c>
    </row>
    <row r="88" spans="16:22" x14ac:dyDescent="0.2">
      <c r="P88" s="1">
        <v>1.83</v>
      </c>
      <c r="Q88" s="1">
        <f t="shared" si="10"/>
        <v>59162.230253794791</v>
      </c>
      <c r="R88" s="1">
        <f t="shared" si="11"/>
        <v>0.64015337480876044</v>
      </c>
      <c r="T88" s="1">
        <v>2.35</v>
      </c>
      <c r="U88" s="1">
        <f t="shared" si="8"/>
        <v>210385.4478864194</v>
      </c>
      <c r="V88" s="1">
        <f t="shared" si="9"/>
        <v>1.7474832489021355</v>
      </c>
    </row>
    <row r="89" spans="16:22" x14ac:dyDescent="0.2">
      <c r="P89" s="1">
        <v>1.84</v>
      </c>
      <c r="Q89" s="1">
        <f t="shared" si="10"/>
        <v>59418.291603718295</v>
      </c>
      <c r="R89" s="1">
        <f t="shared" si="11"/>
        <v>0.63879941543355012</v>
      </c>
      <c r="T89" s="1">
        <v>2.36</v>
      </c>
      <c r="U89" s="1">
        <f t="shared" si="8"/>
        <v>211084.44118598025</v>
      </c>
      <c r="V89" s="1">
        <f t="shared" si="9"/>
        <v>1.7449484480041428</v>
      </c>
    </row>
    <row r="90" spans="16:22" x14ac:dyDescent="0.2">
      <c r="P90" s="1">
        <v>1.85</v>
      </c>
      <c r="Q90" s="1">
        <f t="shared" si="10"/>
        <v>59673.811369891715</v>
      </c>
      <c r="R90" s="1">
        <f t="shared" si="11"/>
        <v>0.63746580447603263</v>
      </c>
      <c r="T90" s="1">
        <v>2.37</v>
      </c>
      <c r="U90" s="1">
        <f t="shared" si="8"/>
        <v>211782.42056518191</v>
      </c>
      <c r="V90" s="1">
        <f t="shared" si="9"/>
        <v>1.7424417586786876</v>
      </c>
    </row>
    <row r="91" spans="16:22" x14ac:dyDescent="0.2">
      <c r="P91" s="1">
        <v>1.86</v>
      </c>
      <c r="Q91" s="1">
        <f t="shared" si="10"/>
        <v>59928.797691682128</v>
      </c>
      <c r="R91" s="1">
        <f t="shared" si="11"/>
        <v>0.6361521068348156</v>
      </c>
      <c r="T91" s="1">
        <v>2.38</v>
      </c>
      <c r="U91" s="1">
        <f t="shared" si="8"/>
        <v>212479.39726865338</v>
      </c>
      <c r="V91" s="1">
        <f t="shared" si="9"/>
        <v>1.7399626358893148</v>
      </c>
    </row>
    <row r="92" spans="16:22" x14ac:dyDescent="0.2">
      <c r="P92" s="1">
        <v>1.87</v>
      </c>
      <c r="Q92" s="1">
        <f t="shared" si="10"/>
        <v>60183.258534416054</v>
      </c>
      <c r="R92" s="1">
        <f t="shared" si="11"/>
        <v>0.63485789334788933</v>
      </c>
      <c r="T92" s="1">
        <v>2.39</v>
      </c>
      <c r="U92" s="1">
        <f t="shared" si="8"/>
        <v>213175.38232300911</v>
      </c>
      <c r="V92" s="1">
        <f t="shared" si="9"/>
        <v>1.7375105455555604</v>
      </c>
    </row>
    <row r="93" spans="16:22" x14ac:dyDescent="0.2">
      <c r="P93" s="1">
        <v>1.88</v>
      </c>
      <c r="Q93" s="1">
        <f t="shared" si="10"/>
        <v>60437.20169175521</v>
      </c>
      <c r="R93" s="1">
        <f t="shared" si="11"/>
        <v>0.63358274109696144</v>
      </c>
      <c r="T93" s="1">
        <v>2.4</v>
      </c>
      <c r="U93" s="1">
        <f t="shared" si="8"/>
        <v>213870.38654123133</v>
      </c>
      <c r="V93" s="1">
        <f t="shared" si="9"/>
        <v>1.7350849644473783</v>
      </c>
    </row>
    <row r="94" spans="16:22" x14ac:dyDescent="0.2">
      <c r="P94" s="1">
        <v>1.89</v>
      </c>
      <c r="Q94" s="1">
        <f t="shared" si="10"/>
        <v>60690.634788193995</v>
      </c>
      <c r="R94" s="1">
        <f t="shared" si="11"/>
        <v>0.63232623367164709</v>
      </c>
      <c r="T94" s="1">
        <v>2.41</v>
      </c>
      <c r="U94" s="1">
        <f t="shared" si="8"/>
        <v>214564.42052701028</v>
      </c>
      <c r="V94" s="1">
        <f t="shared" si="9"/>
        <v>1.7326853800616664</v>
      </c>
    </row>
    <row r="95" spans="16:22" x14ac:dyDescent="0.2">
      <c r="P95" s="1">
        <v>1.9</v>
      </c>
      <c r="Q95" s="1">
        <f t="shared" si="10"/>
        <v>60943.565281662653</v>
      </c>
      <c r="R95" s="1">
        <f t="shared" si="11"/>
        <v>0.63108796139695189</v>
      </c>
      <c r="T95" s="1">
        <v>2.42</v>
      </c>
      <c r="U95" s="1">
        <f t="shared" si="8"/>
        <v>215257.49467903495</v>
      </c>
      <c r="V95" s="1">
        <f t="shared" si="9"/>
        <v>1.7303112904998852</v>
      </c>
    </row>
    <row r="96" spans="16:22" x14ac:dyDescent="0.2">
      <c r="P96" s="1">
        <v>1.91</v>
      </c>
      <c r="Q96" s="1">
        <f t="shared" si="10"/>
        <v>61196.000466221434</v>
      </c>
      <c r="R96" s="1">
        <f t="shared" si="11"/>
        <v>0.62986752152555714</v>
      </c>
      <c r="T96" s="1">
        <v>2.4300000000000002</v>
      </c>
      <c r="U96" s="1">
        <f t="shared" si="8"/>
        <v>215949.6191952349</v>
      </c>
      <c r="V96" s="1">
        <f t="shared" si="9"/>
        <v>1.7279622043323615</v>
      </c>
    </row>
    <row r="97" spans="16:22" x14ac:dyDescent="0.2">
      <c r="P97" s="1">
        <v>1.92</v>
      </c>
      <c r="Q97" s="1">
        <f t="shared" si="10"/>
        <v>61447.947474831657</v>
      </c>
      <c r="R97" s="1">
        <f t="shared" si="11"/>
        <v>0.62866451839838189</v>
      </c>
      <c r="T97" s="1">
        <v>2.44</v>
      </c>
      <c r="U97" s="1">
        <f t="shared" si="8"/>
        <v>216640.80407696785</v>
      </c>
      <c r="V97" s="1">
        <f t="shared" si="9"/>
        <v>1.7256376404604088</v>
      </c>
    </row>
    <row r="98" spans="16:22" x14ac:dyDescent="0.2">
      <c r="P98" s="1">
        <v>1.93</v>
      </c>
      <c r="Q98" s="1">
        <f t="shared" si="10"/>
        <v>61699.41328219101</v>
      </c>
      <c r="R98" s="1">
        <f t="shared" si="11"/>
        <v>0.62747856357545972</v>
      </c>
      <c r="T98" s="1">
        <v>2.4500000000000002</v>
      </c>
      <c r="U98" s="1">
        <f t="shared" si="8"/>
        <v>217331.05913315201</v>
      </c>
      <c r="V98" s="1">
        <f t="shared" si="9"/>
        <v>1.723337127971754</v>
      </c>
    </row>
    <row r="99" spans="16:22" x14ac:dyDescent="0.2">
      <c r="P99" s="1">
        <v>1.94</v>
      </c>
      <c r="Q99" s="1">
        <f t="shared" si="10"/>
        <v>61950.404707621194</v>
      </c>
      <c r="R99" s="1">
        <f t="shared" si="11"/>
        <v>0.62630927593994778</v>
      </c>
      <c r="T99" s="1">
        <v>2.46</v>
      </c>
      <c r="U99" s="1">
        <f t="shared" ref="U99:U130" si="12">3.3*40000*0.875315*(POWER(POWER(T99/1.16778,2.424242+0.975417/LN(POWER(T99/1.16778,4.329004)+4)),0.314077))</f>
        <v>218020.39398434071</v>
      </c>
      <c r="V99" s="1">
        <f t="shared" ref="V99:V130" si="13">(U100-U99)/0.01/40000</f>
        <v>1.7210602059915254</v>
      </c>
    </row>
    <row r="100" spans="16:22" x14ac:dyDescent="0.2">
      <c r="P100" s="1">
        <v>1.95</v>
      </c>
      <c r="Q100" s="1">
        <f t="shared" si="10"/>
        <v>62200.928417997173</v>
      </c>
      <c r="R100" s="1">
        <f t="shared" si="11"/>
        <v>0.62515628177607141</v>
      </c>
      <c r="T100" s="1">
        <v>2.4700000000000002</v>
      </c>
      <c r="U100" s="1">
        <f t="shared" si="12"/>
        <v>218708.81806673732</v>
      </c>
      <c r="V100" s="1">
        <f t="shared" si="13"/>
        <v>1.718806423529968</v>
      </c>
    </row>
    <row r="101" spans="16:22" x14ac:dyDescent="0.2">
      <c r="P101" s="1">
        <v>1.96</v>
      </c>
      <c r="Q101" s="1">
        <f t="shared" si="10"/>
        <v>62450.990930707601</v>
      </c>
      <c r="R101" s="1">
        <f t="shared" si="11"/>
        <v>0.62401921482496614</v>
      </c>
      <c r="T101" s="1">
        <v>2.48</v>
      </c>
      <c r="U101" s="1">
        <f t="shared" si="12"/>
        <v>219396.34063614931</v>
      </c>
      <c r="V101" s="1">
        <f t="shared" si="13"/>
        <v>1.7165753393258638</v>
      </c>
    </row>
    <row r="102" spans="16:22" x14ac:dyDescent="0.2">
      <c r="P102" s="1">
        <v>1.97</v>
      </c>
      <c r="Q102" s="1">
        <f t="shared" si="10"/>
        <v>62700.598616637588</v>
      </c>
      <c r="R102" s="1">
        <f t="shared" si="11"/>
        <v>0.62289771631898472</v>
      </c>
      <c r="T102" s="1">
        <v>2.4900000000000002</v>
      </c>
      <c r="U102" s="1">
        <f t="shared" si="12"/>
        <v>220082.97077187966</v>
      </c>
      <c r="V102" s="1">
        <f t="shared" si="13"/>
        <v>1.7143665216874797</v>
      </c>
    </row>
    <row r="103" spans="16:22" x14ac:dyDescent="0.2">
      <c r="P103" s="1">
        <v>1.98</v>
      </c>
      <c r="Q103" s="1">
        <f t="shared" si="10"/>
        <v>62949.757703165182</v>
      </c>
      <c r="R103" s="1">
        <f t="shared" si="11"/>
        <v>0.62179143499621203</v>
      </c>
      <c r="T103" s="1">
        <v>2.5</v>
      </c>
      <c r="U103" s="1">
        <f t="shared" si="12"/>
        <v>220768.71738055465</v>
      </c>
      <c r="V103" s="1">
        <f t="shared" si="13"/>
        <v>1.7121795483319147</v>
      </c>
    </row>
    <row r="104" spans="16:22" x14ac:dyDescent="0.2">
      <c r="P104" s="1">
        <v>1.99</v>
      </c>
      <c r="Q104" s="1">
        <f t="shared" si="10"/>
        <v>63198.474277163667</v>
      </c>
      <c r="R104" s="1">
        <f t="shared" si="11"/>
        <v>0.62070002709855543</v>
      </c>
      <c r="T104" s="1">
        <v>2.5099999999999998</v>
      </c>
      <c r="U104" s="1">
        <f t="shared" si="12"/>
        <v>221453.58919988741</v>
      </c>
      <c r="V104" s="1">
        <f t="shared" si="13"/>
        <v>1.7100140062225546</v>
      </c>
    </row>
    <row r="105" spans="16:22" x14ac:dyDescent="0.2">
      <c r="P105" s="1">
        <v>2</v>
      </c>
      <c r="Q105" s="1">
        <f t="shared" si="10"/>
        <v>63446.754288003089</v>
      </c>
      <c r="R105" s="1">
        <f t="shared" si="11"/>
        <v>0.61962315635240883</v>
      </c>
      <c r="T105" s="1">
        <v>2.52</v>
      </c>
      <c r="U105" s="1">
        <f t="shared" si="12"/>
        <v>222137.59480237644</v>
      </c>
      <c r="V105" s="1">
        <f t="shared" si="13"/>
        <v>1.7078694914022343</v>
      </c>
    </row>
    <row r="106" spans="16:22" x14ac:dyDescent="0.2">
      <c r="P106" s="1">
        <v>2.0099999999999998</v>
      </c>
      <c r="Q106" s="1">
        <f t="shared" si="10"/>
        <v>63694.603550544052</v>
      </c>
      <c r="R106" s="1">
        <f t="shared" si="11"/>
        <v>0.61856049393614743</v>
      </c>
      <c r="T106" s="1">
        <v>2.5299999999999998</v>
      </c>
      <c r="U106" s="1">
        <f t="shared" si="12"/>
        <v>222820.74259893733</v>
      </c>
      <c r="V106" s="1">
        <f t="shared" si="13"/>
        <v>1.7057456088317122</v>
      </c>
    </row>
    <row r="107" spans="16:22" x14ac:dyDescent="0.2">
      <c r="P107" s="1">
        <v>2.02</v>
      </c>
      <c r="Q107" s="1">
        <f t="shared" si="10"/>
        <v>63942.027748118511</v>
      </c>
      <c r="R107" s="1">
        <f t="shared" si="11"/>
        <v>0.61751171843337938</v>
      </c>
      <c r="T107" s="1">
        <v>2.54</v>
      </c>
      <c r="U107" s="1">
        <f t="shared" si="12"/>
        <v>223503.04084247001</v>
      </c>
      <c r="V107" s="1">
        <f t="shared" si="13"/>
        <v>1.7036419722202119</v>
      </c>
    </row>
    <row r="108" spans="16:22" x14ac:dyDescent="0.2">
      <c r="P108" s="1">
        <v>2.0299999999999998</v>
      </c>
      <c r="Q108" s="1">
        <f t="shared" si="10"/>
        <v>64189.032435491863</v>
      </c>
      <c r="R108" s="1">
        <f t="shared" si="11"/>
        <v>0.61647651577539364</v>
      </c>
      <c r="T108" s="1">
        <v>2.5499999999999998</v>
      </c>
      <c r="U108" s="1">
        <f t="shared" si="12"/>
        <v>224184.4976313581</v>
      </c>
      <c r="V108" s="1">
        <f t="shared" si="13"/>
        <v>1.701558203861059</v>
      </c>
    </row>
    <row r="109" spans="16:22" x14ac:dyDescent="0.2">
      <c r="P109" s="1">
        <v>2.04</v>
      </c>
      <c r="Q109" s="1">
        <f t="shared" si="10"/>
        <v>64435.62304180202</v>
      </c>
      <c r="R109" s="1">
        <f t="shared" si="11"/>
        <v>0.61545457917260138</v>
      </c>
      <c r="T109" s="1">
        <v>2.56</v>
      </c>
      <c r="U109" s="1">
        <f t="shared" si="12"/>
        <v>224865.12091290252</v>
      </c>
      <c r="V109" s="1">
        <f t="shared" si="13"/>
        <v>1.6994939344652813</v>
      </c>
    </row>
    <row r="110" spans="16:22" x14ac:dyDescent="0.2">
      <c r="P110" s="1">
        <v>2.0499999999999998</v>
      </c>
      <c r="Q110" s="1">
        <f t="shared" si="10"/>
        <v>64681.804873471061</v>
      </c>
      <c r="R110" s="1">
        <f t="shared" si="11"/>
        <v>0.61444560903639289</v>
      </c>
      <c r="T110" s="1">
        <v>2.57</v>
      </c>
      <c r="U110" s="1">
        <f t="shared" si="12"/>
        <v>225544.91848668864</v>
      </c>
      <c r="V110" s="1">
        <f t="shared" si="13"/>
        <v>1.697448802995059</v>
      </c>
    </row>
    <row r="111" spans="16:22" x14ac:dyDescent="0.2">
      <c r="P111" s="1">
        <v>2.06</v>
      </c>
      <c r="Q111" s="1">
        <f t="shared" si="10"/>
        <v>64927.583117085618</v>
      </c>
      <c r="R111" s="1">
        <f t="shared" si="11"/>
        <v>0.6134493128930808</v>
      </c>
      <c r="T111" s="1">
        <v>2.58</v>
      </c>
      <c r="U111" s="1">
        <f t="shared" si="12"/>
        <v>226223.89800788666</v>
      </c>
      <c r="V111" s="1">
        <f t="shared" si="13"/>
        <v>1.6954224564991456</v>
      </c>
    </row>
    <row r="112" spans="16:22" x14ac:dyDescent="0.2">
      <c r="P112" s="1">
        <v>2.0699999999999998</v>
      </c>
      <c r="Q112" s="1">
        <f t="shared" si="10"/>
        <v>65172.96284224285</v>
      </c>
      <c r="R112" s="1">
        <f t="shared" si="11"/>
        <v>0.6124654052904589</v>
      </c>
      <c r="T112" s="1">
        <v>2.59</v>
      </c>
      <c r="U112" s="1">
        <f t="shared" si="12"/>
        <v>226902.06699048632</v>
      </c>
      <c r="V112" s="1">
        <f t="shared" si="13"/>
        <v>1.6934145499479201</v>
      </c>
    </row>
    <row r="113" spans="16:22" x14ac:dyDescent="0.2">
      <c r="P113" s="1">
        <v>2.08</v>
      </c>
      <c r="Q113" s="1">
        <f t="shared" si="10"/>
        <v>65417.949004359034</v>
      </c>
      <c r="R113" s="1">
        <f t="shared" si="11"/>
        <v>0.61149360769733907</v>
      </c>
      <c r="T113" s="1">
        <v>2.6</v>
      </c>
      <c r="U113" s="1">
        <f t="shared" si="12"/>
        <v>227579.43281046549</v>
      </c>
      <c r="V113" s="1">
        <f t="shared" si="13"/>
        <v>1.6914247460704792</v>
      </c>
    </row>
    <row r="114" spans="16:22" x14ac:dyDescent="0.2">
      <c r="P114" s="1">
        <v>2.09</v>
      </c>
      <c r="Q114" s="1">
        <f t="shared" si="10"/>
        <v>65662.54644743797</v>
      </c>
      <c r="R114" s="1">
        <f t="shared" si="11"/>
        <v>0.6105336483983046</v>
      </c>
      <c r="T114" s="1">
        <v>2.61</v>
      </c>
      <c r="U114" s="1">
        <f t="shared" si="12"/>
        <v>228256.00270889368</v>
      </c>
      <c r="V114" s="1">
        <f t="shared" si="13"/>
        <v>1.6894527151915826</v>
      </c>
    </row>
    <row r="115" spans="16:22" x14ac:dyDescent="0.2">
      <c r="P115" s="1">
        <v>2.1</v>
      </c>
      <c r="Q115" s="1">
        <f t="shared" si="10"/>
        <v>65906.759906797291</v>
      </c>
      <c r="R115" s="1">
        <f t="shared" si="11"/>
        <v>0.60958526238307964</v>
      </c>
      <c r="T115" s="1">
        <v>2.62</v>
      </c>
      <c r="U115" s="1">
        <f t="shared" si="12"/>
        <v>228931.78379497031</v>
      </c>
      <c r="V115" s="1">
        <f t="shared" si="13"/>
        <v>1.6874981350718736</v>
      </c>
    </row>
    <row r="116" spans="16:22" x14ac:dyDescent="0.2">
      <c r="P116" s="1">
        <v>2.11</v>
      </c>
      <c r="Q116" s="1">
        <f t="shared" si="10"/>
        <v>66150.594011750523</v>
      </c>
      <c r="R116" s="1">
        <f t="shared" si="11"/>
        <v>0.60864819123209601</v>
      </c>
      <c r="T116" s="1">
        <v>2.63</v>
      </c>
      <c r="U116" s="1">
        <f t="shared" si="12"/>
        <v>229606.78304899906</v>
      </c>
      <c r="V116" s="1">
        <f t="shared" si="13"/>
        <v>1.6855606907480978</v>
      </c>
    </row>
    <row r="117" spans="16:22" x14ac:dyDescent="0.2">
      <c r="P117" s="1">
        <v>2.12</v>
      </c>
      <c r="Q117" s="1">
        <f t="shared" si="10"/>
        <v>66394.053288243362</v>
      </c>
      <c r="R117" s="1">
        <f t="shared" si="11"/>
        <v>0.60772218299807723</v>
      </c>
      <c r="T117" s="1">
        <v>2.64</v>
      </c>
      <c r="U117" s="1">
        <f t="shared" si="12"/>
        <v>230281.0073252983</v>
      </c>
      <c r="V117" s="1">
        <f t="shared" si="13"/>
        <v>1.6836400743755804</v>
      </c>
    </row>
    <row r="118" spans="16:22" x14ac:dyDescent="0.2">
      <c r="P118" s="1">
        <v>2.13</v>
      </c>
      <c r="Q118" s="1">
        <f t="shared" si="10"/>
        <v>66637.142161442593</v>
      </c>
      <c r="R118" s="1">
        <f t="shared" si="11"/>
        <v>0.60680699208587607</v>
      </c>
      <c r="T118" s="1">
        <v>2.65</v>
      </c>
      <c r="U118" s="1">
        <f t="shared" si="12"/>
        <v>230954.46335504853</v>
      </c>
      <c r="V118" s="1">
        <f t="shared" si="13"/>
        <v>1.6817359850730282</v>
      </c>
    </row>
    <row r="119" spans="16:22" x14ac:dyDescent="0.2">
      <c r="P119" s="1">
        <v>2.14</v>
      </c>
      <c r="Q119" s="1">
        <f t="shared" ref="Q119:Q150" si="14">40000*0.875315*(POWER(POWER(P119,2.424242+0.975417/LN(POWER(P119,4.329004)+4)),0.314077))</f>
        <v>66879.864958276943</v>
      </c>
      <c r="R119" s="1">
        <f t="shared" ref="R119:R150" si="15">(Q120-Q119)/0.01/40000</f>
        <v>0.60590237912867451</v>
      </c>
      <c r="T119" s="1">
        <v>2.66</v>
      </c>
      <c r="U119" s="1">
        <f t="shared" si="12"/>
        <v>231627.15774907774</v>
      </c>
      <c r="V119" s="1">
        <f t="shared" si="13"/>
        <v>1.6798481287674076</v>
      </c>
    </row>
    <row r="120" spans="16:22" x14ac:dyDescent="0.2">
      <c r="P120" s="1">
        <v>2.15</v>
      </c>
      <c r="Q120" s="1">
        <f t="shared" si="14"/>
        <v>67122.225909928413</v>
      </c>
      <c r="R120" s="1">
        <f t="shared" si="15"/>
        <v>0.6050081108636004</v>
      </c>
      <c r="T120" s="1">
        <v>2.67</v>
      </c>
      <c r="U120" s="1">
        <f t="shared" si="12"/>
        <v>232299.0970005847</v>
      </c>
      <c r="V120" s="1">
        <f t="shared" si="13"/>
        <v>1.6779762180454418</v>
      </c>
    </row>
    <row r="121" spans="16:22" x14ac:dyDescent="0.2">
      <c r="P121" s="1">
        <v>2.16</v>
      </c>
      <c r="Q121" s="1">
        <f t="shared" si="14"/>
        <v>67364.229154273853</v>
      </c>
      <c r="R121" s="1">
        <f t="shared" si="15"/>
        <v>0.60412396000498125</v>
      </c>
      <c r="T121" s="1">
        <v>2.68</v>
      </c>
      <c r="U121" s="1">
        <f t="shared" si="12"/>
        <v>232970.28748780288</v>
      </c>
      <c r="V121" s="1">
        <f t="shared" si="13"/>
        <v>1.6761199719997968</v>
      </c>
    </row>
    <row r="122" spans="16:22" x14ac:dyDescent="0.2">
      <c r="P122" s="1">
        <v>2.17</v>
      </c>
      <c r="Q122" s="1">
        <f t="shared" si="14"/>
        <v>67605.878738275846</v>
      </c>
      <c r="R122" s="1">
        <f t="shared" si="15"/>
        <v>0.60324970511803255</v>
      </c>
      <c r="T122" s="1">
        <v>2.69</v>
      </c>
      <c r="U122" s="1">
        <f t="shared" si="12"/>
        <v>233640.7354766028</v>
      </c>
      <c r="V122" s="1">
        <f t="shared" si="13"/>
        <v>1.6742791160856723</v>
      </c>
    </row>
    <row r="123" spans="16:22" x14ac:dyDescent="0.2">
      <c r="P123" s="1">
        <v>2.1800000000000002</v>
      </c>
      <c r="Q123" s="1">
        <f t="shared" si="14"/>
        <v>67847.178620323059</v>
      </c>
      <c r="R123" s="1">
        <f t="shared" si="15"/>
        <v>0.60238513049018361</v>
      </c>
      <c r="T123" s="1">
        <v>2.7</v>
      </c>
      <c r="U123" s="1">
        <f t="shared" si="12"/>
        <v>234310.44712303707</v>
      </c>
      <c r="V123" s="1">
        <f t="shared" si="13"/>
        <v>1.672453381973537</v>
      </c>
    </row>
    <row r="124" spans="16:22" x14ac:dyDescent="0.2">
      <c r="P124" s="1">
        <v>2.19</v>
      </c>
      <c r="Q124" s="1">
        <f t="shared" si="14"/>
        <v>68088.132672519132</v>
      </c>
      <c r="R124" s="1">
        <f t="shared" si="15"/>
        <v>0.60153002600447503</v>
      </c>
      <c r="T124" s="1">
        <v>2.71</v>
      </c>
      <c r="U124" s="1">
        <f t="shared" si="12"/>
        <v>234979.42847582648</v>
      </c>
      <c r="V124" s="1">
        <f t="shared" si="13"/>
        <v>1.6706425074072468</v>
      </c>
    </row>
    <row r="125" spans="16:22" x14ac:dyDescent="0.2">
      <c r="P125" s="1">
        <v>2.2000000000000002</v>
      </c>
      <c r="Q125" s="1">
        <f t="shared" si="14"/>
        <v>68328.744682920922</v>
      </c>
      <c r="R125" s="1">
        <f t="shared" si="15"/>
        <v>0.60068418701099291</v>
      </c>
      <c r="T125" s="1">
        <v>2.72</v>
      </c>
      <c r="U125" s="1">
        <f t="shared" si="12"/>
        <v>235647.68547878938</v>
      </c>
      <c r="V125" s="1">
        <f t="shared" si="13"/>
        <v>1.6688462360634002</v>
      </c>
    </row>
    <row r="126" spans="16:22" x14ac:dyDescent="0.2">
      <c r="P126" s="1">
        <v>2.21</v>
      </c>
      <c r="Q126" s="1">
        <f t="shared" si="14"/>
        <v>68569.018357725319</v>
      </c>
      <c r="R126" s="1">
        <f t="shared" si="15"/>
        <v>0.59984741420055798</v>
      </c>
      <c r="T126" s="1">
        <v>2.73</v>
      </c>
      <c r="U126" s="1">
        <f t="shared" si="12"/>
        <v>236315.22397321474</v>
      </c>
      <c r="V126" s="1">
        <f t="shared" si="13"/>
        <v>1.6670643174142605</v>
      </c>
    </row>
    <row r="127" spans="16:22" x14ac:dyDescent="0.2">
      <c r="P127" s="1">
        <v>2.2200000000000002</v>
      </c>
      <c r="Q127" s="1">
        <f t="shared" si="14"/>
        <v>68808.957323405542</v>
      </c>
      <c r="R127" s="1">
        <f t="shared" si="15"/>
        <v>0.59901951347732396</v>
      </c>
      <c r="T127" s="1">
        <v>2.74</v>
      </c>
      <c r="U127" s="1">
        <f t="shared" si="12"/>
        <v>236982.04970018045</v>
      </c>
      <c r="V127" s="1">
        <f t="shared" si="13"/>
        <v>1.6652965065911121</v>
      </c>
    </row>
    <row r="128" spans="16:22" x14ac:dyDescent="0.2">
      <c r="P128" s="1">
        <v>2.23</v>
      </c>
      <c r="Q128" s="1">
        <f t="shared" si="14"/>
        <v>69048.565128796472</v>
      </c>
      <c r="R128" s="1">
        <f t="shared" si="15"/>
        <v>0.59820029583443102</v>
      </c>
      <c r="T128" s="1">
        <v>2.75</v>
      </c>
      <c r="U128" s="1">
        <f t="shared" si="12"/>
        <v>237648.16830281689</v>
      </c>
      <c r="V128" s="1">
        <f t="shared" si="13"/>
        <v>1.6635425642525661</v>
      </c>
    </row>
    <row r="129" spans="16:22" x14ac:dyDescent="0.2">
      <c r="P129" s="1">
        <v>2.2400000000000002</v>
      </c>
      <c r="Q129" s="1">
        <f t="shared" si="14"/>
        <v>69287.845247130244</v>
      </c>
      <c r="R129" s="1">
        <f t="shared" si="15"/>
        <v>0.59738957722849595</v>
      </c>
      <c r="T129" s="1">
        <v>2.76</v>
      </c>
      <c r="U129" s="1">
        <f t="shared" si="12"/>
        <v>238313.58532851792</v>
      </c>
      <c r="V129" s="1">
        <f t="shared" si="13"/>
        <v>1.6618022564543207</v>
      </c>
    </row>
    <row r="130" spans="16:22" x14ac:dyDescent="0.2">
      <c r="P130" s="1">
        <v>2.25</v>
      </c>
      <c r="Q130" s="1">
        <f t="shared" si="14"/>
        <v>69526.801078021643</v>
      </c>
      <c r="R130" s="1">
        <f t="shared" si="15"/>
        <v>0.59658717845741194</v>
      </c>
      <c r="T130" s="1">
        <v>2.77</v>
      </c>
      <c r="U130" s="1">
        <f t="shared" si="12"/>
        <v>238978.30623109965</v>
      </c>
      <c r="V130" s="1">
        <f t="shared" si="13"/>
        <v>1.6600753545186309</v>
      </c>
    </row>
    <row r="131" spans="16:22" x14ac:dyDescent="0.2">
      <c r="P131" s="1">
        <v>2.2599999999999998</v>
      </c>
      <c r="Q131" s="1">
        <f t="shared" si="14"/>
        <v>69765.435949404608</v>
      </c>
      <c r="R131" s="1">
        <f t="shared" si="15"/>
        <v>0.59579292503811299</v>
      </c>
      <c r="T131" s="1">
        <v>2.78</v>
      </c>
      <c r="U131" s="1">
        <f t="shared" ref="U131:U162" si="16">3.3*40000*0.875315*(POWER(POWER(T131/1.16778,2.424242+0.975417/LN(POWER(T131/1.16778,4.329004)+4)),0.314077))</f>
        <v>239642.3363729071</v>
      </c>
      <c r="V131" s="1">
        <f t="shared" ref="V131:V162" si="17">(U132-U131)/0.01/40000</f>
        <v>1.6583616349125077</v>
      </c>
    </row>
    <row r="132" spans="16:22" x14ac:dyDescent="0.2">
      <c r="P132" s="1">
        <v>2.27</v>
      </c>
      <c r="Q132" s="1">
        <f t="shared" si="14"/>
        <v>70003.753119419853</v>
      </c>
      <c r="R132" s="1">
        <f t="shared" si="15"/>
        <v>0.59500664708706608</v>
      </c>
      <c r="T132" s="1">
        <v>2.79</v>
      </c>
      <c r="U132" s="1">
        <f t="shared" si="16"/>
        <v>240305.6810268721</v>
      </c>
      <c r="V132" s="1">
        <f t="shared" si="17"/>
        <v>1.6566608791230102</v>
      </c>
    </row>
    <row r="133" spans="16:22" x14ac:dyDescent="0.2">
      <c r="P133" s="1">
        <v>2.2799999999999998</v>
      </c>
      <c r="Q133" s="1">
        <f t="shared" si="14"/>
        <v>70241.755778254679</v>
      </c>
      <c r="R133" s="1">
        <f t="shared" si="15"/>
        <v>0.59422817920192761</v>
      </c>
      <c r="T133" s="1">
        <v>2.8</v>
      </c>
      <c r="U133" s="1">
        <f t="shared" si="16"/>
        <v>240968.34537852131</v>
      </c>
      <c r="V133" s="1">
        <f t="shared" si="17"/>
        <v>1.6549728735361713</v>
      </c>
    </row>
    <row r="134" spans="16:22" x14ac:dyDescent="0.2">
      <c r="P134" s="1">
        <v>2.29</v>
      </c>
      <c r="Q134" s="1">
        <f t="shared" si="14"/>
        <v>70479.44704993545</v>
      </c>
      <c r="R134" s="1">
        <f t="shared" si="15"/>
        <v>0.59345736034469154</v>
      </c>
      <c r="T134" s="1">
        <v>2.81</v>
      </c>
      <c r="U134" s="1">
        <f t="shared" si="16"/>
        <v>241630.33452793577</v>
      </c>
      <c r="V134" s="1">
        <f t="shared" si="17"/>
        <v>1.6532974093202211</v>
      </c>
    </row>
    <row r="135" spans="16:22" x14ac:dyDescent="0.2">
      <c r="P135" s="1">
        <v>2.2999999999999998</v>
      </c>
      <c r="Q135" s="1">
        <f t="shared" si="14"/>
        <v>70716.829994073327</v>
      </c>
      <c r="R135" s="1">
        <f t="shared" si="15"/>
        <v>0.59269403372822127</v>
      </c>
      <c r="T135" s="1">
        <v>2.82</v>
      </c>
      <c r="U135" s="1">
        <f t="shared" si="16"/>
        <v>242291.65349166386</v>
      </c>
      <c r="V135" s="1">
        <f t="shared" si="17"/>
        <v>1.6516342823108425</v>
      </c>
    </row>
    <row r="136" spans="16:22" x14ac:dyDescent="0.2">
      <c r="P136" s="1">
        <v>2.31</v>
      </c>
      <c r="Q136" s="1">
        <f t="shared" si="14"/>
        <v>70953.907607564615</v>
      </c>
      <c r="R136" s="1">
        <f t="shared" si="15"/>
        <v>0.59193804670245298</v>
      </c>
      <c r="T136" s="1">
        <v>2.83</v>
      </c>
      <c r="U136" s="1">
        <f t="shared" si="16"/>
        <v>242952.3072045882</v>
      </c>
      <c r="V136" s="1">
        <f t="shared" si="17"/>
        <v>1.6499832928956311</v>
      </c>
    </row>
    <row r="137" spans="16:22" x14ac:dyDescent="0.2">
      <c r="P137" s="1">
        <v>2.3199999999999998</v>
      </c>
      <c r="Q137" s="1">
        <f t="shared" si="14"/>
        <v>71190.682826245597</v>
      </c>
      <c r="R137" s="1">
        <f t="shared" si="15"/>
        <v>0.5911892506454387</v>
      </c>
      <c r="T137" s="1">
        <v>2.84</v>
      </c>
      <c r="U137" s="1">
        <f t="shared" si="16"/>
        <v>243612.30052174645</v>
      </c>
      <c r="V137" s="1">
        <f t="shared" si="17"/>
        <v>1.6483442459068465</v>
      </c>
    </row>
    <row r="138" spans="16:22" x14ac:dyDescent="0.2">
      <c r="P138" s="1">
        <v>2.33</v>
      </c>
      <c r="Q138" s="1">
        <f t="shared" si="14"/>
        <v>71427.158526503772</v>
      </c>
      <c r="R138" s="1">
        <f t="shared" si="15"/>
        <v>0.59044750085387931</v>
      </c>
      <c r="T138" s="1">
        <v>2.85</v>
      </c>
      <c r="U138" s="1">
        <f t="shared" si="16"/>
        <v>244271.63822010919</v>
      </c>
      <c r="V138" s="1">
        <f t="shared" si="17"/>
        <v>1.646716950510454</v>
      </c>
    </row>
    <row r="139" spans="16:22" x14ac:dyDescent="0.2">
      <c r="P139" s="1">
        <v>2.34</v>
      </c>
      <c r="Q139" s="1">
        <f t="shared" si="14"/>
        <v>71663.337526845324</v>
      </c>
      <c r="R139" s="1">
        <f t="shared" si="15"/>
        <v>0.58971265643798687</v>
      </c>
      <c r="T139" s="1">
        <v>2.86</v>
      </c>
      <c r="U139" s="1">
        <f t="shared" si="16"/>
        <v>244930.32500031337</v>
      </c>
      <c r="V139" s="1">
        <f t="shared" si="17"/>
        <v>1.4741874992165684</v>
      </c>
    </row>
    <row r="140" spans="16:22" x14ac:dyDescent="0.2">
      <c r="P140" s="1">
        <v>2.35</v>
      </c>
      <c r="Q140" s="1">
        <f t="shared" si="14"/>
        <v>71899.222589420518</v>
      </c>
      <c r="R140" s="1">
        <f t="shared" si="15"/>
        <v>0.58898458021682021</v>
      </c>
      <c r="T140" s="1">
        <v>2.87</v>
      </c>
      <c r="U140" s="1">
        <f>40000*1.86*3.3</f>
        <v>245520</v>
      </c>
      <c r="V140" s="1">
        <f t="shared" si="17"/>
        <v>0</v>
      </c>
    </row>
    <row r="141" spans="16:22" x14ac:dyDescent="0.2">
      <c r="P141" s="1">
        <v>2.36</v>
      </c>
      <c r="Q141" s="1">
        <f t="shared" si="14"/>
        <v>72134.816421507247</v>
      </c>
      <c r="R141" s="1">
        <f t="shared" si="15"/>
        <v>0.58826313861725799</v>
      </c>
      <c r="T141" s="1">
        <v>2.88</v>
      </c>
      <c r="U141" s="1">
        <f>40000*1.86*3.3</f>
        <v>245520</v>
      </c>
    </row>
    <row r="142" spans="16:22" x14ac:dyDescent="0.2">
      <c r="P142" s="1">
        <v>2.37</v>
      </c>
      <c r="Q142" s="1">
        <f t="shared" si="14"/>
        <v>72370.12167695415</v>
      </c>
      <c r="R142" s="1">
        <f t="shared" si="15"/>
        <v>0.58754820157442733</v>
      </c>
    </row>
    <row r="143" spans="16:22" x14ac:dyDescent="0.2">
      <c r="P143" s="1">
        <v>2.38</v>
      </c>
      <c r="Q143" s="1">
        <f t="shared" si="14"/>
        <v>72605.140957583921</v>
      </c>
      <c r="R143" s="1">
        <f t="shared" si="15"/>
        <v>0.58683964243413356</v>
      </c>
    </row>
    <row r="144" spans="16:22" x14ac:dyDescent="0.2">
      <c r="P144" s="1">
        <v>2.39</v>
      </c>
      <c r="Q144" s="1">
        <f t="shared" si="14"/>
        <v>72839.876814557574</v>
      </c>
      <c r="R144" s="1">
        <f t="shared" si="15"/>
        <v>0.58613733785867228</v>
      </c>
    </row>
    <row r="145" spans="16:18" x14ac:dyDescent="0.2">
      <c r="P145" s="1">
        <v>2.4</v>
      </c>
      <c r="Q145" s="1">
        <f t="shared" si="14"/>
        <v>73074.331749701043</v>
      </c>
      <c r="R145" s="1">
        <f t="shared" si="15"/>
        <v>0.58544116773355204</v>
      </c>
    </row>
    <row r="146" spans="16:18" x14ac:dyDescent="0.2">
      <c r="P146" s="1">
        <v>2.41</v>
      </c>
      <c r="Q146" s="1">
        <f t="shared" si="14"/>
        <v>73308.508216794464</v>
      </c>
      <c r="R146" s="1">
        <f t="shared" si="15"/>
        <v>0.58475101507741778</v>
      </c>
    </row>
    <row r="147" spans="16:18" x14ac:dyDescent="0.2">
      <c r="P147" s="1">
        <v>2.42</v>
      </c>
      <c r="Q147" s="1">
        <f t="shared" si="14"/>
        <v>73542.408622825431</v>
      </c>
      <c r="R147" s="1">
        <f t="shared" si="15"/>
        <v>0.58406676595379392</v>
      </c>
    </row>
    <row r="148" spans="16:18" x14ac:dyDescent="0.2">
      <c r="P148" s="1">
        <v>2.4300000000000002</v>
      </c>
      <c r="Q148" s="1">
        <f t="shared" si="14"/>
        <v>73776.035329206949</v>
      </c>
      <c r="R148" s="1">
        <f t="shared" si="15"/>
        <v>0.58338830938504538</v>
      </c>
    </row>
    <row r="149" spans="16:18" x14ac:dyDescent="0.2">
      <c r="P149" s="1">
        <v>2.44</v>
      </c>
      <c r="Q149" s="1">
        <f t="shared" si="14"/>
        <v>74009.390652960967</v>
      </c>
      <c r="R149" s="1">
        <f t="shared" si="15"/>
        <v>0.58271553726881398</v>
      </c>
    </row>
    <row r="150" spans="16:18" x14ac:dyDescent="0.2">
      <c r="P150" s="1">
        <v>2.4500000000000002</v>
      </c>
      <c r="Q150" s="1">
        <f t="shared" si="14"/>
        <v>74242.476867868492</v>
      </c>
      <c r="R150" s="1">
        <f t="shared" si="15"/>
        <v>0.39380783032876931</v>
      </c>
    </row>
    <row r="151" spans="16:18" x14ac:dyDescent="0.2">
      <c r="P151" s="1">
        <v>2.46</v>
      </c>
      <c r="Q151" s="1">
        <f>40000*1.86</f>
        <v>74400</v>
      </c>
      <c r="R151" s="1">
        <f t="shared" ref="R151:R182" si="18">(Q152-Q151)/0.01/40000</f>
        <v>0</v>
      </c>
    </row>
    <row r="152" spans="16:18" x14ac:dyDescent="0.2">
      <c r="P152" s="1">
        <v>2.4700000000000002</v>
      </c>
      <c r="Q152" s="1">
        <f>40000*1.86</f>
        <v>74400</v>
      </c>
    </row>
  </sheetData>
  <mergeCells count="13">
    <mergeCell ref="T1:V1"/>
    <mergeCell ref="P6:R6"/>
    <mergeCell ref="A25:M25"/>
    <mergeCell ref="P21:R21"/>
    <mergeCell ref="P1:R1"/>
    <mergeCell ref="A18:M19"/>
    <mergeCell ref="A1:J1"/>
    <mergeCell ref="A2:M14"/>
    <mergeCell ref="A15:M17"/>
    <mergeCell ref="A30:N30"/>
    <mergeCell ref="A35:N36"/>
    <mergeCell ref="A26:N26"/>
    <mergeCell ref="A20:M22"/>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BF9F-F777-4595-B9B5-A376CA9D8533}">
  <dimension ref="A1:J34"/>
  <sheetViews>
    <sheetView workbookViewId="0">
      <selection activeCell="F42" sqref="F42"/>
    </sheetView>
  </sheetViews>
  <sheetFormatPr defaultRowHeight="14.25" x14ac:dyDescent="0.2"/>
  <cols>
    <col min="1" max="1" width="30.125" style="1" customWidth="1"/>
    <col min="2" max="2" width="21" style="1" customWidth="1"/>
    <col min="3" max="3" width="17.5" style="1" customWidth="1"/>
    <col min="4" max="4" width="19.25" style="1" customWidth="1"/>
    <col min="5" max="5" width="27.75" style="1" customWidth="1"/>
    <col min="6" max="6" width="16.125" style="1" customWidth="1"/>
    <col min="7" max="7" width="25.25" style="1" customWidth="1"/>
    <col min="8" max="8" width="14.25" style="1" customWidth="1"/>
    <col min="9" max="9" width="13" style="1" customWidth="1"/>
    <col min="10" max="10" width="13.5" style="1" customWidth="1"/>
    <col min="11" max="16384" width="9" style="1"/>
  </cols>
  <sheetData>
    <row r="1" spans="1:10" x14ac:dyDescent="0.2">
      <c r="A1" s="1" t="s">
        <v>135</v>
      </c>
    </row>
    <row r="2" spans="1:10" x14ac:dyDescent="0.2">
      <c r="A2" s="1" t="s">
        <v>134</v>
      </c>
    </row>
    <row r="3" spans="1:10" x14ac:dyDescent="0.2">
      <c r="B3" s="1" t="s">
        <v>133</v>
      </c>
    </row>
    <row r="4" spans="1:10" x14ac:dyDescent="0.2">
      <c r="B4" s="1" t="s">
        <v>132</v>
      </c>
    </row>
    <row r="5" spans="1:10" x14ac:dyDescent="0.2">
      <c r="B5" s="1" t="s">
        <v>131</v>
      </c>
    </row>
    <row r="6" spans="1:10" x14ac:dyDescent="0.2">
      <c r="A6" s="1" t="s">
        <v>130</v>
      </c>
    </row>
    <row r="7" spans="1:10" x14ac:dyDescent="0.2">
      <c r="A7" s="7" t="s">
        <v>129</v>
      </c>
      <c r="B7" s="7"/>
      <c r="C7" s="7"/>
      <c r="D7" s="7"/>
      <c r="E7" s="7"/>
      <c r="F7" s="7"/>
    </row>
    <row r="8" spans="1:10" x14ac:dyDescent="0.2">
      <c r="A8" s="7" t="s">
        <v>128</v>
      </c>
      <c r="B8" s="7"/>
      <c r="C8" s="7"/>
      <c r="D8" s="7"/>
      <c r="E8" s="7"/>
    </row>
    <row r="9" spans="1:10" x14ac:dyDescent="0.2">
      <c r="A9" s="1" t="s">
        <v>127</v>
      </c>
    </row>
    <row r="10" spans="1:10" x14ac:dyDescent="0.2">
      <c r="A10" s="1" t="s">
        <v>126</v>
      </c>
    </row>
    <row r="11" spans="1:10" x14ac:dyDescent="0.2">
      <c r="A11" s="1" t="s">
        <v>125</v>
      </c>
    </row>
    <row r="15" spans="1:10" x14ac:dyDescent="0.2">
      <c r="H15" s="6" t="s">
        <v>124</v>
      </c>
      <c r="I15" s="6"/>
      <c r="J15" s="6"/>
    </row>
    <row r="16" spans="1:10" x14ac:dyDescent="0.2">
      <c r="A16" s="1" t="s">
        <v>110</v>
      </c>
      <c r="B16" s="1" t="s">
        <v>123</v>
      </c>
      <c r="C16" s="1" t="s">
        <v>122</v>
      </c>
      <c r="D16" s="1" t="s">
        <v>121</v>
      </c>
      <c r="E16" s="1" t="s">
        <v>120</v>
      </c>
      <c r="F16" s="1" t="s">
        <v>117</v>
      </c>
      <c r="G16" s="1" t="s">
        <v>119</v>
      </c>
      <c r="H16" s="1" t="s">
        <v>118</v>
      </c>
      <c r="I16" s="1" t="s">
        <v>117</v>
      </c>
      <c r="J16" s="1" t="s">
        <v>116</v>
      </c>
    </row>
    <row r="17" spans="1:10" x14ac:dyDescent="0.2">
      <c r="A17" s="1" t="s">
        <v>106</v>
      </c>
      <c r="B17" s="1">
        <v>0</v>
      </c>
      <c r="C17" s="1">
        <v>0</v>
      </c>
      <c r="D17" s="1">
        <f>C17-1</f>
        <v>-1</v>
      </c>
      <c r="E17" s="1">
        <f>(0.5/6-D17)/0.8</f>
        <v>1.3541666666666665</v>
      </c>
      <c r="F17" s="1" t="s">
        <v>106</v>
      </c>
      <c r="G17" s="1">
        <f>(0.25/6-D17)/0.8</f>
        <v>1.3020833333333333</v>
      </c>
      <c r="H17" s="1">
        <f>1/E17</f>
        <v>0.7384615384615385</v>
      </c>
      <c r="I17" s="1" t="s">
        <v>106</v>
      </c>
      <c r="J17" s="1">
        <f>1/G17</f>
        <v>0.76800000000000002</v>
      </c>
    </row>
    <row r="18" spans="1:10" x14ac:dyDescent="0.2">
      <c r="A18" s="1" t="s">
        <v>105</v>
      </c>
      <c r="B18" s="1">
        <v>50</v>
      </c>
      <c r="C18" s="1">
        <f>SQRT(400*B18*0.6+B18*0.6*B18*0.6)/(200+B18*0.6)</f>
        <v>0.49381811702611073</v>
      </c>
      <c r="D18" s="1">
        <f>C18-1</f>
        <v>-0.50618188297388933</v>
      </c>
      <c r="E18" s="1">
        <f>(0.5/6-D18)/0.8</f>
        <v>0.73689402038402829</v>
      </c>
      <c r="F18" s="1" t="s">
        <v>105</v>
      </c>
      <c r="G18" s="1">
        <f>(0.25/6-D18)/0.8</f>
        <v>0.68481068705069492</v>
      </c>
      <c r="H18" s="1">
        <f>1/E18</f>
        <v>1.3570472447026445</v>
      </c>
      <c r="I18" s="1" t="s">
        <v>105</v>
      </c>
      <c r="J18" s="1">
        <f>1/G18</f>
        <v>1.4602575849199215</v>
      </c>
    </row>
    <row r="19" spans="1:10" x14ac:dyDescent="0.2">
      <c r="A19" s="1" t="s">
        <v>104</v>
      </c>
      <c r="B19" s="1">
        <v>55</v>
      </c>
      <c r="C19" s="1">
        <f>SQRT(400*B19*0.6+B19*0.6*B19*0.6)/(200+B19*0.6)</f>
        <v>0.51303264065318743</v>
      </c>
      <c r="D19" s="1">
        <f>C19-1</f>
        <v>-0.48696735934681257</v>
      </c>
      <c r="E19" s="1">
        <f>(0.5/6-D19)/0.8</f>
        <v>0.71287586585018237</v>
      </c>
      <c r="F19" s="1" t="s">
        <v>115</v>
      </c>
      <c r="G19" s="1">
        <f>(0.25/6-D19)/0.8</f>
        <v>0.660792532516849</v>
      </c>
      <c r="H19" s="1">
        <f>1/E19</f>
        <v>1.4027687678939598</v>
      </c>
      <c r="I19" s="1" t="s">
        <v>115</v>
      </c>
      <c r="J19" s="1">
        <f>1/G19</f>
        <v>1.5133342929756881</v>
      </c>
    </row>
    <row r="20" spans="1:10" x14ac:dyDescent="0.2">
      <c r="A20" s="1" t="s">
        <v>102</v>
      </c>
      <c r="B20" s="1">
        <v>60</v>
      </c>
      <c r="C20" s="1">
        <f>SQRT(400*B20*0.6+B20*0.6*B20*0.6)/(200+B20*0.6)</f>
        <v>0.5308630428259602</v>
      </c>
      <c r="D20" s="1">
        <f>C20-1</f>
        <v>-0.4691369571740398</v>
      </c>
      <c r="E20" s="1">
        <f>(0.5/6-D20)/0.8</f>
        <v>0.69058786313421638</v>
      </c>
      <c r="F20" s="1" t="s">
        <v>102</v>
      </c>
      <c r="G20" s="1">
        <f>(0.25/6-D20)/0.8</f>
        <v>0.63850452980088301</v>
      </c>
      <c r="H20" s="1">
        <f>1/E20</f>
        <v>1.4480416662139473</v>
      </c>
      <c r="I20" s="1" t="s">
        <v>102</v>
      </c>
      <c r="J20" s="1">
        <f>1/G20</f>
        <v>1.5661596015800374</v>
      </c>
    </row>
    <row r="21" spans="1:10" x14ac:dyDescent="0.2">
      <c r="A21" s="1" t="s">
        <v>103</v>
      </c>
      <c r="B21" s="1">
        <v>70</v>
      </c>
      <c r="C21" s="1">
        <f>SQRT(400*B21*0.6+B21*0.6*B21*0.6)/(200+B21*0.6)</f>
        <v>0.56301558116532557</v>
      </c>
      <c r="D21" s="1">
        <f>C21-1</f>
        <v>-0.43698441883467443</v>
      </c>
      <c r="E21" s="1">
        <f>(0.5/6-D21)/0.8</f>
        <v>0.65039719021000975</v>
      </c>
      <c r="F21" s="1" t="s">
        <v>114</v>
      </c>
      <c r="G21" s="1">
        <f>(0.25/6-D21)/0.8</f>
        <v>0.59831385687667638</v>
      </c>
      <c r="H21" s="1">
        <f>1/E21</f>
        <v>1.5375220173954094</v>
      </c>
      <c r="I21" s="1" t="s">
        <v>114</v>
      </c>
      <c r="J21" s="1">
        <f>1/G21</f>
        <v>1.6713635970595924</v>
      </c>
    </row>
    <row r="25" spans="1:10" x14ac:dyDescent="0.2">
      <c r="A25" s="1" t="s">
        <v>113</v>
      </c>
      <c r="B25" s="1" t="s">
        <v>112</v>
      </c>
    </row>
    <row r="26" spans="1:10" x14ac:dyDescent="0.2">
      <c r="A26" s="1">
        <v>74400</v>
      </c>
      <c r="B26" s="1">
        <v>2.6930000000000001</v>
      </c>
    </row>
    <row r="28" spans="1:10" x14ac:dyDescent="0.2">
      <c r="A28" s="6" t="s">
        <v>111</v>
      </c>
      <c r="B28" s="6"/>
      <c r="C28" s="6"/>
      <c r="D28" s="6"/>
      <c r="E28" s="6"/>
    </row>
    <row r="29" spans="1:10" x14ac:dyDescent="0.2">
      <c r="A29" s="1" t="s">
        <v>110</v>
      </c>
      <c r="B29" s="1" t="s">
        <v>109</v>
      </c>
      <c r="C29" s="1" t="s">
        <v>108</v>
      </c>
      <c r="D29" s="8" t="s">
        <v>107</v>
      </c>
    </row>
    <row r="30" spans="1:10" x14ac:dyDescent="0.2">
      <c r="A30" s="1" t="s">
        <v>106</v>
      </c>
      <c r="B30" s="3" t="str">
        <f>IF(0.5/6-C17-A26/(B26*50000)&gt;-1,180*ASIN(0.5/6-C17-A26/(B26*50000))/PI(),"")&amp;IF(0.5/6-C17-A26/(B26*50000)&lt;=-1,-90,"")</f>
        <v>-27.9830474933358</v>
      </c>
      <c r="C30" s="3" t="str">
        <f>IF(0.25/6-C17-A26/(B26*50000)&gt;-1,180*ASIN(0.25/6-C17-A26/(B26*50000))/PI(),"")&amp;IF(0.25/6-C17-A26/(B26*50000)&lt;=-1,-90,"")</f>
        <v>-30.7222616090446</v>
      </c>
      <c r="D30" s="8"/>
    </row>
    <row r="31" spans="1:10" x14ac:dyDescent="0.2">
      <c r="A31" s="1" t="s">
        <v>105</v>
      </c>
      <c r="B31" s="3" t="str">
        <f>IF(0.5/6-C18-A26/(B26*50000)&gt;-1,180*ASIN(0.5/6-C18-A26/(B26*50000))/PI(),"")&amp;IF(0.5/6-C18-A26/(B26*50000)&lt;=-1,-90,"")</f>
        <v>-74.3714433138447</v>
      </c>
      <c r="C31" s="3" t="str">
        <f>IF(0.25/6-C18-A26/(B26*50000)&gt;-1,180*ASIN(0.25/6-C18-A26/(B26*50000))/PI(),"")&amp;IF(0.25/6-C18-A26/(B26*50000)&lt;=-1,-90,"")</f>
        <v>-90</v>
      </c>
      <c r="D31" s="8"/>
    </row>
    <row r="32" spans="1:10" x14ac:dyDescent="0.2">
      <c r="A32" s="1" t="s">
        <v>104</v>
      </c>
      <c r="B32" s="3" t="str">
        <f>IF(0.5/6-C19-A26/(B26*50000)&gt;-1,180*ASIN(0.5/6-C19-A26/(B26*50000))/PI(),"")&amp;IF(0.5/6-C19-A26/(B26*50000)&lt;=-1,-90,"")</f>
        <v>-79.1864591313634</v>
      </c>
      <c r="C32" s="3" t="str">
        <f>IF(0.25/6-C19-A26/(B26*50000)&gt;-1,180*ASIN(0.25/6-C19-A26/(B26*50000))/PI(),"")&amp;IF(0.25/6-C19-A26/(B26*50000)&lt;=-1,-90,"")</f>
        <v>-90</v>
      </c>
      <c r="D32" s="8"/>
    </row>
    <row r="33" spans="1:4" x14ac:dyDescent="0.2">
      <c r="A33" s="1" t="s">
        <v>103</v>
      </c>
      <c r="B33" s="3" t="str">
        <f>IF(0.5/6-C21-A26/(B26*50000)&gt;-1,180*ASIN(0.5/6-C21-A26/(B26*50000))/PI(),"")&amp;IF(0.5/6-C21-A26/(B26*50000)&lt;=-1,-90,"")</f>
        <v>-90</v>
      </c>
      <c r="C33" s="3" t="str">
        <f>IF(0.25/6-C21-A26/(B26*50000)&gt;-1,180*ASIN(0.25/6-C21-A26/(B26*50000))/PI(),"")&amp;IF(0.25/6-C21-A26/(B26*50000)&lt;=-1,-90,"")</f>
        <v>-90</v>
      </c>
      <c r="D33" s="8"/>
    </row>
    <row r="34" spans="1:4" x14ac:dyDescent="0.2">
      <c r="A34" s="1" t="s">
        <v>102</v>
      </c>
      <c r="B34" s="3" t="str">
        <f>IF(0.5/6-C20-A26/(B26*50000)&gt;-1,180*ASIN(0.5/6-C20-A26/(B26*50000))/PI(),"")&amp;IF(0.5/6-C20-A26/(B26*50000)&lt;=-1,-90,"")</f>
        <v>-90</v>
      </c>
      <c r="C34" s="3" t="str">
        <f>IF(0.25/6-C20-A26/(B26*50000)&gt;-1,180*ASIN(0.25/6-C20-A26/(B26*50000))/PI(),"")&amp;IF(0.25/6-C20-A26/(B26*50000)&lt;=-1,-90,"")</f>
        <v>-90</v>
      </c>
      <c r="D34" s="8"/>
    </row>
  </sheetData>
  <mergeCells count="5">
    <mergeCell ref="A28:E28"/>
    <mergeCell ref="H15:J15"/>
    <mergeCell ref="A7:F7"/>
    <mergeCell ref="A8:E8"/>
    <mergeCell ref="D29:D34"/>
  </mergeCells>
  <phoneticPr fontId="2"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195D6C8-0C43-4289-8A1B-481C1D5CFF33}">
            <xm:f>NOT(ISERROR(SEARCH(-90,B30)))</xm:f>
            <xm:f>-90</xm:f>
            <x14:dxf>
              <fill>
                <patternFill>
                  <bgColor rgb="FF00B050"/>
                </patternFill>
              </fill>
            </x14:dxf>
          </x14:cfRule>
          <xm:sqref>B30:C34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CE7D-8055-42CC-92A2-D123E5077AD5}">
  <dimension ref="A1:BU24"/>
  <sheetViews>
    <sheetView workbookViewId="0">
      <selection sqref="A1:XFD1048576"/>
    </sheetView>
  </sheetViews>
  <sheetFormatPr defaultRowHeight="14.25" x14ac:dyDescent="0.2"/>
  <cols>
    <col min="1" max="2" width="9" style="1"/>
    <col min="3" max="3" width="22.25" style="1" customWidth="1"/>
    <col min="4" max="4" width="9" style="1"/>
    <col min="5" max="5" width="10.125" style="1" customWidth="1"/>
    <col min="6" max="16384" width="9" style="1"/>
  </cols>
  <sheetData>
    <row r="1" spans="1:36" x14ac:dyDescent="0.2">
      <c r="A1" s="7" t="s">
        <v>101</v>
      </c>
      <c r="B1" s="7"/>
      <c r="C1" s="7"/>
      <c r="D1" s="7"/>
      <c r="E1" s="7"/>
    </row>
    <row r="2" spans="1:36" x14ac:dyDescent="0.2">
      <c r="B2" s="7" t="s">
        <v>100</v>
      </c>
      <c r="C2" s="7"/>
      <c r="D2" s="7"/>
      <c r="E2" s="7"/>
      <c r="F2" s="7"/>
      <c r="G2" s="7"/>
      <c r="H2" s="7"/>
      <c r="I2" s="7"/>
      <c r="J2" s="7"/>
    </row>
    <row r="3" spans="1:36" x14ac:dyDescent="0.2">
      <c r="A3" s="7" t="s">
        <v>99</v>
      </c>
      <c r="B3" s="7"/>
      <c r="C3" s="7"/>
      <c r="D3" s="7"/>
    </row>
    <row r="4" spans="1:36" x14ac:dyDescent="0.2">
      <c r="B4" s="7" t="s">
        <v>98</v>
      </c>
      <c r="C4" s="7"/>
      <c r="D4" s="7"/>
      <c r="E4" s="7"/>
      <c r="F4" s="7"/>
      <c r="G4" s="7"/>
      <c r="H4" s="7"/>
      <c r="I4" s="7"/>
      <c r="J4" s="7"/>
      <c r="K4" s="7"/>
      <c r="L4" s="7"/>
      <c r="M4" s="7"/>
      <c r="N4" s="7"/>
    </row>
    <row r="5" spans="1:36" x14ac:dyDescent="0.2">
      <c r="B5" s="7" t="s">
        <v>97</v>
      </c>
      <c r="C5" s="7"/>
      <c r="D5" s="7"/>
      <c r="E5" s="7"/>
      <c r="F5" s="7"/>
      <c r="G5" s="7"/>
    </row>
    <row r="6" spans="1:36" x14ac:dyDescent="0.2">
      <c r="B6" s="7" t="s">
        <v>96</v>
      </c>
      <c r="C6" s="7"/>
      <c r="D6" s="7"/>
      <c r="E6" s="7"/>
      <c r="F6" s="7"/>
      <c r="G6" s="7"/>
      <c r="H6" s="7"/>
      <c r="I6" s="7"/>
      <c r="J6" s="7"/>
      <c r="K6" s="7"/>
    </row>
    <row r="7" spans="1:36" x14ac:dyDescent="0.2">
      <c r="B7" s="7" t="s">
        <v>95</v>
      </c>
      <c r="C7" s="7"/>
      <c r="D7" s="7"/>
      <c r="E7" s="7"/>
      <c r="F7" s="7"/>
      <c r="G7" s="7"/>
      <c r="H7" s="7"/>
      <c r="I7" s="7"/>
      <c r="J7" s="7"/>
      <c r="K7" s="7"/>
      <c r="L7" s="7"/>
      <c r="M7" s="7"/>
      <c r="N7" s="7"/>
    </row>
    <row r="8" spans="1:36" x14ac:dyDescent="0.2">
      <c r="B8" s="7" t="s">
        <v>94</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row>
    <row r="9" spans="1:36" x14ac:dyDescent="0.2">
      <c r="B9" s="1" t="s">
        <v>93</v>
      </c>
    </row>
    <row r="10" spans="1:36" x14ac:dyDescent="0.2">
      <c r="D10" s="1" t="s">
        <v>92</v>
      </c>
      <c r="E10" s="1" t="s">
        <v>91</v>
      </c>
    </row>
    <row r="11" spans="1:36" x14ac:dyDescent="0.2">
      <c r="C11" s="1" t="s">
        <v>90</v>
      </c>
      <c r="D11" s="1" t="s">
        <v>87</v>
      </c>
      <c r="E11" s="1" t="s">
        <v>87</v>
      </c>
    </row>
    <row r="12" spans="1:36" x14ac:dyDescent="0.2">
      <c r="C12" s="1" t="s">
        <v>89</v>
      </c>
      <c r="D12" s="1" t="s">
        <v>85</v>
      </c>
      <c r="E12" s="1" t="s">
        <v>87</v>
      </c>
    </row>
    <row r="13" spans="1:36" x14ac:dyDescent="0.2">
      <c r="C13" s="1" t="s">
        <v>88</v>
      </c>
      <c r="D13" s="1" t="s">
        <v>87</v>
      </c>
      <c r="E13" s="1" t="s">
        <v>84</v>
      </c>
    </row>
    <row r="14" spans="1:36" x14ac:dyDescent="0.2">
      <c r="C14" s="1" t="s">
        <v>86</v>
      </c>
      <c r="D14" s="1" t="s">
        <v>85</v>
      </c>
      <c r="E14" s="1" t="s">
        <v>84</v>
      </c>
    </row>
    <row r="15" spans="1:36" x14ac:dyDescent="0.2">
      <c r="C15" s="1" t="s">
        <v>83</v>
      </c>
    </row>
    <row r="17" spans="2:73" x14ac:dyDescent="0.2">
      <c r="B17" s="7" t="s">
        <v>82</v>
      </c>
      <c r="C17" s="7"/>
    </row>
    <row r="18" spans="2:73" x14ac:dyDescent="0.2">
      <c r="C18" s="6" t="s">
        <v>81</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row>
    <row r="22" spans="2:73" x14ac:dyDescent="0.2">
      <c r="B22" s="1" t="s">
        <v>80</v>
      </c>
    </row>
    <row r="23" spans="2:73" x14ac:dyDescent="0.2">
      <c r="C23" s="1" t="s">
        <v>79</v>
      </c>
    </row>
    <row r="24" spans="2:73" x14ac:dyDescent="0.2">
      <c r="C24" s="1" t="s">
        <v>78</v>
      </c>
    </row>
  </sheetData>
  <mergeCells count="10">
    <mergeCell ref="B6:K6"/>
    <mergeCell ref="B7:N7"/>
    <mergeCell ref="B17:C17"/>
    <mergeCell ref="C18:BU18"/>
    <mergeCell ref="A1:E1"/>
    <mergeCell ref="B2:J2"/>
    <mergeCell ref="A3:D3"/>
    <mergeCell ref="B4:N4"/>
    <mergeCell ref="B5:G5"/>
    <mergeCell ref="B8:AJ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Vertex半径</vt:lpstr>
      <vt:lpstr>恒星光度-戴森球半径关系</vt:lpstr>
      <vt:lpstr>接收站</vt:lpstr>
      <vt:lpstr>电磁弹射器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makuwa</dc:creator>
  <cp:lastModifiedBy>653524123@qq.com</cp:lastModifiedBy>
  <dcterms:created xsi:type="dcterms:W3CDTF">2015-06-05T18:19:34Z</dcterms:created>
  <dcterms:modified xsi:type="dcterms:W3CDTF">2024-12-01T08:28:50Z</dcterms:modified>
</cp:coreProperties>
</file>