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新文件\桌面\戴森球计划\"/>
    </mc:Choice>
  </mc:AlternateContent>
  <xr:revisionPtr revIDLastSave="0" documentId="13_ncr:1_{E7CFB590-62E7-43CA-8417-CFC624D76F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无浮空单球原矿黑盒最高铺法" sheetId="7" r:id="rId1"/>
    <sheet name="带偏移占地最小" sheetId="6" r:id="rId2"/>
    <sheet name="不偏移占地最小" sheetId="4" r:id="rId3"/>
    <sheet name="最低预估卡顿" sheetId="5" r:id="rId4"/>
    <sheet name="低级建筑全低效最省电" sheetId="1" r:id="rId5"/>
    <sheet name="低级增产剂（仅增产使用，这里加速这一列没改，加速算出来的是错的" sheetId="8" r:id="rId6"/>
    <sheet name="建筑属性" sheetId="2" r:id="rId7"/>
    <sheet name="产线成本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G110" i="6"/>
  <c r="G112" i="6"/>
  <c r="D99" i="6" l="1"/>
  <c r="H16" i="6"/>
  <c r="I9" i="6"/>
  <c r="F22" i="6"/>
  <c r="D99" i="8"/>
  <c r="D44" i="8"/>
  <c r="D42" i="8"/>
  <c r="D41" i="8"/>
  <c r="D40" i="8"/>
  <c r="D39" i="8"/>
  <c r="D38" i="8"/>
  <c r="D37" i="8"/>
  <c r="D35" i="8"/>
  <c r="D36" i="8"/>
  <c r="D34" i="8"/>
  <c r="D33" i="8"/>
  <c r="D32" i="8"/>
  <c r="D31" i="8"/>
  <c r="D30" i="8"/>
  <c r="E30" i="8"/>
  <c r="E44" i="8"/>
  <c r="E99" i="8"/>
  <c r="C99" i="8"/>
  <c r="C44" i="8"/>
  <c r="E42" i="8"/>
  <c r="C42" i="8"/>
  <c r="C41" i="8"/>
  <c r="E40" i="8"/>
  <c r="C40" i="8"/>
  <c r="C39" i="8"/>
  <c r="E38" i="8"/>
  <c r="C38" i="8"/>
  <c r="C37" i="8"/>
  <c r="E36" i="8"/>
  <c r="C36" i="8"/>
  <c r="C35" i="8"/>
  <c r="E34" i="8"/>
  <c r="C34" i="8"/>
  <c r="C33" i="8"/>
  <c r="E32" i="8"/>
  <c r="C32" i="8"/>
  <c r="C31" i="8"/>
  <c r="C30" i="8"/>
  <c r="C25" i="8"/>
  <c r="F23" i="8"/>
  <c r="F25" i="8" s="1"/>
  <c r="K16" i="8"/>
  <c r="D10" i="8"/>
  <c r="I9" i="8"/>
  <c r="D9" i="8"/>
  <c r="G3" i="8"/>
  <c r="H2" i="8"/>
  <c r="F22" i="7"/>
  <c r="E99" i="7"/>
  <c r="D99" i="7"/>
  <c r="C99" i="7"/>
  <c r="E44" i="7"/>
  <c r="D44" i="7"/>
  <c r="C44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F32" i="7" s="1"/>
  <c r="G32" i="7" s="1"/>
  <c r="C32" i="7"/>
  <c r="E31" i="7"/>
  <c r="D31" i="7"/>
  <c r="C31" i="7"/>
  <c r="E30" i="7"/>
  <c r="D30" i="7"/>
  <c r="C30" i="7"/>
  <c r="J22" i="7"/>
  <c r="C22" i="7"/>
  <c r="F20" i="7"/>
  <c r="H16" i="7"/>
  <c r="D10" i="7"/>
  <c r="I9" i="7"/>
  <c r="D9" i="7"/>
  <c r="G3" i="7"/>
  <c r="H2" i="7"/>
  <c r="E43" i="7" s="1"/>
  <c r="F43" i="7" s="1"/>
  <c r="G43" i="7" s="1"/>
  <c r="J22" i="6"/>
  <c r="C22" i="6"/>
  <c r="F20" i="6"/>
  <c r="D10" i="6"/>
  <c r="D9" i="6"/>
  <c r="G3" i="6"/>
  <c r="H2" i="6"/>
  <c r="C41" i="6" l="1"/>
  <c r="D37" i="6"/>
  <c r="E32" i="6"/>
  <c r="C42" i="6"/>
  <c r="E36" i="6"/>
  <c r="D41" i="6"/>
  <c r="D42" i="6"/>
  <c r="E99" i="6"/>
  <c r="D33" i="6"/>
  <c r="D30" i="6"/>
  <c r="E30" i="6"/>
  <c r="E34" i="6"/>
  <c r="E38" i="6"/>
  <c r="E42" i="6"/>
  <c r="C37" i="6"/>
  <c r="D38" i="6"/>
  <c r="C31" i="6"/>
  <c r="C35" i="6"/>
  <c r="C39" i="6"/>
  <c r="C44" i="6"/>
  <c r="C33" i="6"/>
  <c r="C30" i="6"/>
  <c r="D39" i="6"/>
  <c r="F39" i="6" s="1"/>
  <c r="G39" i="6" s="1"/>
  <c r="D44" i="6"/>
  <c r="E41" i="6"/>
  <c r="C38" i="6"/>
  <c r="D35" i="6"/>
  <c r="E31" i="6"/>
  <c r="E35" i="6"/>
  <c r="E39" i="6"/>
  <c r="E44" i="6"/>
  <c r="E37" i="6"/>
  <c r="E43" i="6"/>
  <c r="F43" i="6" s="1"/>
  <c r="G43" i="6" s="1"/>
  <c r="J43" i="6" s="1"/>
  <c r="C32" i="6"/>
  <c r="C36" i="6"/>
  <c r="C40" i="6"/>
  <c r="C99" i="6"/>
  <c r="E40" i="6"/>
  <c r="E33" i="6"/>
  <c r="C34" i="6"/>
  <c r="D34" i="6"/>
  <c r="D31" i="6"/>
  <c r="D32" i="6"/>
  <c r="D36" i="6"/>
  <c r="D40" i="6"/>
  <c r="F40" i="8"/>
  <c r="G40" i="8" s="1"/>
  <c r="J40" i="8" s="1"/>
  <c r="F33" i="8"/>
  <c r="G33" i="8" s="1"/>
  <c r="D102" i="8" s="1"/>
  <c r="F41" i="8"/>
  <c r="G41" i="8" s="1"/>
  <c r="E33" i="8"/>
  <c r="E37" i="8"/>
  <c r="F37" i="8" s="1"/>
  <c r="G37" i="8" s="1"/>
  <c r="H37" i="8" s="1"/>
  <c r="E41" i="8"/>
  <c r="E43" i="8"/>
  <c r="F43" i="8" s="1"/>
  <c r="G43" i="8" s="1"/>
  <c r="Q43" i="8" s="1"/>
  <c r="E31" i="8"/>
  <c r="E35" i="8"/>
  <c r="F35" i="8" s="1"/>
  <c r="G35" i="8" s="1"/>
  <c r="D111" i="8" s="1"/>
  <c r="E39" i="8"/>
  <c r="F30" i="8"/>
  <c r="G30" i="8" s="1"/>
  <c r="F34" i="8"/>
  <c r="G34" i="8" s="1"/>
  <c r="J34" i="8" s="1"/>
  <c r="F38" i="8"/>
  <c r="G38" i="8" s="1"/>
  <c r="H24" i="8" s="1"/>
  <c r="F31" i="8"/>
  <c r="G31" i="8" s="1"/>
  <c r="F32" i="8"/>
  <c r="G32" i="8" s="1"/>
  <c r="F44" i="8"/>
  <c r="G44" i="8" s="1"/>
  <c r="Q44" i="8" s="1"/>
  <c r="E72" i="8"/>
  <c r="C72" i="8"/>
  <c r="F36" i="8"/>
  <c r="G36" i="8" s="1"/>
  <c r="F39" i="8"/>
  <c r="G39" i="8" s="1"/>
  <c r="F42" i="8"/>
  <c r="G42" i="8" s="1"/>
  <c r="D50" i="8" s="1"/>
  <c r="F99" i="8"/>
  <c r="G99" i="8" s="1"/>
  <c r="F30" i="7"/>
  <c r="G30" i="7" s="1"/>
  <c r="C56" i="7" s="1"/>
  <c r="F42" i="7"/>
  <c r="G42" i="7" s="1"/>
  <c r="D50" i="7" s="1"/>
  <c r="F44" i="7"/>
  <c r="G44" i="7" s="1"/>
  <c r="C21" i="7" s="1"/>
  <c r="F41" i="7"/>
  <c r="G41" i="7" s="1"/>
  <c r="H41" i="7" s="1"/>
  <c r="F33" i="7"/>
  <c r="G33" i="7" s="1"/>
  <c r="E102" i="7" s="1"/>
  <c r="F38" i="7"/>
  <c r="G38" i="7" s="1"/>
  <c r="F99" i="7"/>
  <c r="G99" i="7" s="1"/>
  <c r="F35" i="7"/>
  <c r="G35" i="7" s="1"/>
  <c r="D111" i="7" s="1"/>
  <c r="F36" i="7"/>
  <c r="G36" i="7" s="1"/>
  <c r="F39" i="7"/>
  <c r="G39" i="7" s="1"/>
  <c r="C63" i="7" s="1"/>
  <c r="J38" i="7"/>
  <c r="H22" i="7"/>
  <c r="J43" i="7"/>
  <c r="H43" i="7"/>
  <c r="C20" i="7"/>
  <c r="J42" i="7"/>
  <c r="H42" i="7"/>
  <c r="H32" i="7"/>
  <c r="H38" i="7"/>
  <c r="J32" i="7"/>
  <c r="D77" i="7"/>
  <c r="E77" i="7"/>
  <c r="C77" i="7"/>
  <c r="H99" i="7"/>
  <c r="F31" i="7"/>
  <c r="G31" i="7" s="1"/>
  <c r="D58" i="7" s="1"/>
  <c r="F34" i="7"/>
  <c r="G34" i="7" s="1"/>
  <c r="F37" i="7"/>
  <c r="G37" i="7" s="1"/>
  <c r="F40" i="7"/>
  <c r="G40" i="7" s="1"/>
  <c r="D56" i="7" l="1"/>
  <c r="E51" i="7"/>
  <c r="H44" i="7"/>
  <c r="H30" i="7"/>
  <c r="C51" i="7"/>
  <c r="E56" i="7"/>
  <c r="D51" i="7"/>
  <c r="J30" i="7"/>
  <c r="E62" i="7"/>
  <c r="F33" i="6"/>
  <c r="G33" i="6" s="1"/>
  <c r="J33" i="6" s="1"/>
  <c r="F32" i="6"/>
  <c r="G32" i="6" s="1"/>
  <c r="D77" i="6" s="1"/>
  <c r="F34" i="6"/>
  <c r="G34" i="6" s="1"/>
  <c r="H34" i="6" s="1"/>
  <c r="F36" i="6"/>
  <c r="G36" i="6" s="1"/>
  <c r="E54" i="6" s="1"/>
  <c r="F31" i="6"/>
  <c r="G31" i="6" s="1"/>
  <c r="C66" i="6" s="1"/>
  <c r="F35" i="6"/>
  <c r="G35" i="6" s="1"/>
  <c r="J35" i="6" s="1"/>
  <c r="F42" i="6"/>
  <c r="G42" i="6" s="1"/>
  <c r="J42" i="6" s="1"/>
  <c r="F40" i="6"/>
  <c r="G40" i="6" s="1"/>
  <c r="J40" i="6" s="1"/>
  <c r="F37" i="6"/>
  <c r="G37" i="6" s="1"/>
  <c r="I21" i="6" s="1"/>
  <c r="I22" i="6" s="1"/>
  <c r="F30" i="6"/>
  <c r="G30" i="6" s="1"/>
  <c r="D56" i="6" s="1"/>
  <c r="F44" i="6"/>
  <c r="G44" i="6" s="1"/>
  <c r="J44" i="6" s="1"/>
  <c r="F99" i="6"/>
  <c r="G99" i="6" s="1"/>
  <c r="J99" i="6" s="1"/>
  <c r="F38" i="6"/>
  <c r="G38" i="6" s="1"/>
  <c r="H21" i="6" s="1"/>
  <c r="H22" i="6" s="1"/>
  <c r="F41" i="6"/>
  <c r="G41" i="6" s="1"/>
  <c r="G21" i="6" s="1"/>
  <c r="G22" i="6" s="1"/>
  <c r="C20" i="6"/>
  <c r="H43" i="6"/>
  <c r="E63" i="6"/>
  <c r="J39" i="6"/>
  <c r="J43" i="8"/>
  <c r="Q38" i="8"/>
  <c r="C56" i="8"/>
  <c r="D57" i="8"/>
  <c r="D56" i="8"/>
  <c r="D51" i="8"/>
  <c r="D76" i="8"/>
  <c r="C23" i="8"/>
  <c r="H43" i="8"/>
  <c r="F18" i="8"/>
  <c r="E77" i="8"/>
  <c r="D58" i="8"/>
  <c r="D77" i="8"/>
  <c r="F77" i="8" s="1"/>
  <c r="G77" i="8" s="1"/>
  <c r="E66" i="8"/>
  <c r="D66" i="8"/>
  <c r="H39" i="8"/>
  <c r="D75" i="8"/>
  <c r="D54" i="8"/>
  <c r="D53" i="8"/>
  <c r="H40" i="8"/>
  <c r="D73" i="8"/>
  <c r="H38" i="8"/>
  <c r="J38" i="8"/>
  <c r="J37" i="8"/>
  <c r="Q37" i="8"/>
  <c r="I24" i="8"/>
  <c r="H34" i="8"/>
  <c r="C77" i="8"/>
  <c r="C66" i="8"/>
  <c r="G24" i="8"/>
  <c r="J41" i="8"/>
  <c r="Q34" i="8"/>
  <c r="H31" i="8"/>
  <c r="Q40" i="8"/>
  <c r="J31" i="8"/>
  <c r="E56" i="8"/>
  <c r="C51" i="8"/>
  <c r="C57" i="8"/>
  <c r="Q30" i="8"/>
  <c r="H44" i="8"/>
  <c r="Q41" i="8"/>
  <c r="E73" i="8"/>
  <c r="C24" i="8"/>
  <c r="E51" i="8"/>
  <c r="J44" i="8"/>
  <c r="J30" i="8"/>
  <c r="E57" i="8"/>
  <c r="H30" i="8"/>
  <c r="H41" i="8"/>
  <c r="H32" i="8"/>
  <c r="C76" i="8"/>
  <c r="C58" i="8"/>
  <c r="E111" i="8"/>
  <c r="Q35" i="8"/>
  <c r="H35" i="8"/>
  <c r="E58" i="8"/>
  <c r="E76" i="8"/>
  <c r="F76" i="8" s="1"/>
  <c r="G76" i="8" s="1"/>
  <c r="H76" i="8" s="1"/>
  <c r="C73" i="8"/>
  <c r="Q31" i="8"/>
  <c r="J32" i="8"/>
  <c r="Q32" i="8"/>
  <c r="J35" i="8"/>
  <c r="C111" i="8"/>
  <c r="E102" i="8"/>
  <c r="C102" i="8"/>
  <c r="Q33" i="8"/>
  <c r="J33" i="8"/>
  <c r="H33" i="8"/>
  <c r="F72" i="8"/>
  <c r="G72" i="8" s="1"/>
  <c r="E50" i="8"/>
  <c r="Q42" i="8"/>
  <c r="J42" i="8"/>
  <c r="C50" i="8"/>
  <c r="C54" i="8"/>
  <c r="E53" i="8"/>
  <c r="Q36" i="8"/>
  <c r="J36" i="8"/>
  <c r="C53" i="8"/>
  <c r="E54" i="8"/>
  <c r="H36" i="8"/>
  <c r="Q99" i="8"/>
  <c r="J99" i="8"/>
  <c r="H42" i="8"/>
  <c r="E75" i="8"/>
  <c r="C63" i="8"/>
  <c r="C75" i="8"/>
  <c r="Q39" i="8"/>
  <c r="J39" i="8"/>
  <c r="H99" i="8"/>
  <c r="C102" i="7"/>
  <c r="H21" i="7"/>
  <c r="J41" i="7"/>
  <c r="E111" i="7"/>
  <c r="E100" i="7"/>
  <c r="G21" i="7"/>
  <c r="G22" i="7" s="1"/>
  <c r="J39" i="7"/>
  <c r="E53" i="7"/>
  <c r="D63" i="7"/>
  <c r="C75" i="7"/>
  <c r="D62" i="7"/>
  <c r="J44" i="7"/>
  <c r="E75" i="7"/>
  <c r="H33" i="7"/>
  <c r="E63" i="7"/>
  <c r="F63" i="7" s="1"/>
  <c r="G63" i="7" s="1"/>
  <c r="J33" i="7"/>
  <c r="D75" i="7"/>
  <c r="E54" i="7"/>
  <c r="C100" i="7"/>
  <c r="J36" i="7"/>
  <c r="D54" i="7"/>
  <c r="D76" i="7"/>
  <c r="H36" i="7"/>
  <c r="C53" i="7"/>
  <c r="F53" i="7" s="1"/>
  <c r="G53" i="7" s="1"/>
  <c r="H39" i="7"/>
  <c r="E76" i="7"/>
  <c r="F76" i="7" s="1"/>
  <c r="G76" i="7" s="1"/>
  <c r="C54" i="7"/>
  <c r="F54" i="7" s="1"/>
  <c r="G54" i="7" s="1"/>
  <c r="C111" i="7"/>
  <c r="J99" i="7"/>
  <c r="D102" i="7"/>
  <c r="C62" i="7"/>
  <c r="C76" i="7"/>
  <c r="H35" i="7"/>
  <c r="D53" i="7"/>
  <c r="J35" i="7"/>
  <c r="C73" i="7"/>
  <c r="E73" i="7"/>
  <c r="D73" i="7"/>
  <c r="J40" i="7"/>
  <c r="J37" i="7"/>
  <c r="I21" i="7"/>
  <c r="I22" i="7" s="1"/>
  <c r="J34" i="7"/>
  <c r="F56" i="7"/>
  <c r="G56" i="7" s="1"/>
  <c r="C66" i="7"/>
  <c r="D66" i="7"/>
  <c r="E66" i="7"/>
  <c r="J31" i="7"/>
  <c r="E58" i="7"/>
  <c r="H31" i="7"/>
  <c r="H40" i="7"/>
  <c r="H37" i="7"/>
  <c r="F51" i="7"/>
  <c r="G51" i="7" s="1"/>
  <c r="H51" i="7" s="1"/>
  <c r="E57" i="7"/>
  <c r="C50" i="7"/>
  <c r="D100" i="7"/>
  <c r="D57" i="7"/>
  <c r="C57" i="7"/>
  <c r="F77" i="7"/>
  <c r="G77" i="7" s="1"/>
  <c r="H77" i="7" s="1"/>
  <c r="H34" i="7"/>
  <c r="E50" i="7"/>
  <c r="C58" i="7"/>
  <c r="H39" i="6"/>
  <c r="D63" i="6"/>
  <c r="E75" i="6"/>
  <c r="C63" i="6"/>
  <c r="H42" i="6" l="1"/>
  <c r="E62" i="6"/>
  <c r="C62" i="6"/>
  <c r="D75" i="6"/>
  <c r="E53" i="6"/>
  <c r="C75" i="6"/>
  <c r="E102" i="6"/>
  <c r="D102" i="6"/>
  <c r="C102" i="6"/>
  <c r="H33" i="6"/>
  <c r="D62" i="6"/>
  <c r="F62" i="6" s="1"/>
  <c r="G62" i="6" s="1"/>
  <c r="H32" i="6"/>
  <c r="F102" i="7"/>
  <c r="G102" i="7" s="1"/>
  <c r="H102" i="7" s="1"/>
  <c r="F62" i="7"/>
  <c r="G62" i="7" s="1"/>
  <c r="E112" i="7" s="1"/>
  <c r="H53" i="7"/>
  <c r="E57" i="6"/>
  <c r="C57" i="6"/>
  <c r="C56" i="6"/>
  <c r="J31" i="6"/>
  <c r="D66" i="6"/>
  <c r="D111" i="6"/>
  <c r="D50" i="6"/>
  <c r="D58" i="6"/>
  <c r="D76" i="6"/>
  <c r="H31" i="6"/>
  <c r="J34" i="6"/>
  <c r="C58" i="6"/>
  <c r="H30" i="6"/>
  <c r="C76" i="6"/>
  <c r="C111" i="6"/>
  <c r="E50" i="6"/>
  <c r="E76" i="6"/>
  <c r="E77" i="6"/>
  <c r="D54" i="6"/>
  <c r="J32" i="6"/>
  <c r="E58" i="6"/>
  <c r="D57" i="6"/>
  <c r="C54" i="6"/>
  <c r="C77" i="6"/>
  <c r="H35" i="6"/>
  <c r="E66" i="6"/>
  <c r="E111" i="6"/>
  <c r="D53" i="6"/>
  <c r="C53" i="6"/>
  <c r="F53" i="6" s="1"/>
  <c r="G53" i="6" s="1"/>
  <c r="J36" i="6"/>
  <c r="E73" i="6"/>
  <c r="C73" i="6"/>
  <c r="H36" i="6"/>
  <c r="E51" i="6"/>
  <c r="E100" i="6"/>
  <c r="J30" i="6"/>
  <c r="D51" i="6"/>
  <c r="C51" i="6"/>
  <c r="E56" i="6"/>
  <c r="F56" i="6" s="1"/>
  <c r="G56" i="6" s="1"/>
  <c r="J56" i="6" s="1"/>
  <c r="H37" i="6"/>
  <c r="H40" i="6"/>
  <c r="C50" i="6"/>
  <c r="D73" i="6"/>
  <c r="J38" i="6"/>
  <c r="H38" i="6"/>
  <c r="J37" i="6"/>
  <c r="H41" i="6"/>
  <c r="H99" i="6"/>
  <c r="H44" i="6"/>
  <c r="C21" i="6"/>
  <c r="J41" i="6"/>
  <c r="F66" i="8"/>
  <c r="G66" i="8" s="1"/>
  <c r="B24" i="8" s="1"/>
  <c r="B25" i="8" s="1"/>
  <c r="F58" i="8"/>
  <c r="G58" i="8" s="1"/>
  <c r="Q58" i="8" s="1"/>
  <c r="F57" i="8"/>
  <c r="G57" i="8" s="1"/>
  <c r="F51" i="8"/>
  <c r="G51" i="8" s="1"/>
  <c r="D105" i="8" s="1"/>
  <c r="F56" i="8"/>
  <c r="G56" i="8" s="1"/>
  <c r="F111" i="8"/>
  <c r="G111" i="8" s="1"/>
  <c r="H111" i="8" s="1"/>
  <c r="F73" i="8"/>
  <c r="G73" i="8" s="1"/>
  <c r="J76" i="8"/>
  <c r="H23" i="8"/>
  <c r="H25" i="8" s="1"/>
  <c r="Q76" i="8"/>
  <c r="F53" i="8"/>
  <c r="G53" i="8" s="1"/>
  <c r="H53" i="8" s="1"/>
  <c r="F75" i="8"/>
  <c r="G75" i="8" s="1"/>
  <c r="Q77" i="8"/>
  <c r="J77" i="8"/>
  <c r="I23" i="8"/>
  <c r="I25" i="8" s="1"/>
  <c r="J72" i="8"/>
  <c r="Q72" i="8"/>
  <c r="C52" i="8"/>
  <c r="H77" i="8"/>
  <c r="F54" i="8"/>
  <c r="G54" i="8" s="1"/>
  <c r="H72" i="8"/>
  <c r="F50" i="8"/>
  <c r="G50" i="8" s="1"/>
  <c r="D110" i="8" s="1"/>
  <c r="F102" i="8"/>
  <c r="G102" i="8" s="1"/>
  <c r="E70" i="8"/>
  <c r="C70" i="8"/>
  <c r="Q57" i="8"/>
  <c r="H62" i="7"/>
  <c r="F111" i="7"/>
  <c r="G111" i="7" s="1"/>
  <c r="H111" i="7" s="1"/>
  <c r="F75" i="7"/>
  <c r="G75" i="7" s="1"/>
  <c r="J75" i="7" s="1"/>
  <c r="F100" i="7"/>
  <c r="G100" i="7" s="1"/>
  <c r="D101" i="7" s="1"/>
  <c r="J63" i="7"/>
  <c r="D21" i="7"/>
  <c r="D22" i="7" s="1"/>
  <c r="F50" i="7"/>
  <c r="G50" i="7" s="1"/>
  <c r="H50" i="7" s="1"/>
  <c r="H63" i="7"/>
  <c r="H20" i="7"/>
  <c r="J76" i="7"/>
  <c r="J53" i="7"/>
  <c r="H76" i="7"/>
  <c r="J62" i="7"/>
  <c r="E64" i="7"/>
  <c r="D64" i="7"/>
  <c r="C64" i="7"/>
  <c r="J77" i="7"/>
  <c r="I20" i="7"/>
  <c r="F57" i="7"/>
  <c r="G57" i="7" s="1"/>
  <c r="C69" i="7" s="1"/>
  <c r="E105" i="7"/>
  <c r="D105" i="7"/>
  <c r="C105" i="7"/>
  <c r="J51" i="7"/>
  <c r="E52" i="7"/>
  <c r="D52" i="7"/>
  <c r="C52" i="7"/>
  <c r="F66" i="7"/>
  <c r="G66" i="7" s="1"/>
  <c r="J56" i="7"/>
  <c r="J102" i="7"/>
  <c r="F58" i="7"/>
  <c r="G58" i="7" s="1"/>
  <c r="H58" i="7" s="1"/>
  <c r="C112" i="7"/>
  <c r="D112" i="7"/>
  <c r="H56" i="7"/>
  <c r="J54" i="7"/>
  <c r="H54" i="7"/>
  <c r="F73" i="7"/>
  <c r="G73" i="7" s="1"/>
  <c r="C74" i="7" s="1"/>
  <c r="F63" i="6"/>
  <c r="G63" i="6" s="1"/>
  <c r="D100" i="6"/>
  <c r="C100" i="6"/>
  <c r="F75" i="6"/>
  <c r="G75" i="6" s="1"/>
  <c r="F102" i="6" l="1"/>
  <c r="G102" i="6" s="1"/>
  <c r="J102" i="6" s="1"/>
  <c r="F51" i="6"/>
  <c r="G51" i="6" s="1"/>
  <c r="H51" i="6" s="1"/>
  <c r="F57" i="6"/>
  <c r="G57" i="6" s="1"/>
  <c r="J57" i="6" s="1"/>
  <c r="F77" i="6"/>
  <c r="G77" i="6" s="1"/>
  <c r="F54" i="6"/>
  <c r="G54" i="6" s="1"/>
  <c r="H54" i="6" s="1"/>
  <c r="F58" i="6"/>
  <c r="G58" i="6" s="1"/>
  <c r="H58" i="6" s="1"/>
  <c r="J111" i="7"/>
  <c r="F76" i="6"/>
  <c r="G76" i="6" s="1"/>
  <c r="J76" i="6" s="1"/>
  <c r="F66" i="6"/>
  <c r="G66" i="6" s="1"/>
  <c r="J66" i="6" s="1"/>
  <c r="F111" i="6"/>
  <c r="G111" i="6" s="1"/>
  <c r="J111" i="6" s="1"/>
  <c r="F73" i="6"/>
  <c r="G73" i="6" s="1"/>
  <c r="H73" i="6" s="1"/>
  <c r="F50" i="6"/>
  <c r="G50" i="6" s="1"/>
  <c r="J50" i="6" s="1"/>
  <c r="H53" i="6"/>
  <c r="J53" i="6"/>
  <c r="H63" i="6"/>
  <c r="D21" i="6"/>
  <c r="D22" i="6" s="1"/>
  <c r="D65" i="6" s="1"/>
  <c r="J63" i="6"/>
  <c r="H75" i="6"/>
  <c r="J75" i="6"/>
  <c r="I20" i="6"/>
  <c r="J77" i="6"/>
  <c r="C64" i="6"/>
  <c r="J62" i="6"/>
  <c r="D68" i="8"/>
  <c r="D100" i="8"/>
  <c r="H73" i="8"/>
  <c r="E78" i="8"/>
  <c r="D78" i="8"/>
  <c r="J66" i="8"/>
  <c r="Q66" i="8"/>
  <c r="D55" i="8"/>
  <c r="H54" i="8"/>
  <c r="D69" i="8"/>
  <c r="H56" i="8"/>
  <c r="D60" i="8"/>
  <c r="E105" i="8"/>
  <c r="F105" i="8" s="1"/>
  <c r="G105" i="8" s="1"/>
  <c r="H105" i="8" s="1"/>
  <c r="D52" i="8"/>
  <c r="H66" i="8"/>
  <c r="D74" i="8"/>
  <c r="H57" i="8"/>
  <c r="D70" i="8"/>
  <c r="F70" i="8" s="1"/>
  <c r="G70" i="8" s="1"/>
  <c r="D59" i="8"/>
  <c r="H58" i="8"/>
  <c r="J58" i="8"/>
  <c r="C59" i="8"/>
  <c r="H51" i="8"/>
  <c r="J51" i="8"/>
  <c r="J56" i="8"/>
  <c r="Q51" i="8"/>
  <c r="C60" i="8"/>
  <c r="C105" i="8"/>
  <c r="J57" i="8"/>
  <c r="E52" i="8"/>
  <c r="E59" i="8"/>
  <c r="J111" i="8"/>
  <c r="Q56" i="8"/>
  <c r="Q111" i="8"/>
  <c r="C78" i="8"/>
  <c r="Q73" i="8"/>
  <c r="J73" i="8"/>
  <c r="E60" i="8"/>
  <c r="C100" i="8"/>
  <c r="E100" i="8"/>
  <c r="C55" i="8"/>
  <c r="E110" i="8"/>
  <c r="C110" i="8"/>
  <c r="Q50" i="8"/>
  <c r="J50" i="8"/>
  <c r="E55" i="8"/>
  <c r="Q75" i="8"/>
  <c r="J75" i="8"/>
  <c r="G23" i="8"/>
  <c r="G25" i="8" s="1"/>
  <c r="H50" i="8"/>
  <c r="H75" i="8"/>
  <c r="C74" i="8"/>
  <c r="E74" i="8"/>
  <c r="E68" i="8"/>
  <c r="C68" i="8"/>
  <c r="Q102" i="8"/>
  <c r="J102" i="8"/>
  <c r="H102" i="8"/>
  <c r="C69" i="8"/>
  <c r="Q54" i="8"/>
  <c r="J54" i="8"/>
  <c r="E69" i="8"/>
  <c r="Q53" i="8"/>
  <c r="J53" i="8"/>
  <c r="H75" i="7"/>
  <c r="G20" i="7"/>
  <c r="H100" i="7"/>
  <c r="J100" i="7"/>
  <c r="C101" i="7"/>
  <c r="E101" i="7"/>
  <c r="D69" i="7"/>
  <c r="F69" i="7" s="1"/>
  <c r="G69" i="7" s="1"/>
  <c r="H69" i="7" s="1"/>
  <c r="E69" i="7"/>
  <c r="H57" i="7"/>
  <c r="J66" i="7"/>
  <c r="B21" i="7"/>
  <c r="B22" i="7" s="1"/>
  <c r="F64" i="7"/>
  <c r="G64" i="7" s="1"/>
  <c r="H64" i="7"/>
  <c r="F52" i="7"/>
  <c r="G52" i="7" s="1"/>
  <c r="H52" i="7" s="1"/>
  <c r="F112" i="7"/>
  <c r="D78" i="7"/>
  <c r="C78" i="7"/>
  <c r="E78" i="7"/>
  <c r="J73" i="7"/>
  <c r="J50" i="7"/>
  <c r="E110" i="7"/>
  <c r="E55" i="7"/>
  <c r="D55" i="7"/>
  <c r="C55" i="7"/>
  <c r="D110" i="7"/>
  <c r="G110" i="7" s="1"/>
  <c r="C110" i="7"/>
  <c r="D74" i="7"/>
  <c r="D60" i="7"/>
  <c r="F105" i="7"/>
  <c r="G105" i="7" s="1"/>
  <c r="H105" i="7" s="1"/>
  <c r="F101" i="7"/>
  <c r="C65" i="7"/>
  <c r="E65" i="7"/>
  <c r="D65" i="7"/>
  <c r="H66" i="7"/>
  <c r="E60" i="7"/>
  <c r="C60" i="7"/>
  <c r="J58" i="7"/>
  <c r="E74" i="7"/>
  <c r="H73" i="7"/>
  <c r="J57" i="7"/>
  <c r="E70" i="7"/>
  <c r="D70" i="7"/>
  <c r="C70" i="7"/>
  <c r="E59" i="7"/>
  <c r="D59" i="7"/>
  <c r="C59" i="7"/>
  <c r="C52" i="6"/>
  <c r="D69" i="6"/>
  <c r="E69" i="6"/>
  <c r="G20" i="6"/>
  <c r="D70" i="6"/>
  <c r="E70" i="6"/>
  <c r="H56" i="6"/>
  <c r="E52" i="6"/>
  <c r="F100" i="6"/>
  <c r="G100" i="6" s="1"/>
  <c r="J100" i="6" s="1"/>
  <c r="H57" i="6"/>
  <c r="H77" i="6"/>
  <c r="C70" i="6"/>
  <c r="E105" i="6"/>
  <c r="C105" i="6"/>
  <c r="D105" i="6"/>
  <c r="C112" i="6"/>
  <c r="H62" i="6"/>
  <c r="E112" i="6"/>
  <c r="D112" i="6"/>
  <c r="D64" i="6"/>
  <c r="E64" i="6"/>
  <c r="H102" i="6" l="1"/>
  <c r="C59" i="6"/>
  <c r="E59" i="6"/>
  <c r="D59" i="6"/>
  <c r="C69" i="6"/>
  <c r="F69" i="6" s="1"/>
  <c r="G69" i="6" s="1"/>
  <c r="H66" i="6"/>
  <c r="D52" i="6"/>
  <c r="F52" i="6" s="1"/>
  <c r="G52" i="6" s="1"/>
  <c r="J51" i="6"/>
  <c r="J58" i="6"/>
  <c r="H20" i="6"/>
  <c r="J54" i="6"/>
  <c r="D74" i="6"/>
  <c r="C74" i="6"/>
  <c r="H76" i="6"/>
  <c r="B21" i="6"/>
  <c r="B22" i="6" s="1"/>
  <c r="D68" i="6" s="1"/>
  <c r="H112" i="7"/>
  <c r="G112" i="7"/>
  <c r="H111" i="6"/>
  <c r="D55" i="6"/>
  <c r="D78" i="6"/>
  <c r="E60" i="6"/>
  <c r="E110" i="6"/>
  <c r="E74" i="6"/>
  <c r="E78" i="6"/>
  <c r="D60" i="6"/>
  <c r="E55" i="6"/>
  <c r="H50" i="6"/>
  <c r="C78" i="6"/>
  <c r="D110" i="6"/>
  <c r="J73" i="6"/>
  <c r="C60" i="6"/>
  <c r="C110" i="6"/>
  <c r="C55" i="6"/>
  <c r="F52" i="8"/>
  <c r="G52" i="8" s="1"/>
  <c r="C94" i="8" s="1"/>
  <c r="F59" i="8"/>
  <c r="G59" i="8" s="1"/>
  <c r="D113" i="8" s="1"/>
  <c r="F60" i="8"/>
  <c r="G60" i="8" s="1"/>
  <c r="F78" i="8"/>
  <c r="G78" i="8" s="1"/>
  <c r="Q78" i="8" s="1"/>
  <c r="F69" i="8"/>
  <c r="G69" i="8" s="1"/>
  <c r="Q105" i="8"/>
  <c r="J105" i="8"/>
  <c r="E24" i="8"/>
  <c r="E25" i="8" s="1"/>
  <c r="D71" i="8" s="1"/>
  <c r="Q70" i="8"/>
  <c r="J70" i="8"/>
  <c r="F110" i="8"/>
  <c r="G110" i="8" s="1"/>
  <c r="F100" i="8"/>
  <c r="G100" i="8" s="1"/>
  <c r="D101" i="8" s="1"/>
  <c r="F68" i="8"/>
  <c r="G68" i="8" s="1"/>
  <c r="D92" i="8" s="1"/>
  <c r="H70" i="8"/>
  <c r="F74" i="8"/>
  <c r="G74" i="8" s="1"/>
  <c r="H74" i="8" s="1"/>
  <c r="F55" i="8"/>
  <c r="G55" i="8" s="1"/>
  <c r="F74" i="7"/>
  <c r="G74" i="7" s="1"/>
  <c r="J74" i="7" s="1"/>
  <c r="F70" i="7"/>
  <c r="G70" i="7" s="1"/>
  <c r="H70" i="7" s="1"/>
  <c r="F55" i="7"/>
  <c r="G55" i="7" s="1"/>
  <c r="H55" i="7" s="1"/>
  <c r="J52" i="7"/>
  <c r="E94" i="7"/>
  <c r="D94" i="7"/>
  <c r="C94" i="7"/>
  <c r="D20" i="7"/>
  <c r="J64" i="7"/>
  <c r="E68" i="7"/>
  <c r="D68" i="7"/>
  <c r="C68" i="7"/>
  <c r="J105" i="7"/>
  <c r="F78" i="7"/>
  <c r="G78" i="7" s="1"/>
  <c r="F59" i="7"/>
  <c r="G59" i="7" s="1"/>
  <c r="E96" i="7" s="1"/>
  <c r="F60" i="7"/>
  <c r="G60" i="7" s="1"/>
  <c r="H60" i="7" s="1"/>
  <c r="F110" i="7"/>
  <c r="H110" i="7" s="1"/>
  <c r="E20" i="7"/>
  <c r="J69" i="7"/>
  <c r="F65" i="7"/>
  <c r="G65" i="7" s="1"/>
  <c r="H65" i="7" s="1"/>
  <c r="C16" i="7"/>
  <c r="G101" i="7"/>
  <c r="J112" i="7"/>
  <c r="C65" i="6"/>
  <c r="E65" i="6"/>
  <c r="E68" i="6"/>
  <c r="C68" i="6"/>
  <c r="E101" i="6"/>
  <c r="F64" i="6"/>
  <c r="G64" i="6" s="1"/>
  <c r="C101" i="6"/>
  <c r="F70" i="6"/>
  <c r="G70" i="6" s="1"/>
  <c r="H100" i="6"/>
  <c r="D101" i="6"/>
  <c r="F105" i="6"/>
  <c r="G105" i="6" s="1"/>
  <c r="F59" i="6"/>
  <c r="G59" i="6" s="1"/>
  <c r="F112" i="6"/>
  <c r="J112" i="6" s="1"/>
  <c r="F74" i="6" l="1"/>
  <c r="G74" i="6" s="1"/>
  <c r="J74" i="6" s="1"/>
  <c r="F110" i="6"/>
  <c r="J110" i="6" s="1"/>
  <c r="F78" i="6"/>
  <c r="G78" i="6" s="1"/>
  <c r="F60" i="6"/>
  <c r="G60" i="6" s="1"/>
  <c r="F55" i="6"/>
  <c r="G55" i="6" s="1"/>
  <c r="H55" i="6" s="1"/>
  <c r="H69" i="6"/>
  <c r="J69" i="6"/>
  <c r="H105" i="6"/>
  <c r="J105" i="6"/>
  <c r="H78" i="6"/>
  <c r="J78" i="6"/>
  <c r="D96" i="6"/>
  <c r="J59" i="6"/>
  <c r="H64" i="6"/>
  <c r="J64" i="6"/>
  <c r="H52" i="6"/>
  <c r="J52" i="6"/>
  <c r="H60" i="6"/>
  <c r="J60" i="6"/>
  <c r="E21" i="6"/>
  <c r="E22" i="6" s="1"/>
  <c r="D71" i="6" s="1"/>
  <c r="J70" i="6"/>
  <c r="E94" i="8"/>
  <c r="F17" i="8"/>
  <c r="D96" i="8"/>
  <c r="C61" i="8"/>
  <c r="D61" i="8"/>
  <c r="H52" i="8"/>
  <c r="D94" i="8"/>
  <c r="F94" i="8" s="1"/>
  <c r="G94" i="8" s="1"/>
  <c r="J23" i="8"/>
  <c r="J25" i="8" s="1"/>
  <c r="E62" i="8" s="1"/>
  <c r="J52" i="8"/>
  <c r="Q52" i="8"/>
  <c r="H78" i="8"/>
  <c r="H59" i="8"/>
  <c r="C113" i="8"/>
  <c r="C96" i="8"/>
  <c r="E96" i="8"/>
  <c r="J59" i="8"/>
  <c r="Q59" i="8"/>
  <c r="H60" i="8"/>
  <c r="E61" i="8"/>
  <c r="J60" i="8"/>
  <c r="J78" i="8"/>
  <c r="Q60" i="8"/>
  <c r="E113" i="8"/>
  <c r="J100" i="8"/>
  <c r="E101" i="8"/>
  <c r="C101" i="8"/>
  <c r="Q100" i="8"/>
  <c r="E23" i="8"/>
  <c r="Q69" i="8"/>
  <c r="J69" i="8"/>
  <c r="C71" i="8"/>
  <c r="E71" i="8"/>
  <c r="Q68" i="8"/>
  <c r="J68" i="8"/>
  <c r="E92" i="8"/>
  <c r="C92" i="8"/>
  <c r="H68" i="8"/>
  <c r="H69" i="8"/>
  <c r="Q110" i="8"/>
  <c r="J110" i="8"/>
  <c r="H110" i="8"/>
  <c r="Q55" i="8"/>
  <c r="J55" i="8"/>
  <c r="H100" i="8"/>
  <c r="H55" i="8"/>
  <c r="Q74" i="8"/>
  <c r="J74" i="8"/>
  <c r="C96" i="7"/>
  <c r="D96" i="7"/>
  <c r="H74" i="7"/>
  <c r="J60" i="7"/>
  <c r="E61" i="7"/>
  <c r="D61" i="7"/>
  <c r="C61" i="7"/>
  <c r="J101" i="7"/>
  <c r="H101" i="7"/>
  <c r="J65" i="7"/>
  <c r="E21" i="7"/>
  <c r="E22" i="7" s="1"/>
  <c r="J70" i="7"/>
  <c r="E93" i="7"/>
  <c r="D93" i="7"/>
  <c r="C93" i="7"/>
  <c r="J59" i="7"/>
  <c r="E113" i="7"/>
  <c r="D113" i="7"/>
  <c r="C113" i="7"/>
  <c r="J78" i="7"/>
  <c r="J20" i="7"/>
  <c r="F94" i="7"/>
  <c r="G94" i="7" s="1"/>
  <c r="F68" i="7"/>
  <c r="G68" i="7" s="1"/>
  <c r="H59" i="7"/>
  <c r="H78" i="7"/>
  <c r="J55" i="7"/>
  <c r="J110" i="7"/>
  <c r="C94" i="6"/>
  <c r="E94" i="6"/>
  <c r="F65" i="6"/>
  <c r="G65" i="6" s="1"/>
  <c r="D94" i="6"/>
  <c r="F68" i="6"/>
  <c r="G68" i="6" s="1"/>
  <c r="E20" i="6"/>
  <c r="H110" i="6"/>
  <c r="D20" i="6"/>
  <c r="F101" i="6"/>
  <c r="G101" i="6" s="1"/>
  <c r="J101" i="6" s="1"/>
  <c r="H70" i="6"/>
  <c r="C113" i="6"/>
  <c r="E96" i="6"/>
  <c r="C61" i="6"/>
  <c r="C96" i="6"/>
  <c r="D61" i="6"/>
  <c r="H59" i="6"/>
  <c r="E61" i="6"/>
  <c r="H112" i="6"/>
  <c r="E113" i="6"/>
  <c r="D113" i="6"/>
  <c r="H74" i="6"/>
  <c r="J20" i="6"/>
  <c r="F96" i="7" l="1"/>
  <c r="G96" i="7" s="1"/>
  <c r="H96" i="7" s="1"/>
  <c r="J55" i="6"/>
  <c r="C93" i="6"/>
  <c r="J65" i="6"/>
  <c r="H68" i="6"/>
  <c r="J68" i="6"/>
  <c r="D63" i="8"/>
  <c r="D62" i="8"/>
  <c r="E63" i="8"/>
  <c r="C62" i="8"/>
  <c r="F96" i="8"/>
  <c r="G96" i="8" s="1"/>
  <c r="Q96" i="8" s="1"/>
  <c r="F61" i="8"/>
  <c r="G61" i="8" s="1"/>
  <c r="D106" i="8" s="1"/>
  <c r="F113" i="8"/>
  <c r="G113" i="8" s="1"/>
  <c r="H113" i="8" s="1"/>
  <c r="F71" i="8"/>
  <c r="G71" i="8" s="1"/>
  <c r="E95" i="8" s="1"/>
  <c r="F92" i="8"/>
  <c r="G92" i="8" s="1"/>
  <c r="H92" i="8" s="1"/>
  <c r="F101" i="8"/>
  <c r="J94" i="8"/>
  <c r="Q94" i="8"/>
  <c r="H94" i="8"/>
  <c r="F113" i="7"/>
  <c r="G113" i="7" s="1"/>
  <c r="J68" i="7"/>
  <c r="D92" i="7"/>
  <c r="C92" i="7"/>
  <c r="E92" i="7"/>
  <c r="F93" i="7"/>
  <c r="G93" i="7" s="1"/>
  <c r="H93" i="7" s="1"/>
  <c r="H68" i="7"/>
  <c r="J94" i="7"/>
  <c r="F61" i="7"/>
  <c r="G61" i="7" s="1"/>
  <c r="H94" i="7"/>
  <c r="E71" i="7"/>
  <c r="C71" i="7"/>
  <c r="D71" i="7"/>
  <c r="F94" i="6"/>
  <c r="G94" i="6" s="1"/>
  <c r="E93" i="6"/>
  <c r="H65" i="6"/>
  <c r="D93" i="6"/>
  <c r="C16" i="6"/>
  <c r="D92" i="6"/>
  <c r="E92" i="6"/>
  <c r="C92" i="6"/>
  <c r="C71" i="6"/>
  <c r="E71" i="6"/>
  <c r="F61" i="6"/>
  <c r="G61" i="6" s="1"/>
  <c r="F96" i="6"/>
  <c r="G96" i="6" s="1"/>
  <c r="J96" i="6" s="1"/>
  <c r="F113" i="6"/>
  <c r="G113" i="6" s="1"/>
  <c r="H101" i="6"/>
  <c r="J96" i="7" l="1"/>
  <c r="H113" i="6"/>
  <c r="J113" i="6"/>
  <c r="C67" i="6"/>
  <c r="J61" i="6"/>
  <c r="H94" i="6"/>
  <c r="J94" i="6"/>
  <c r="F62" i="8"/>
  <c r="G62" i="8" s="1"/>
  <c r="D112" i="8" s="1"/>
  <c r="E91" i="8"/>
  <c r="D91" i="8"/>
  <c r="D67" i="8"/>
  <c r="D95" i="8"/>
  <c r="F63" i="8"/>
  <c r="G63" i="8" s="1"/>
  <c r="Q63" i="8" s="1"/>
  <c r="H62" i="8"/>
  <c r="D64" i="8"/>
  <c r="Q113" i="8"/>
  <c r="H96" i="8"/>
  <c r="E104" i="8"/>
  <c r="C104" i="8"/>
  <c r="F104" i="8" s="1"/>
  <c r="J96" i="8"/>
  <c r="C95" i="8"/>
  <c r="C106" i="8"/>
  <c r="E106" i="8"/>
  <c r="H61" i="8"/>
  <c r="E67" i="8"/>
  <c r="J61" i="8"/>
  <c r="Q61" i="8"/>
  <c r="C91" i="8"/>
  <c r="C67" i="8"/>
  <c r="F91" i="8"/>
  <c r="G91" i="8" s="1"/>
  <c r="D103" i="8" s="1"/>
  <c r="J113" i="8"/>
  <c r="Q92" i="8"/>
  <c r="J92" i="8"/>
  <c r="C45" i="8"/>
  <c r="E45" i="8"/>
  <c r="Q71" i="8"/>
  <c r="J71" i="8"/>
  <c r="G101" i="8"/>
  <c r="F16" i="8"/>
  <c r="C64" i="8"/>
  <c r="Q62" i="8"/>
  <c r="J62" i="8"/>
  <c r="E64" i="8"/>
  <c r="E112" i="8"/>
  <c r="C112" i="8"/>
  <c r="H71" i="8"/>
  <c r="C91" i="7"/>
  <c r="E67" i="7"/>
  <c r="E91" i="7"/>
  <c r="D67" i="7"/>
  <c r="D91" i="7"/>
  <c r="C67" i="7"/>
  <c r="J61" i="7"/>
  <c r="C106" i="7"/>
  <c r="D106" i="7"/>
  <c r="E106" i="7"/>
  <c r="F92" i="7"/>
  <c r="G92" i="7" s="1"/>
  <c r="E114" i="7" s="1"/>
  <c r="F71" i="7"/>
  <c r="G71" i="7" s="1"/>
  <c r="J93" i="7"/>
  <c r="H61" i="7"/>
  <c r="J113" i="7"/>
  <c r="H113" i="7"/>
  <c r="F93" i="6"/>
  <c r="G93" i="6" s="1"/>
  <c r="F92" i="6"/>
  <c r="G92" i="6" s="1"/>
  <c r="F71" i="6"/>
  <c r="G71" i="6" s="1"/>
  <c r="E67" i="6"/>
  <c r="D67" i="6"/>
  <c r="H61" i="6"/>
  <c r="E106" i="6"/>
  <c r="D106" i="6"/>
  <c r="D91" i="6"/>
  <c r="E91" i="6"/>
  <c r="C106" i="6"/>
  <c r="C91" i="6"/>
  <c r="H96" i="6"/>
  <c r="H93" i="6" l="1"/>
  <c r="J93" i="6"/>
  <c r="H71" i="6"/>
  <c r="J71" i="6"/>
  <c r="E45" i="6"/>
  <c r="J92" i="6"/>
  <c r="H91" i="8"/>
  <c r="J63" i="8"/>
  <c r="D24" i="8"/>
  <c r="H63" i="8"/>
  <c r="F95" i="8"/>
  <c r="G95" i="8" s="1"/>
  <c r="Q95" i="8" s="1"/>
  <c r="F67" i="8"/>
  <c r="G67" i="8" s="1"/>
  <c r="H67" i="8" s="1"/>
  <c r="F106" i="8"/>
  <c r="G106" i="8" s="1"/>
  <c r="H106" i="8" s="1"/>
  <c r="F64" i="8"/>
  <c r="G64" i="8" s="1"/>
  <c r="Q101" i="8"/>
  <c r="J101" i="8"/>
  <c r="H101" i="8"/>
  <c r="G104" i="8"/>
  <c r="C10" i="8"/>
  <c r="C9" i="8"/>
  <c r="F112" i="8"/>
  <c r="G112" i="8" s="1"/>
  <c r="J91" i="8"/>
  <c r="Q91" i="8"/>
  <c r="E103" i="8"/>
  <c r="C103" i="8"/>
  <c r="F45" i="8"/>
  <c r="G45" i="8" s="1"/>
  <c r="H92" i="7"/>
  <c r="C114" i="7"/>
  <c r="D114" i="7"/>
  <c r="F67" i="7"/>
  <c r="G67" i="7" s="1"/>
  <c r="H67" i="7" s="1"/>
  <c r="F114" i="7"/>
  <c r="G114" i="7" s="1"/>
  <c r="H114" i="7" s="1"/>
  <c r="J71" i="7"/>
  <c r="C95" i="7"/>
  <c r="D95" i="7"/>
  <c r="E95" i="7"/>
  <c r="H71" i="7"/>
  <c r="F106" i="7"/>
  <c r="G106" i="7" s="1"/>
  <c r="J92" i="7"/>
  <c r="E45" i="7"/>
  <c r="C45" i="7"/>
  <c r="F91" i="7"/>
  <c r="G91" i="7" s="1"/>
  <c r="H91" i="7" s="1"/>
  <c r="F91" i="6"/>
  <c r="G91" i="6" s="1"/>
  <c r="J91" i="6" s="1"/>
  <c r="C114" i="6"/>
  <c r="D114" i="6"/>
  <c r="C95" i="6"/>
  <c r="D95" i="6"/>
  <c r="E114" i="6"/>
  <c r="H92" i="6"/>
  <c r="E95" i="6"/>
  <c r="C45" i="6"/>
  <c r="F67" i="6"/>
  <c r="G67" i="6" s="1"/>
  <c r="F106" i="6"/>
  <c r="G106" i="6" s="1"/>
  <c r="H106" i="6" l="1"/>
  <c r="J106" i="6"/>
  <c r="F45" i="6"/>
  <c r="G45" i="6" s="1"/>
  <c r="J45" i="6" s="1"/>
  <c r="H67" i="6"/>
  <c r="J67" i="6"/>
  <c r="H112" i="8"/>
  <c r="H95" i="8"/>
  <c r="J95" i="8"/>
  <c r="J106" i="8"/>
  <c r="Q106" i="8"/>
  <c r="J67" i="8"/>
  <c r="Q67" i="8"/>
  <c r="B23" i="8"/>
  <c r="Q45" i="8"/>
  <c r="J45" i="8"/>
  <c r="F24" i="8"/>
  <c r="Q104" i="8"/>
  <c r="J104" i="8"/>
  <c r="H104" i="8"/>
  <c r="F103" i="8"/>
  <c r="G103" i="8" s="1"/>
  <c r="Q112" i="8"/>
  <c r="J112" i="8"/>
  <c r="H45" i="8"/>
  <c r="Q64" i="8"/>
  <c r="J64" i="8"/>
  <c r="D23" i="8"/>
  <c r="D25" i="8" s="1"/>
  <c r="D65" i="8" s="1"/>
  <c r="H64" i="8"/>
  <c r="J106" i="7"/>
  <c r="F45" i="7"/>
  <c r="G45" i="7" s="1"/>
  <c r="H106" i="7"/>
  <c r="F95" i="7"/>
  <c r="G95" i="7" s="1"/>
  <c r="H95" i="7" s="1"/>
  <c r="J91" i="7"/>
  <c r="C103" i="7"/>
  <c r="E103" i="7"/>
  <c r="D103" i="7"/>
  <c r="C97" i="7"/>
  <c r="E97" i="7"/>
  <c r="D97" i="7"/>
  <c r="J114" i="7"/>
  <c r="B20" i="7"/>
  <c r="J67" i="7"/>
  <c r="H91" i="6"/>
  <c r="C103" i="6"/>
  <c r="E103" i="6"/>
  <c r="D103" i="6"/>
  <c r="F114" i="6"/>
  <c r="G114" i="6" s="1"/>
  <c r="F95" i="6"/>
  <c r="G95" i="6" s="1"/>
  <c r="J95" i="6" s="1"/>
  <c r="B20" i="6"/>
  <c r="F21" i="6" l="1"/>
  <c r="H45" i="6"/>
  <c r="D97" i="6"/>
  <c r="J114" i="6"/>
  <c r="E65" i="8"/>
  <c r="C65" i="8"/>
  <c r="J103" i="8"/>
  <c r="Q103" i="8"/>
  <c r="H103" i="8"/>
  <c r="F103" i="7"/>
  <c r="G103" i="7" s="1"/>
  <c r="E98" i="7" s="1"/>
  <c r="F21" i="7"/>
  <c r="J45" i="7"/>
  <c r="H45" i="7"/>
  <c r="J95" i="7"/>
  <c r="F97" i="7"/>
  <c r="G97" i="7" s="1"/>
  <c r="H97" i="7" s="1"/>
  <c r="F103" i="6"/>
  <c r="G103" i="6" s="1"/>
  <c r="H95" i="6"/>
  <c r="E97" i="6"/>
  <c r="C97" i="6"/>
  <c r="H114" i="6"/>
  <c r="E72" i="6"/>
  <c r="C72" i="6"/>
  <c r="D98" i="7" l="1"/>
  <c r="C98" i="7"/>
  <c r="F97" i="6"/>
  <c r="G97" i="6" s="1"/>
  <c r="J97" i="6" s="1"/>
  <c r="D98" i="6"/>
  <c r="J103" i="6"/>
  <c r="F65" i="8"/>
  <c r="G65" i="8" s="1"/>
  <c r="D93" i="8" s="1"/>
  <c r="J103" i="7"/>
  <c r="F98" i="7"/>
  <c r="G98" i="7" s="1"/>
  <c r="H98" i="7" s="1"/>
  <c r="E72" i="7"/>
  <c r="C72" i="7"/>
  <c r="J97" i="7"/>
  <c r="H103" i="7"/>
  <c r="C98" i="6"/>
  <c r="H103" i="6"/>
  <c r="E98" i="6"/>
  <c r="F72" i="6"/>
  <c r="G72" i="6" s="1"/>
  <c r="J72" i="6" s="1"/>
  <c r="H97" i="6" l="1"/>
  <c r="Q65" i="8"/>
  <c r="J65" i="8"/>
  <c r="E93" i="8"/>
  <c r="C93" i="8"/>
  <c r="H65" i="8"/>
  <c r="F72" i="7"/>
  <c r="G72" i="7" s="1"/>
  <c r="J98" i="7"/>
  <c r="F98" i="6"/>
  <c r="G98" i="6" s="1"/>
  <c r="J98" i="6" s="1"/>
  <c r="E104" i="6"/>
  <c r="C104" i="6"/>
  <c r="D115" i="6"/>
  <c r="E115" i="6"/>
  <c r="C115" i="6"/>
  <c r="H72" i="6"/>
  <c r="F93" i="8" l="1"/>
  <c r="G93" i="8" s="1"/>
  <c r="D114" i="8" s="1"/>
  <c r="E104" i="7"/>
  <c r="J72" i="7"/>
  <c r="C104" i="7"/>
  <c r="C115" i="7"/>
  <c r="E115" i="7"/>
  <c r="D115" i="7"/>
  <c r="H72" i="7"/>
  <c r="H98" i="6"/>
  <c r="F115" i="6"/>
  <c r="G115" i="6" s="1"/>
  <c r="J115" i="6" s="1"/>
  <c r="F104" i="6"/>
  <c r="C9" i="6" s="1"/>
  <c r="D98" i="8" l="1"/>
  <c r="E114" i="8"/>
  <c r="C114" i="8"/>
  <c r="Q93" i="8"/>
  <c r="J93" i="8"/>
  <c r="E98" i="8"/>
  <c r="C98" i="8"/>
  <c r="H93" i="8"/>
  <c r="F115" i="7"/>
  <c r="G115" i="7" s="1"/>
  <c r="F104" i="7"/>
  <c r="G104" i="6"/>
  <c r="J104" i="6" s="1"/>
  <c r="C10" i="6"/>
  <c r="H115" i="6"/>
  <c r="F98" i="8" l="1"/>
  <c r="G98" i="8" s="1"/>
  <c r="F114" i="8"/>
  <c r="G114" i="8" s="1"/>
  <c r="D115" i="8" s="1"/>
  <c r="G104" i="7"/>
  <c r="C10" i="7"/>
  <c r="C9" i="7"/>
  <c r="J115" i="7"/>
  <c r="H115" i="7"/>
  <c r="H104" i="6"/>
  <c r="H114" i="8" l="1"/>
  <c r="D97" i="8"/>
  <c r="Q98" i="8"/>
  <c r="J98" i="8"/>
  <c r="E97" i="8"/>
  <c r="C97" i="8"/>
  <c r="Q114" i="8"/>
  <c r="J114" i="8"/>
  <c r="E115" i="8"/>
  <c r="C115" i="8"/>
  <c r="H98" i="8"/>
  <c r="J104" i="7"/>
  <c r="H104" i="7"/>
  <c r="F115" i="8" l="1"/>
  <c r="G115" i="8" s="1"/>
  <c r="F97" i="8"/>
  <c r="G97" i="8" s="1"/>
  <c r="J22" i="4"/>
  <c r="J22" i="5"/>
  <c r="H16" i="5"/>
  <c r="C99" i="5"/>
  <c r="C44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2" i="5"/>
  <c r="F20" i="5"/>
  <c r="D10" i="5"/>
  <c r="I9" i="5"/>
  <c r="D9" i="5"/>
  <c r="G3" i="5"/>
  <c r="H2" i="5"/>
  <c r="G3" i="1"/>
  <c r="H2" i="1"/>
  <c r="G3" i="4"/>
  <c r="H2" i="4"/>
  <c r="E43" i="4" s="1"/>
  <c r="F43" i="4" s="1"/>
  <c r="G43" i="4" s="1"/>
  <c r="E99" i="4"/>
  <c r="D99" i="4"/>
  <c r="C99" i="4"/>
  <c r="E44" i="4"/>
  <c r="D44" i="4"/>
  <c r="C44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C22" i="4"/>
  <c r="F20" i="4"/>
  <c r="H16" i="4"/>
  <c r="D10" i="4"/>
  <c r="I9" i="4"/>
  <c r="D9" i="4"/>
  <c r="I9" i="1"/>
  <c r="H16" i="1"/>
  <c r="E43" i="1"/>
  <c r="F43" i="1" s="1"/>
  <c r="G43" i="1" s="1"/>
  <c r="J43" i="1" s="1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G3" i="2"/>
  <c r="H2" i="2"/>
  <c r="E99" i="1"/>
  <c r="D99" i="1"/>
  <c r="C99" i="1"/>
  <c r="E44" i="1"/>
  <c r="D44" i="1"/>
  <c r="C44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C22" i="1"/>
  <c r="F20" i="1"/>
  <c r="F22" i="1" s="1"/>
  <c r="E72" i="1" s="1"/>
  <c r="D10" i="1"/>
  <c r="D9" i="1"/>
  <c r="J97" i="8" l="1"/>
  <c r="Q97" i="8"/>
  <c r="H97" i="8"/>
  <c r="Q115" i="8"/>
  <c r="J115" i="8"/>
  <c r="H115" i="8"/>
  <c r="F31" i="4"/>
  <c r="G31" i="4" s="1"/>
  <c r="J31" i="4" s="1"/>
  <c r="F32" i="4"/>
  <c r="F44" i="4"/>
  <c r="G44" i="4" s="1"/>
  <c r="F35" i="4"/>
  <c r="G35" i="4" s="1"/>
  <c r="E111" i="4" s="1"/>
  <c r="F99" i="4"/>
  <c r="G99" i="4" s="1"/>
  <c r="J99" i="4" s="1"/>
  <c r="F42" i="4"/>
  <c r="G42" i="4" s="1"/>
  <c r="H42" i="4" s="1"/>
  <c r="F34" i="4"/>
  <c r="G34" i="4" s="1"/>
  <c r="H34" i="4" s="1"/>
  <c r="F41" i="4"/>
  <c r="G41" i="4" s="1"/>
  <c r="G21" i="4" s="1"/>
  <c r="G22" i="4" s="1"/>
  <c r="F38" i="4"/>
  <c r="G38" i="4" s="1"/>
  <c r="F39" i="4"/>
  <c r="G39" i="4" s="1"/>
  <c r="F36" i="4"/>
  <c r="G36" i="4" s="1"/>
  <c r="H36" i="4" s="1"/>
  <c r="F40" i="4"/>
  <c r="F30" i="4"/>
  <c r="G30" i="4" s="1"/>
  <c r="J30" i="4" s="1"/>
  <c r="F33" i="4"/>
  <c r="G33" i="4" s="1"/>
  <c r="F37" i="4"/>
  <c r="G37" i="4" s="1"/>
  <c r="H37" i="4" s="1"/>
  <c r="J43" i="4"/>
  <c r="H43" i="4"/>
  <c r="C20" i="4"/>
  <c r="F33" i="1"/>
  <c r="G33" i="1" s="1"/>
  <c r="J33" i="1" s="1"/>
  <c r="F34" i="1"/>
  <c r="G34" i="1" s="1"/>
  <c r="F42" i="1"/>
  <c r="G42" i="1" s="1"/>
  <c r="F31" i="1"/>
  <c r="G31" i="1" s="1"/>
  <c r="F44" i="1"/>
  <c r="G44" i="1" s="1"/>
  <c r="J44" i="1" s="1"/>
  <c r="F32" i="1"/>
  <c r="G32" i="1" s="1"/>
  <c r="F30" i="1"/>
  <c r="G30" i="1" s="1"/>
  <c r="J30" i="1" s="1"/>
  <c r="F99" i="1"/>
  <c r="G99" i="1" s="1"/>
  <c r="J99" i="1" s="1"/>
  <c r="F41" i="1"/>
  <c r="G41" i="1" s="1"/>
  <c r="J41" i="1" s="1"/>
  <c r="F38" i="1"/>
  <c r="G38" i="1" s="1"/>
  <c r="F40" i="1"/>
  <c r="G40" i="1" s="1"/>
  <c r="J40" i="1" s="1"/>
  <c r="C20" i="1"/>
  <c r="Q43" i="1"/>
  <c r="H43" i="1"/>
  <c r="F39" i="1"/>
  <c r="G39" i="1" s="1"/>
  <c r="J39" i="1" s="1"/>
  <c r="F37" i="1"/>
  <c r="G37" i="1" s="1"/>
  <c r="J37" i="1" s="1"/>
  <c r="F35" i="1"/>
  <c r="G35" i="1" s="1"/>
  <c r="J35" i="1" s="1"/>
  <c r="C72" i="1"/>
  <c r="F36" i="1"/>
  <c r="G36" i="1" s="1"/>
  <c r="J36" i="1" s="1"/>
  <c r="G40" i="4" l="1"/>
  <c r="J40" i="4" s="1"/>
  <c r="G32" i="4"/>
  <c r="C58" i="4" s="1"/>
  <c r="J38" i="1"/>
  <c r="H21" i="1"/>
  <c r="H38" i="4"/>
  <c r="H21" i="4"/>
  <c r="H22" i="4" s="1"/>
  <c r="J33" i="4"/>
  <c r="D102" i="4"/>
  <c r="C21" i="4"/>
  <c r="H44" i="4"/>
  <c r="J44" i="4"/>
  <c r="E75" i="4"/>
  <c r="E66" i="4"/>
  <c r="H31" i="4"/>
  <c r="C66" i="4"/>
  <c r="D66" i="4"/>
  <c r="E102" i="4"/>
  <c r="E77" i="4"/>
  <c r="C102" i="4"/>
  <c r="I21" i="4"/>
  <c r="I22" i="4" s="1"/>
  <c r="H33" i="4"/>
  <c r="H40" i="4"/>
  <c r="C53" i="4"/>
  <c r="C76" i="4"/>
  <c r="E56" i="4"/>
  <c r="C51" i="4"/>
  <c r="D56" i="4"/>
  <c r="J34" i="4"/>
  <c r="E51" i="4"/>
  <c r="E53" i="4"/>
  <c r="C50" i="4"/>
  <c r="H35" i="4"/>
  <c r="D53" i="4"/>
  <c r="H39" i="4"/>
  <c r="C57" i="4"/>
  <c r="J36" i="4"/>
  <c r="E76" i="4"/>
  <c r="H99" i="4"/>
  <c r="C54" i="4"/>
  <c r="J39" i="4"/>
  <c r="J35" i="4"/>
  <c r="D50" i="4"/>
  <c r="C111" i="4"/>
  <c r="C63" i="4"/>
  <c r="D75" i="4"/>
  <c r="D111" i="4"/>
  <c r="E50" i="4"/>
  <c r="E73" i="4"/>
  <c r="C75" i="4"/>
  <c r="D76" i="4"/>
  <c r="J42" i="4"/>
  <c r="D54" i="4"/>
  <c r="E54" i="4"/>
  <c r="E57" i="4"/>
  <c r="D73" i="4"/>
  <c r="J38" i="4"/>
  <c r="H41" i="4"/>
  <c r="D51" i="4"/>
  <c r="D57" i="4"/>
  <c r="J41" i="4"/>
  <c r="H30" i="4"/>
  <c r="J37" i="4"/>
  <c r="C56" i="4"/>
  <c r="C73" i="4"/>
  <c r="H32" i="1"/>
  <c r="J32" i="1"/>
  <c r="H31" i="1"/>
  <c r="J31" i="1"/>
  <c r="Q42" i="1"/>
  <c r="J42" i="1"/>
  <c r="Q34" i="1"/>
  <c r="J34" i="1"/>
  <c r="H35" i="1"/>
  <c r="E76" i="1"/>
  <c r="D76" i="1"/>
  <c r="C76" i="1"/>
  <c r="H39" i="1"/>
  <c r="D75" i="1"/>
  <c r="C75" i="1"/>
  <c r="D77" i="1"/>
  <c r="E77" i="1"/>
  <c r="C77" i="1"/>
  <c r="Q37" i="1"/>
  <c r="I21" i="1"/>
  <c r="Q41" i="1"/>
  <c r="H99" i="1"/>
  <c r="E51" i="1"/>
  <c r="C51" i="1"/>
  <c r="Q99" i="1"/>
  <c r="C102" i="1"/>
  <c r="D102" i="1"/>
  <c r="Q33" i="1"/>
  <c r="H33" i="1"/>
  <c r="C57" i="1"/>
  <c r="E102" i="1"/>
  <c r="Q44" i="1"/>
  <c r="H44" i="1"/>
  <c r="H42" i="1"/>
  <c r="Q31" i="1"/>
  <c r="E50" i="1"/>
  <c r="C21" i="1"/>
  <c r="C50" i="1"/>
  <c r="E58" i="1"/>
  <c r="C66" i="1"/>
  <c r="D66" i="1"/>
  <c r="D50" i="1"/>
  <c r="E66" i="1"/>
  <c r="G21" i="1"/>
  <c r="C58" i="1"/>
  <c r="D57" i="1"/>
  <c r="Q32" i="1"/>
  <c r="D58" i="1"/>
  <c r="H34" i="1"/>
  <c r="H38" i="1"/>
  <c r="E57" i="1"/>
  <c r="C56" i="1"/>
  <c r="D56" i="1"/>
  <c r="H30" i="1"/>
  <c r="Q38" i="1"/>
  <c r="Q30" i="1"/>
  <c r="E56" i="1"/>
  <c r="D73" i="1"/>
  <c r="E73" i="1"/>
  <c r="D51" i="1"/>
  <c r="Q40" i="1"/>
  <c r="H40" i="1"/>
  <c r="H41" i="1"/>
  <c r="C73" i="1"/>
  <c r="F72" i="1"/>
  <c r="G72" i="1" s="1"/>
  <c r="H37" i="1"/>
  <c r="D54" i="1"/>
  <c r="C54" i="1"/>
  <c r="E53" i="1"/>
  <c r="Q36" i="1"/>
  <c r="H36" i="1"/>
  <c r="E54" i="1"/>
  <c r="D53" i="1"/>
  <c r="C53" i="1"/>
  <c r="Q35" i="1"/>
  <c r="E111" i="1"/>
  <c r="D111" i="1"/>
  <c r="C111" i="1"/>
  <c r="E75" i="1"/>
  <c r="Q39" i="1"/>
  <c r="C63" i="1"/>
  <c r="H32" i="4" l="1"/>
  <c r="D58" i="4"/>
  <c r="J32" i="4"/>
  <c r="C77" i="4"/>
  <c r="E58" i="4"/>
  <c r="F58" i="4" s="1"/>
  <c r="G58" i="4" s="1"/>
  <c r="H58" i="4" s="1"/>
  <c r="D77" i="4"/>
  <c r="F102" i="4"/>
  <c r="G102" i="4" s="1"/>
  <c r="J102" i="4" s="1"/>
  <c r="F66" i="4"/>
  <c r="G66" i="4" s="1"/>
  <c r="H66" i="4" s="1"/>
  <c r="F111" i="4"/>
  <c r="G111" i="4" s="1"/>
  <c r="H111" i="4" s="1"/>
  <c r="F76" i="4"/>
  <c r="G76" i="4" s="1"/>
  <c r="H20" i="4" s="1"/>
  <c r="F54" i="4"/>
  <c r="G54" i="4" s="1"/>
  <c r="F50" i="4"/>
  <c r="G50" i="4" s="1"/>
  <c r="H50" i="4" s="1"/>
  <c r="F51" i="4"/>
  <c r="G51" i="4" s="1"/>
  <c r="E52" i="4" s="1"/>
  <c r="F57" i="4"/>
  <c r="G57" i="4" s="1"/>
  <c r="H57" i="4" s="1"/>
  <c r="F73" i="4"/>
  <c r="G73" i="4" s="1"/>
  <c r="H73" i="4" s="1"/>
  <c r="F75" i="4"/>
  <c r="G75" i="4" s="1"/>
  <c r="H75" i="4" s="1"/>
  <c r="F53" i="4"/>
  <c r="G53" i="4" s="1"/>
  <c r="H53" i="4" s="1"/>
  <c r="F56" i="4"/>
  <c r="G56" i="4" s="1"/>
  <c r="H56" i="4" s="1"/>
  <c r="H72" i="1"/>
  <c r="J72" i="1"/>
  <c r="F77" i="1"/>
  <c r="G77" i="1" s="1"/>
  <c r="F76" i="1"/>
  <c r="G76" i="1" s="1"/>
  <c r="J76" i="1" s="1"/>
  <c r="F102" i="1"/>
  <c r="G102" i="1" s="1"/>
  <c r="F66" i="1"/>
  <c r="G66" i="1" s="1"/>
  <c r="F51" i="1"/>
  <c r="G51" i="1" s="1"/>
  <c r="F58" i="1"/>
  <c r="G58" i="1" s="1"/>
  <c r="F50" i="1"/>
  <c r="G50" i="1" s="1"/>
  <c r="F57" i="1"/>
  <c r="G57" i="1" s="1"/>
  <c r="F56" i="1"/>
  <c r="G56" i="1" s="1"/>
  <c r="F73" i="1"/>
  <c r="G73" i="1" s="1"/>
  <c r="J73" i="1" s="1"/>
  <c r="F75" i="1"/>
  <c r="G75" i="1" s="1"/>
  <c r="J75" i="1" s="1"/>
  <c r="F53" i="1"/>
  <c r="G53" i="1" s="1"/>
  <c r="F54" i="1"/>
  <c r="G54" i="1" s="1"/>
  <c r="J54" i="1" s="1"/>
  <c r="Q72" i="1"/>
  <c r="F111" i="1"/>
  <c r="G111" i="1" s="1"/>
  <c r="F77" i="4" l="1"/>
  <c r="G77" i="4" s="1"/>
  <c r="H77" i="4" s="1"/>
  <c r="H102" i="4"/>
  <c r="J58" i="4"/>
  <c r="H76" i="4"/>
  <c r="J66" i="4"/>
  <c r="B21" i="4"/>
  <c r="B22" i="4" s="1"/>
  <c r="D68" i="4" s="1"/>
  <c r="C55" i="4"/>
  <c r="C78" i="4"/>
  <c r="J111" i="4"/>
  <c r="J51" i="4"/>
  <c r="D69" i="4"/>
  <c r="C70" i="4"/>
  <c r="E105" i="4"/>
  <c r="E55" i="4"/>
  <c r="E69" i="4"/>
  <c r="J50" i="4"/>
  <c r="J54" i="4"/>
  <c r="D70" i="4"/>
  <c r="D105" i="4"/>
  <c r="H54" i="4"/>
  <c r="D52" i="4"/>
  <c r="C52" i="4"/>
  <c r="C110" i="4"/>
  <c r="J57" i="4"/>
  <c r="C105" i="4"/>
  <c r="D55" i="4"/>
  <c r="H51" i="4"/>
  <c r="J76" i="4"/>
  <c r="D59" i="4"/>
  <c r="E59" i="4"/>
  <c r="G20" i="4"/>
  <c r="E70" i="4"/>
  <c r="J73" i="4"/>
  <c r="J75" i="4"/>
  <c r="J53" i="4"/>
  <c r="D78" i="4"/>
  <c r="D110" i="4"/>
  <c r="C59" i="4"/>
  <c r="E78" i="4"/>
  <c r="E110" i="4"/>
  <c r="C69" i="4"/>
  <c r="E60" i="4"/>
  <c r="D60" i="4"/>
  <c r="J56" i="4"/>
  <c r="C60" i="4"/>
  <c r="C74" i="4"/>
  <c r="E100" i="4"/>
  <c r="C100" i="4"/>
  <c r="D100" i="4"/>
  <c r="Q53" i="1"/>
  <c r="J53" i="1"/>
  <c r="H57" i="1"/>
  <c r="J57" i="1"/>
  <c r="Q111" i="1"/>
  <c r="J111" i="1"/>
  <c r="H50" i="1"/>
  <c r="J50" i="1"/>
  <c r="Q56" i="1"/>
  <c r="J56" i="1"/>
  <c r="Q58" i="1"/>
  <c r="J58" i="1"/>
  <c r="H51" i="1"/>
  <c r="J51" i="1"/>
  <c r="H66" i="1"/>
  <c r="J66" i="1"/>
  <c r="Q102" i="1"/>
  <c r="J102" i="1"/>
  <c r="H77" i="1"/>
  <c r="J77" i="1"/>
  <c r="Q76" i="1"/>
  <c r="H20" i="1"/>
  <c r="H22" i="1" s="1"/>
  <c r="H76" i="1"/>
  <c r="Q73" i="1"/>
  <c r="C78" i="1"/>
  <c r="E78" i="1"/>
  <c r="D78" i="1"/>
  <c r="I20" i="1"/>
  <c r="I22" i="1" s="1"/>
  <c r="Q77" i="1"/>
  <c r="E55" i="1"/>
  <c r="H102" i="1"/>
  <c r="D59" i="1"/>
  <c r="D52" i="1"/>
  <c r="Q57" i="1"/>
  <c r="H58" i="1"/>
  <c r="Q66" i="1"/>
  <c r="E105" i="1"/>
  <c r="B21" i="1"/>
  <c r="B22" i="1" s="1"/>
  <c r="C68" i="1" s="1"/>
  <c r="C52" i="1"/>
  <c r="C59" i="1"/>
  <c r="E59" i="1"/>
  <c r="C60" i="1"/>
  <c r="Q51" i="1"/>
  <c r="C70" i="1"/>
  <c r="E52" i="1"/>
  <c r="D70" i="1"/>
  <c r="C105" i="1"/>
  <c r="E70" i="1"/>
  <c r="D105" i="1"/>
  <c r="Q50" i="1"/>
  <c r="D110" i="1"/>
  <c r="E110" i="1"/>
  <c r="C110" i="1"/>
  <c r="H73" i="1"/>
  <c r="H56" i="1"/>
  <c r="H54" i="1"/>
  <c r="E60" i="1"/>
  <c r="D60" i="1"/>
  <c r="H111" i="1"/>
  <c r="H53" i="1"/>
  <c r="E69" i="1"/>
  <c r="C69" i="1"/>
  <c r="Q54" i="1"/>
  <c r="D69" i="1"/>
  <c r="Q75" i="1"/>
  <c r="G20" i="1"/>
  <c r="G22" i="1" s="1"/>
  <c r="H75" i="1"/>
  <c r="C55" i="1"/>
  <c r="D55" i="1"/>
  <c r="J77" i="4" l="1"/>
  <c r="I20" i="4"/>
  <c r="D74" i="4" s="1"/>
  <c r="E74" i="4"/>
  <c r="F74" i="4" s="1"/>
  <c r="G74" i="4" s="1"/>
  <c r="C68" i="4"/>
  <c r="E68" i="4"/>
  <c r="F70" i="4"/>
  <c r="G70" i="4" s="1"/>
  <c r="E21" i="4" s="1"/>
  <c r="E22" i="4" s="1"/>
  <c r="F59" i="4"/>
  <c r="G59" i="4" s="1"/>
  <c r="E96" i="4" s="1"/>
  <c r="F52" i="4"/>
  <c r="G52" i="4" s="1"/>
  <c r="D94" i="4" s="1"/>
  <c r="F69" i="4"/>
  <c r="G69" i="4" s="1"/>
  <c r="E20" i="4" s="1"/>
  <c r="F110" i="4"/>
  <c r="G110" i="4" s="1"/>
  <c r="H110" i="4" s="1"/>
  <c r="F78" i="4"/>
  <c r="G78" i="4" s="1"/>
  <c r="H78" i="4" s="1"/>
  <c r="F55" i="4"/>
  <c r="G55" i="4" s="1"/>
  <c r="J55" i="4" s="1"/>
  <c r="F105" i="4"/>
  <c r="G105" i="4" s="1"/>
  <c r="H105" i="4" s="1"/>
  <c r="F60" i="4"/>
  <c r="G60" i="4" s="1"/>
  <c r="D61" i="4" s="1"/>
  <c r="F100" i="4"/>
  <c r="G100" i="4" s="1"/>
  <c r="H100" i="4" s="1"/>
  <c r="E100" i="1"/>
  <c r="D100" i="1"/>
  <c r="C100" i="1"/>
  <c r="E74" i="1"/>
  <c r="D74" i="1"/>
  <c r="C74" i="1"/>
  <c r="F78" i="1"/>
  <c r="G78" i="1" s="1"/>
  <c r="F59" i="1"/>
  <c r="G59" i="1" s="1"/>
  <c r="F52" i="1"/>
  <c r="G52" i="1" s="1"/>
  <c r="F70" i="1"/>
  <c r="G70" i="1" s="1"/>
  <c r="F105" i="1"/>
  <c r="G105" i="1" s="1"/>
  <c r="D68" i="1"/>
  <c r="E68" i="1"/>
  <c r="F110" i="1"/>
  <c r="G110" i="1" s="1"/>
  <c r="F60" i="1"/>
  <c r="G60" i="1" s="1"/>
  <c r="F69" i="1"/>
  <c r="G69" i="1" s="1"/>
  <c r="F55" i="1"/>
  <c r="G55" i="1" s="1"/>
  <c r="J59" i="4" l="1"/>
  <c r="F68" i="4"/>
  <c r="G68" i="4" s="1"/>
  <c r="H68" i="4" s="1"/>
  <c r="C96" i="4"/>
  <c r="E94" i="4"/>
  <c r="J20" i="4"/>
  <c r="E63" i="4" s="1"/>
  <c r="J78" i="4"/>
  <c r="H59" i="4"/>
  <c r="E61" i="4"/>
  <c r="H70" i="4"/>
  <c r="J52" i="4"/>
  <c r="J70" i="4"/>
  <c r="J69" i="4"/>
  <c r="D96" i="4"/>
  <c r="H55" i="4"/>
  <c r="H69" i="4"/>
  <c r="H52" i="4"/>
  <c r="C94" i="4"/>
  <c r="H60" i="4"/>
  <c r="C61" i="4"/>
  <c r="J60" i="4"/>
  <c r="J110" i="4"/>
  <c r="J105" i="4"/>
  <c r="J74" i="4"/>
  <c r="C113" i="4"/>
  <c r="E113" i="4"/>
  <c r="H74" i="4"/>
  <c r="E101" i="4"/>
  <c r="C101" i="4"/>
  <c r="D101" i="4"/>
  <c r="J100" i="4"/>
  <c r="E71" i="4"/>
  <c r="C71" i="4"/>
  <c r="D71" i="4"/>
  <c r="D113" i="4"/>
  <c r="Q105" i="1"/>
  <c r="J105" i="1"/>
  <c r="E94" i="1"/>
  <c r="J52" i="1"/>
  <c r="H69" i="1"/>
  <c r="J69" i="1"/>
  <c r="E96" i="1"/>
  <c r="J59" i="1"/>
  <c r="D61" i="1"/>
  <c r="J60" i="1"/>
  <c r="H70" i="1"/>
  <c r="J70" i="1"/>
  <c r="H78" i="1"/>
  <c r="J78" i="1"/>
  <c r="Q55" i="1"/>
  <c r="J55" i="1"/>
  <c r="H110" i="1"/>
  <c r="J110" i="1"/>
  <c r="F100" i="1"/>
  <c r="G100" i="1" s="1"/>
  <c r="F74" i="1"/>
  <c r="G74" i="1" s="1"/>
  <c r="Q52" i="1"/>
  <c r="Q59" i="1"/>
  <c r="J20" i="1"/>
  <c r="J22" i="1" s="1"/>
  <c r="Q78" i="1"/>
  <c r="H59" i="1"/>
  <c r="C96" i="1"/>
  <c r="D96" i="1"/>
  <c r="H105" i="1"/>
  <c r="C94" i="1"/>
  <c r="H52" i="1"/>
  <c r="D94" i="1"/>
  <c r="Q110" i="1"/>
  <c r="E21" i="1"/>
  <c r="E22" i="1" s="1"/>
  <c r="E71" i="1" s="1"/>
  <c r="Q70" i="1"/>
  <c r="C61" i="1"/>
  <c r="Q60" i="1"/>
  <c r="E61" i="1"/>
  <c r="F68" i="1"/>
  <c r="G68" i="1" s="1"/>
  <c r="J68" i="1" s="1"/>
  <c r="H60" i="1"/>
  <c r="H55" i="1"/>
  <c r="E20" i="1"/>
  <c r="Q69" i="1"/>
  <c r="C62" i="4" l="1"/>
  <c r="J68" i="4"/>
  <c r="F96" i="4"/>
  <c r="G96" i="4" s="1"/>
  <c r="E62" i="4"/>
  <c r="D63" i="4"/>
  <c r="F63" i="4" s="1"/>
  <c r="G63" i="4" s="1"/>
  <c r="F94" i="4"/>
  <c r="G94" i="4" s="1"/>
  <c r="H94" i="4" s="1"/>
  <c r="D92" i="4"/>
  <c r="C92" i="4"/>
  <c r="D62" i="4"/>
  <c r="E92" i="4"/>
  <c r="F61" i="4"/>
  <c r="G61" i="4" s="1"/>
  <c r="D106" i="4" s="1"/>
  <c r="F113" i="4"/>
  <c r="G113" i="4" s="1"/>
  <c r="F101" i="4"/>
  <c r="F71" i="4"/>
  <c r="G71" i="4" s="1"/>
  <c r="Q74" i="1"/>
  <c r="J74" i="1"/>
  <c r="E101" i="1"/>
  <c r="J100" i="1"/>
  <c r="E62" i="1"/>
  <c r="D62" i="1"/>
  <c r="C62" i="1"/>
  <c r="D101" i="1"/>
  <c r="H100" i="1"/>
  <c r="C101" i="1"/>
  <c r="Q100" i="1"/>
  <c r="D113" i="1"/>
  <c r="E113" i="1"/>
  <c r="H74" i="1"/>
  <c r="C113" i="1"/>
  <c r="Q68" i="1"/>
  <c r="C92" i="1"/>
  <c r="E92" i="1"/>
  <c r="D92" i="1"/>
  <c r="D63" i="1"/>
  <c r="E63" i="1"/>
  <c r="F96" i="1"/>
  <c r="G96" i="1" s="1"/>
  <c r="F94" i="1"/>
  <c r="G94" i="1" s="1"/>
  <c r="F61" i="1"/>
  <c r="G61" i="1" s="1"/>
  <c r="H68" i="1"/>
  <c r="C71" i="1"/>
  <c r="D71" i="1"/>
  <c r="F92" i="4" l="1"/>
  <c r="G92" i="4" s="1"/>
  <c r="H92" i="4" s="1"/>
  <c r="J94" i="4"/>
  <c r="H96" i="4"/>
  <c r="J96" i="4"/>
  <c r="F62" i="4"/>
  <c r="G62" i="4" s="1"/>
  <c r="D112" i="4" s="1"/>
  <c r="E95" i="4"/>
  <c r="D91" i="4"/>
  <c r="D67" i="4"/>
  <c r="C91" i="4"/>
  <c r="C67" i="4"/>
  <c r="E67" i="4"/>
  <c r="E91" i="4"/>
  <c r="H61" i="4"/>
  <c r="E106" i="4"/>
  <c r="J61" i="4"/>
  <c r="C106" i="4"/>
  <c r="C95" i="4"/>
  <c r="D95" i="4"/>
  <c r="C16" i="4"/>
  <c r="G101" i="4"/>
  <c r="J63" i="4"/>
  <c r="D21" i="4"/>
  <c r="D22" i="4" s="1"/>
  <c r="H63" i="4"/>
  <c r="J113" i="4"/>
  <c r="J71" i="4"/>
  <c r="H71" i="4"/>
  <c r="H113" i="4"/>
  <c r="C67" i="1"/>
  <c r="J61" i="1"/>
  <c r="H94" i="1"/>
  <c r="J94" i="1"/>
  <c r="H96" i="1"/>
  <c r="J96" i="1"/>
  <c r="F101" i="1"/>
  <c r="C16" i="1" s="1"/>
  <c r="F113" i="1"/>
  <c r="G113" i="1" s="1"/>
  <c r="F63" i="1"/>
  <c r="G63" i="1" s="1"/>
  <c r="D106" i="1"/>
  <c r="E106" i="1"/>
  <c r="C106" i="1"/>
  <c r="D67" i="1"/>
  <c r="C91" i="1"/>
  <c r="E91" i="1"/>
  <c r="D91" i="1"/>
  <c r="E67" i="1"/>
  <c r="H61" i="1"/>
  <c r="C104" i="1"/>
  <c r="E104" i="1"/>
  <c r="F62" i="1"/>
  <c r="G62" i="1" s="1"/>
  <c r="Q96" i="1"/>
  <c r="Q94" i="1"/>
  <c r="Q61" i="1"/>
  <c r="F71" i="1"/>
  <c r="G71" i="1" s="1"/>
  <c r="F92" i="1"/>
  <c r="G92" i="1" s="1"/>
  <c r="C45" i="1" s="1"/>
  <c r="E45" i="4" l="1"/>
  <c r="C45" i="4"/>
  <c r="J92" i="4"/>
  <c r="C64" i="4"/>
  <c r="D64" i="4"/>
  <c r="E64" i="4"/>
  <c r="J62" i="4"/>
  <c r="F106" i="4"/>
  <c r="G106" i="4" s="1"/>
  <c r="H106" i="4" s="1"/>
  <c r="H62" i="4"/>
  <c r="C112" i="4"/>
  <c r="E112" i="4"/>
  <c r="F67" i="4"/>
  <c r="G67" i="4" s="1"/>
  <c r="J67" i="4" s="1"/>
  <c r="F91" i="4"/>
  <c r="G91" i="4" s="1"/>
  <c r="H91" i="4" s="1"/>
  <c r="F95" i="4"/>
  <c r="G95" i="4" s="1"/>
  <c r="J95" i="4" s="1"/>
  <c r="J101" i="4"/>
  <c r="H101" i="4"/>
  <c r="G101" i="1"/>
  <c r="H101" i="1" s="1"/>
  <c r="H63" i="1"/>
  <c r="J63" i="1"/>
  <c r="H62" i="1"/>
  <c r="J62" i="1"/>
  <c r="H113" i="1"/>
  <c r="J113" i="1"/>
  <c r="H92" i="1"/>
  <c r="J92" i="1"/>
  <c r="Q71" i="1"/>
  <c r="J71" i="1"/>
  <c r="D21" i="1"/>
  <c r="Q113" i="1"/>
  <c r="F67" i="1"/>
  <c r="G67" i="1" s="1"/>
  <c r="E95" i="1"/>
  <c r="Q63" i="1"/>
  <c r="F106" i="1"/>
  <c r="G106" i="1" s="1"/>
  <c r="F104" i="1"/>
  <c r="G104" i="1" s="1"/>
  <c r="J104" i="1" s="1"/>
  <c r="F91" i="1"/>
  <c r="G91" i="1" s="1"/>
  <c r="H71" i="1"/>
  <c r="D95" i="1"/>
  <c r="C95" i="1"/>
  <c r="Q62" i="1"/>
  <c r="C64" i="1"/>
  <c r="E64" i="1"/>
  <c r="D64" i="1"/>
  <c r="E112" i="1"/>
  <c r="C112" i="1"/>
  <c r="D112" i="1"/>
  <c r="Q92" i="1"/>
  <c r="E45" i="1"/>
  <c r="F45" i="4" l="1"/>
  <c r="G45" i="4" s="1"/>
  <c r="F21" i="4" s="1"/>
  <c r="J106" i="4"/>
  <c r="F64" i="4"/>
  <c r="G64" i="4" s="1"/>
  <c r="H64" i="4" s="1"/>
  <c r="H67" i="4"/>
  <c r="B20" i="4"/>
  <c r="F112" i="4"/>
  <c r="G112" i="4" s="1"/>
  <c r="D103" i="4"/>
  <c r="C103" i="4"/>
  <c r="J91" i="4"/>
  <c r="E103" i="4"/>
  <c r="H95" i="4"/>
  <c r="Q106" i="1"/>
  <c r="J106" i="1"/>
  <c r="Q67" i="1"/>
  <c r="J67" i="1"/>
  <c r="Q91" i="1"/>
  <c r="J91" i="1"/>
  <c r="Q101" i="1"/>
  <c r="J101" i="1"/>
  <c r="F95" i="1"/>
  <c r="G95" i="1" s="1"/>
  <c r="H67" i="1"/>
  <c r="B20" i="1"/>
  <c r="C9" i="1"/>
  <c r="C10" i="1"/>
  <c r="H91" i="1"/>
  <c r="H106" i="1"/>
  <c r="D103" i="1"/>
  <c r="C103" i="1"/>
  <c r="E103" i="1"/>
  <c r="F45" i="1"/>
  <c r="G45" i="1" s="1"/>
  <c r="F112" i="1"/>
  <c r="G112" i="1" s="1"/>
  <c r="F64" i="1"/>
  <c r="G64" i="1" s="1"/>
  <c r="J64" i="1" s="1"/>
  <c r="Q104" i="1"/>
  <c r="H104" i="1"/>
  <c r="C72" i="4" l="1"/>
  <c r="E72" i="4"/>
  <c r="H45" i="4"/>
  <c r="J112" i="4"/>
  <c r="J45" i="4"/>
  <c r="J64" i="4"/>
  <c r="D20" i="4"/>
  <c r="E65" i="4" s="1"/>
  <c r="H112" i="4"/>
  <c r="F103" i="4"/>
  <c r="G103" i="4" s="1"/>
  <c r="H103" i="4" s="1"/>
  <c r="H95" i="1"/>
  <c r="J95" i="1"/>
  <c r="Q112" i="1"/>
  <c r="J112" i="1"/>
  <c r="H45" i="1"/>
  <c r="J45" i="1"/>
  <c r="Q95" i="1"/>
  <c r="F103" i="1"/>
  <c r="G103" i="1" s="1"/>
  <c r="F21" i="1"/>
  <c r="Q45" i="1"/>
  <c r="H64" i="1"/>
  <c r="D20" i="1"/>
  <c r="D22" i="1" s="1"/>
  <c r="Q64" i="1"/>
  <c r="H112" i="1"/>
  <c r="J103" i="4" l="1"/>
  <c r="F72" i="4"/>
  <c r="G72" i="4" s="1"/>
  <c r="C65" i="4"/>
  <c r="D65" i="4"/>
  <c r="Q103" i="1"/>
  <c r="J103" i="1"/>
  <c r="H103" i="1"/>
  <c r="C65" i="1"/>
  <c r="D65" i="1"/>
  <c r="E65" i="1"/>
  <c r="H72" i="4" l="1"/>
  <c r="J72" i="4"/>
  <c r="C104" i="4"/>
  <c r="E104" i="4"/>
  <c r="F65" i="4"/>
  <c r="G65" i="4" s="1"/>
  <c r="J65" i="4" s="1"/>
  <c r="F65" i="1"/>
  <c r="G65" i="1" s="1"/>
  <c r="F104" i="4" l="1"/>
  <c r="H65" i="4"/>
  <c r="C93" i="4"/>
  <c r="D93" i="4"/>
  <c r="E93" i="4"/>
  <c r="H65" i="1"/>
  <c r="J65" i="1"/>
  <c r="Q65" i="1"/>
  <c r="C93" i="1"/>
  <c r="E93" i="1"/>
  <c r="D93" i="1"/>
  <c r="F93" i="4" l="1"/>
  <c r="G93" i="4" s="1"/>
  <c r="D98" i="4" s="1"/>
  <c r="G104" i="4"/>
  <c r="C10" i="4"/>
  <c r="C9" i="4"/>
  <c r="F93" i="1"/>
  <c r="G93" i="1" s="1"/>
  <c r="E98" i="4" l="1"/>
  <c r="C98" i="4"/>
  <c r="J93" i="4"/>
  <c r="C114" i="4"/>
  <c r="D114" i="4"/>
  <c r="E114" i="4"/>
  <c r="H93" i="4"/>
  <c r="J104" i="4"/>
  <c r="H104" i="4"/>
  <c r="H93" i="1"/>
  <c r="J93" i="1"/>
  <c r="D98" i="1"/>
  <c r="E114" i="1"/>
  <c r="C114" i="1"/>
  <c r="C98" i="1"/>
  <c r="D114" i="1"/>
  <c r="Q93" i="1"/>
  <c r="E98" i="1"/>
  <c r="F98" i="4" l="1"/>
  <c r="G98" i="4" s="1"/>
  <c r="H98" i="4" s="1"/>
  <c r="F114" i="4"/>
  <c r="G114" i="4" s="1"/>
  <c r="H114" i="4" s="1"/>
  <c r="F98" i="1"/>
  <c r="G98" i="1" s="1"/>
  <c r="F114" i="1"/>
  <c r="G114" i="1" s="1"/>
  <c r="C115" i="4" l="1"/>
  <c r="E115" i="4"/>
  <c r="D115" i="4"/>
  <c r="J114" i="4"/>
  <c r="D97" i="4"/>
  <c r="C97" i="4"/>
  <c r="E97" i="4"/>
  <c r="F97" i="4" s="1"/>
  <c r="G97" i="4" s="1"/>
  <c r="H97" i="4" s="1"/>
  <c r="J98" i="4"/>
  <c r="F115" i="4"/>
  <c r="G115" i="4" s="1"/>
  <c r="H114" i="1"/>
  <c r="J114" i="1"/>
  <c r="Q98" i="1"/>
  <c r="J98" i="1"/>
  <c r="H98" i="1"/>
  <c r="C115" i="1"/>
  <c r="D115" i="1"/>
  <c r="C97" i="1"/>
  <c r="D97" i="1"/>
  <c r="E115" i="1"/>
  <c r="E97" i="1"/>
  <c r="Q114" i="1"/>
  <c r="J97" i="4" l="1"/>
  <c r="J115" i="4"/>
  <c r="H115" i="4"/>
  <c r="F97" i="1"/>
  <c r="G97" i="1" s="1"/>
  <c r="F115" i="1"/>
  <c r="G115" i="1" s="1"/>
  <c r="Q115" i="1" l="1"/>
  <c r="J115" i="1"/>
  <c r="Q97" i="1"/>
  <c r="J97" i="1"/>
  <c r="H115" i="1"/>
  <c r="H97" i="1"/>
  <c r="D41" i="5"/>
  <c r="D33" i="5"/>
  <c r="D37" i="5"/>
  <c r="D30" i="5"/>
  <c r="D42" i="5"/>
  <c r="F42" i="5" s="1"/>
  <c r="G42" i="5" s="1"/>
  <c r="D34" i="5"/>
  <c r="D31" i="5"/>
  <c r="D35" i="5"/>
  <c r="D39" i="5"/>
  <c r="D32" i="5"/>
  <c r="D40" i="5"/>
  <c r="D36" i="5"/>
  <c r="F36" i="5" s="1"/>
  <c r="G36" i="5" s="1"/>
  <c r="D38" i="5"/>
  <c r="E43" i="5"/>
  <c r="F43" i="5" s="1"/>
  <c r="G43" i="5" s="1"/>
  <c r="D44" i="5"/>
  <c r="E41" i="5"/>
  <c r="F41" i="5" s="1"/>
  <c r="G41" i="5" s="1"/>
  <c r="E99" i="5"/>
  <c r="E33" i="5"/>
  <c r="E32" i="5"/>
  <c r="E31" i="5"/>
  <c r="F31" i="5" s="1"/>
  <c r="G31" i="5" s="1"/>
  <c r="E42" i="5"/>
  <c r="E36" i="5"/>
  <c r="E39" i="5"/>
  <c r="E37" i="5"/>
  <c r="E34" i="5"/>
  <c r="E40" i="5"/>
  <c r="F40" i="5" s="1"/>
  <c r="G40" i="5" s="1"/>
  <c r="E35" i="5"/>
  <c r="E38" i="5"/>
  <c r="F38" i="5" s="1"/>
  <c r="G38" i="5" s="1"/>
  <c r="E30" i="5"/>
  <c r="D99" i="5"/>
  <c r="E44" i="5"/>
  <c r="F32" i="5" l="1"/>
  <c r="G32" i="5" s="1"/>
  <c r="E77" i="5" s="1"/>
  <c r="F99" i="5"/>
  <c r="G99" i="5" s="1"/>
  <c r="Q99" i="5" s="1"/>
  <c r="F33" i="5"/>
  <c r="G33" i="5" s="1"/>
  <c r="E102" i="5" s="1"/>
  <c r="F37" i="5"/>
  <c r="G37" i="5" s="1"/>
  <c r="J37" i="5" s="1"/>
  <c r="F39" i="5"/>
  <c r="G39" i="5" s="1"/>
  <c r="H39" i="5" s="1"/>
  <c r="F35" i="5"/>
  <c r="G35" i="5" s="1"/>
  <c r="Q35" i="5" s="1"/>
  <c r="F44" i="5"/>
  <c r="G44" i="5" s="1"/>
  <c r="C21" i="5" s="1"/>
  <c r="F30" i="5"/>
  <c r="G30" i="5" s="1"/>
  <c r="D56" i="5" s="1"/>
  <c r="F34" i="5"/>
  <c r="G34" i="5" s="1"/>
  <c r="Q34" i="5" s="1"/>
  <c r="J40" i="5"/>
  <c r="H40" i="5"/>
  <c r="D73" i="5"/>
  <c r="Q40" i="5"/>
  <c r="J38" i="5"/>
  <c r="H21" i="5"/>
  <c r="H22" i="5" s="1"/>
  <c r="Q38" i="5"/>
  <c r="H38" i="5"/>
  <c r="J43" i="5"/>
  <c r="C20" i="5"/>
  <c r="Q43" i="5"/>
  <c r="H43" i="5"/>
  <c r="D50" i="5"/>
  <c r="Q42" i="5"/>
  <c r="E50" i="5"/>
  <c r="J42" i="5"/>
  <c r="H42" i="5"/>
  <c r="C50" i="5"/>
  <c r="D62" i="5"/>
  <c r="E62" i="5"/>
  <c r="Q33" i="5"/>
  <c r="J33" i="5"/>
  <c r="H37" i="5"/>
  <c r="D53" i="5"/>
  <c r="C54" i="5"/>
  <c r="D54" i="5"/>
  <c r="E54" i="5"/>
  <c r="H36" i="5"/>
  <c r="J36" i="5"/>
  <c r="Q36" i="5"/>
  <c r="E53" i="5"/>
  <c r="C53" i="5"/>
  <c r="Q41" i="5"/>
  <c r="H41" i="5"/>
  <c r="G21" i="5"/>
  <c r="G22" i="5" s="1"/>
  <c r="J41" i="5"/>
  <c r="H31" i="5"/>
  <c r="E66" i="5"/>
  <c r="Q31" i="5"/>
  <c r="C66" i="5"/>
  <c r="D66" i="5"/>
  <c r="J31" i="5"/>
  <c r="E75" i="5" l="1"/>
  <c r="C63" i="5"/>
  <c r="C111" i="5"/>
  <c r="E63" i="5"/>
  <c r="C75" i="5"/>
  <c r="Q39" i="5"/>
  <c r="J39" i="5"/>
  <c r="D63" i="5"/>
  <c r="F63" i="5" s="1"/>
  <c r="G63" i="5" s="1"/>
  <c r="C77" i="5"/>
  <c r="D77" i="5"/>
  <c r="J32" i="5"/>
  <c r="H32" i="5"/>
  <c r="E58" i="5"/>
  <c r="Q32" i="5"/>
  <c r="C58" i="5"/>
  <c r="D58" i="5"/>
  <c r="J30" i="5"/>
  <c r="C102" i="5"/>
  <c r="C62" i="5"/>
  <c r="F62" i="5" s="1"/>
  <c r="G62" i="5" s="1"/>
  <c r="D75" i="5"/>
  <c r="F75" i="5" s="1"/>
  <c r="G75" i="5" s="1"/>
  <c r="H75" i="5" s="1"/>
  <c r="E56" i="5"/>
  <c r="H33" i="5"/>
  <c r="C76" i="5"/>
  <c r="E76" i="5"/>
  <c r="Q44" i="5"/>
  <c r="J44" i="5"/>
  <c r="Q37" i="5"/>
  <c r="I21" i="5"/>
  <c r="I22" i="5" s="1"/>
  <c r="Q30" i="5"/>
  <c r="C56" i="5"/>
  <c r="H30" i="5"/>
  <c r="C51" i="5"/>
  <c r="D102" i="5"/>
  <c r="C57" i="5"/>
  <c r="D57" i="5"/>
  <c r="E51" i="5"/>
  <c r="J34" i="5"/>
  <c r="E57" i="5"/>
  <c r="C100" i="5"/>
  <c r="H34" i="5"/>
  <c r="H35" i="5"/>
  <c r="C73" i="5"/>
  <c r="H99" i="5"/>
  <c r="E100" i="5"/>
  <c r="J99" i="5"/>
  <c r="D100" i="5"/>
  <c r="H44" i="5"/>
  <c r="D51" i="5"/>
  <c r="D76" i="5"/>
  <c r="J35" i="5"/>
  <c r="E73" i="5"/>
  <c r="F54" i="5"/>
  <c r="G54" i="5" s="1"/>
  <c r="F66" i="5"/>
  <c r="G66" i="5" s="1"/>
  <c r="F53" i="5"/>
  <c r="G53" i="5" s="1"/>
  <c r="H53" i="5" s="1"/>
  <c r="F50" i="5"/>
  <c r="G50" i="5" s="1"/>
  <c r="F76" i="5" l="1"/>
  <c r="G76" i="5" s="1"/>
  <c r="F58" i="5"/>
  <c r="G58" i="5" s="1"/>
  <c r="F77" i="5"/>
  <c r="G77" i="5" s="1"/>
  <c r="H77" i="5" s="1"/>
  <c r="F102" i="5"/>
  <c r="G102" i="5" s="1"/>
  <c r="H102" i="5" s="1"/>
  <c r="F56" i="5"/>
  <c r="G56" i="5" s="1"/>
  <c r="H56" i="5" s="1"/>
  <c r="F57" i="5"/>
  <c r="G57" i="5" s="1"/>
  <c r="D110" i="5" s="1"/>
  <c r="E111" i="5"/>
  <c r="D111" i="5"/>
  <c r="F111" i="5" s="1"/>
  <c r="G111" i="5" s="1"/>
  <c r="F51" i="5"/>
  <c r="G51" i="5" s="1"/>
  <c r="H51" i="5" s="1"/>
  <c r="F73" i="5"/>
  <c r="G73" i="5" s="1"/>
  <c r="H73" i="5" s="1"/>
  <c r="F100" i="5"/>
  <c r="G100" i="5" s="1"/>
  <c r="H100" i="5" s="1"/>
  <c r="E64" i="5"/>
  <c r="Q62" i="5"/>
  <c r="C64" i="5"/>
  <c r="J62" i="5"/>
  <c r="D64" i="5"/>
  <c r="E70" i="5"/>
  <c r="J66" i="5"/>
  <c r="Q66" i="5"/>
  <c r="B21" i="5"/>
  <c r="B22" i="5" s="1"/>
  <c r="Q63" i="5"/>
  <c r="J63" i="5"/>
  <c r="D21" i="5"/>
  <c r="D22" i="5" s="1"/>
  <c r="H63" i="5"/>
  <c r="J54" i="5"/>
  <c r="Q54" i="5"/>
  <c r="H66" i="5"/>
  <c r="D112" i="5"/>
  <c r="H54" i="5"/>
  <c r="Q58" i="5"/>
  <c r="J58" i="5"/>
  <c r="C112" i="5"/>
  <c r="E112" i="5"/>
  <c r="Q102" i="5"/>
  <c r="C55" i="5"/>
  <c r="D55" i="5"/>
  <c r="J50" i="5"/>
  <c r="Q50" i="5"/>
  <c r="E55" i="5"/>
  <c r="H50" i="5"/>
  <c r="Q77" i="5"/>
  <c r="I20" i="5"/>
  <c r="J77" i="5"/>
  <c r="H20" i="5"/>
  <c r="J76" i="5"/>
  <c r="Q76" i="5"/>
  <c r="J75" i="5"/>
  <c r="G20" i="5"/>
  <c r="Q75" i="5"/>
  <c r="C60" i="5"/>
  <c r="E60" i="5"/>
  <c r="J53" i="5"/>
  <c r="Q53" i="5"/>
  <c r="H76" i="5"/>
  <c r="H58" i="5"/>
  <c r="H62" i="5"/>
  <c r="C110" i="5" l="1"/>
  <c r="D69" i="5"/>
  <c r="E110" i="5"/>
  <c r="E69" i="5"/>
  <c r="J102" i="5"/>
  <c r="D70" i="5"/>
  <c r="D59" i="5"/>
  <c r="C69" i="5"/>
  <c r="F69" i="5" s="1"/>
  <c r="G69" i="5" s="1"/>
  <c r="H69" i="5" s="1"/>
  <c r="E59" i="5"/>
  <c r="H57" i="5"/>
  <c r="Q57" i="5"/>
  <c r="C59" i="5"/>
  <c r="F59" i="5" s="1"/>
  <c r="G59" i="5" s="1"/>
  <c r="D60" i="5"/>
  <c r="F60" i="5" s="1"/>
  <c r="G60" i="5" s="1"/>
  <c r="Q56" i="5"/>
  <c r="J56" i="5"/>
  <c r="J57" i="5"/>
  <c r="C70" i="5"/>
  <c r="E52" i="5"/>
  <c r="C105" i="5"/>
  <c r="D78" i="5"/>
  <c r="C74" i="5"/>
  <c r="D52" i="5"/>
  <c r="C52" i="5"/>
  <c r="D101" i="5"/>
  <c r="E101" i="5"/>
  <c r="J51" i="5"/>
  <c r="Q51" i="5"/>
  <c r="E105" i="5"/>
  <c r="H111" i="5"/>
  <c r="J111" i="5"/>
  <c r="Q111" i="5"/>
  <c r="J100" i="5"/>
  <c r="C101" i="5"/>
  <c r="Q100" i="5"/>
  <c r="D105" i="5"/>
  <c r="D74" i="5"/>
  <c r="E78" i="5"/>
  <c r="J73" i="5"/>
  <c r="E74" i="5"/>
  <c r="C78" i="5"/>
  <c r="Q73" i="5"/>
  <c r="F55" i="5"/>
  <c r="G55" i="5" s="1"/>
  <c r="C65" i="5"/>
  <c r="D65" i="5"/>
  <c r="E65" i="5"/>
  <c r="D68" i="5"/>
  <c r="E68" i="5"/>
  <c r="C68" i="5"/>
  <c r="F64" i="5"/>
  <c r="G64" i="5" s="1"/>
  <c r="F112" i="5"/>
  <c r="G112" i="5" s="1"/>
  <c r="F110" i="5"/>
  <c r="G110" i="5" s="1"/>
  <c r="F70" i="5" l="1"/>
  <c r="G70" i="5" s="1"/>
  <c r="H59" i="5"/>
  <c r="F52" i="5"/>
  <c r="G52" i="5" s="1"/>
  <c r="F105" i="5"/>
  <c r="G105" i="5" s="1"/>
  <c r="F74" i="5"/>
  <c r="G74" i="5" s="1"/>
  <c r="Q74" i="5" s="1"/>
  <c r="F101" i="5"/>
  <c r="G101" i="5" s="1"/>
  <c r="F78" i="5"/>
  <c r="G78" i="5" s="1"/>
  <c r="J20" i="5" s="1"/>
  <c r="H74" i="5"/>
  <c r="J64" i="5"/>
  <c r="Q64" i="5"/>
  <c r="D20" i="5"/>
  <c r="J78" i="5"/>
  <c r="H64" i="5"/>
  <c r="F68" i="5"/>
  <c r="G68" i="5" s="1"/>
  <c r="H68" i="5" s="1"/>
  <c r="J110" i="5"/>
  <c r="Q110" i="5"/>
  <c r="Q70" i="5"/>
  <c r="J70" i="5"/>
  <c r="E21" i="5"/>
  <c r="E22" i="5" s="1"/>
  <c r="Q59" i="5"/>
  <c r="C113" i="5"/>
  <c r="D113" i="5"/>
  <c r="J59" i="5"/>
  <c r="Q112" i="5"/>
  <c r="J112" i="5"/>
  <c r="C96" i="5"/>
  <c r="J55" i="5"/>
  <c r="Q55" i="5"/>
  <c r="D96" i="5"/>
  <c r="H55" i="5"/>
  <c r="Q105" i="5"/>
  <c r="J105" i="5"/>
  <c r="H110" i="5"/>
  <c r="H70" i="5"/>
  <c r="H112" i="5"/>
  <c r="C61" i="5"/>
  <c r="Q60" i="5"/>
  <c r="J60" i="5"/>
  <c r="D61" i="5"/>
  <c r="E61" i="5"/>
  <c r="F65" i="5"/>
  <c r="G65" i="5" s="1"/>
  <c r="H65" i="5" s="1"/>
  <c r="Q69" i="5"/>
  <c r="E20" i="5"/>
  <c r="J69" i="5"/>
  <c r="J52" i="5"/>
  <c r="Q52" i="5"/>
  <c r="C94" i="5"/>
  <c r="D94" i="5"/>
  <c r="E94" i="5"/>
  <c r="H52" i="5"/>
  <c r="E96" i="5"/>
  <c r="H105" i="5"/>
  <c r="H78" i="5"/>
  <c r="H60" i="5"/>
  <c r="E113" i="5" l="1"/>
  <c r="Q78" i="5"/>
  <c r="J74" i="5"/>
  <c r="C16" i="5"/>
  <c r="Q65" i="5"/>
  <c r="J65" i="5"/>
  <c r="F94" i="5"/>
  <c r="G94" i="5" s="1"/>
  <c r="H94" i="5" s="1"/>
  <c r="E93" i="5"/>
  <c r="D93" i="5"/>
  <c r="C93" i="5"/>
  <c r="F113" i="5"/>
  <c r="G113" i="5" s="1"/>
  <c r="D71" i="5"/>
  <c r="C71" i="5"/>
  <c r="E71" i="5"/>
  <c r="F61" i="5"/>
  <c r="G61" i="5" s="1"/>
  <c r="H61" i="5" s="1"/>
  <c r="Q68" i="5"/>
  <c r="J68" i="5"/>
  <c r="C92" i="5"/>
  <c r="D92" i="5"/>
  <c r="E92" i="5"/>
  <c r="F96" i="5"/>
  <c r="G96" i="5" s="1"/>
  <c r="J101" i="5"/>
  <c r="Q101" i="5"/>
  <c r="H101" i="5"/>
  <c r="F71" i="5" l="1"/>
  <c r="G71" i="5" s="1"/>
  <c r="H71" i="5" s="1"/>
  <c r="Q96" i="5"/>
  <c r="J96" i="5"/>
  <c r="F93" i="5"/>
  <c r="G93" i="5" s="1"/>
  <c r="H93" i="5" s="1"/>
  <c r="F92" i="5"/>
  <c r="G92" i="5" s="1"/>
  <c r="H96" i="5"/>
  <c r="J94" i="5"/>
  <c r="D95" i="5"/>
  <c r="E95" i="5"/>
  <c r="Q94" i="5"/>
  <c r="J113" i="5"/>
  <c r="Q113" i="5"/>
  <c r="H113" i="5"/>
  <c r="J61" i="5"/>
  <c r="E91" i="5"/>
  <c r="D67" i="5"/>
  <c r="D91" i="5"/>
  <c r="E67" i="5"/>
  <c r="Q61" i="5"/>
  <c r="C67" i="5"/>
  <c r="C91" i="5"/>
  <c r="E106" i="5"/>
  <c r="C106" i="5"/>
  <c r="D106" i="5"/>
  <c r="C95" i="5" l="1"/>
  <c r="F95" i="5" s="1"/>
  <c r="G95" i="5" s="1"/>
  <c r="H95" i="5" s="1"/>
  <c r="C45" i="5"/>
  <c r="E45" i="5"/>
  <c r="Q92" i="5"/>
  <c r="J92" i="5"/>
  <c r="F106" i="5"/>
  <c r="G106" i="5" s="1"/>
  <c r="D114" i="5"/>
  <c r="E114" i="5"/>
  <c r="C114" i="5"/>
  <c r="J93" i="5"/>
  <c r="Q93" i="5"/>
  <c r="H92" i="5"/>
  <c r="F91" i="5"/>
  <c r="G91" i="5" s="1"/>
  <c r="H91" i="5" s="1"/>
  <c r="F67" i="5"/>
  <c r="G67" i="5" s="1"/>
  <c r="H67" i="5" s="1"/>
  <c r="Q71" i="5"/>
  <c r="J71" i="5"/>
  <c r="Q106" i="5" l="1"/>
  <c r="J106" i="5"/>
  <c r="J91" i="5"/>
  <c r="Q91" i="5"/>
  <c r="C103" i="5"/>
  <c r="E103" i="5"/>
  <c r="D103" i="5"/>
  <c r="F114" i="5"/>
  <c r="G114" i="5" s="1"/>
  <c r="H114" i="5" s="1"/>
  <c r="H106" i="5"/>
  <c r="J67" i="5"/>
  <c r="Q67" i="5"/>
  <c r="B20" i="5"/>
  <c r="Q95" i="5"/>
  <c r="J95" i="5"/>
  <c r="F45" i="5"/>
  <c r="G45" i="5" s="1"/>
  <c r="J45" i="5" l="1"/>
  <c r="F21" i="5"/>
  <c r="F22" i="5" s="1"/>
  <c r="Q45" i="5"/>
  <c r="H45" i="5"/>
  <c r="C97" i="5"/>
  <c r="J114" i="5"/>
  <c r="E97" i="5"/>
  <c r="Q114" i="5"/>
  <c r="D97" i="5"/>
  <c r="F103" i="5"/>
  <c r="G103" i="5" s="1"/>
  <c r="H103" i="5" s="1"/>
  <c r="C72" i="5" l="1"/>
  <c r="E72" i="5"/>
  <c r="F97" i="5"/>
  <c r="G97" i="5" s="1"/>
  <c r="H97" i="5" s="1"/>
  <c r="Q103" i="5"/>
  <c r="J103" i="5"/>
  <c r="C98" i="5"/>
  <c r="E98" i="5"/>
  <c r="D98" i="5"/>
  <c r="F98" i="5" l="1"/>
  <c r="G98" i="5" s="1"/>
  <c r="H98" i="5" s="1"/>
  <c r="J97" i="5"/>
  <c r="Q97" i="5"/>
  <c r="F72" i="5"/>
  <c r="G72" i="5" s="1"/>
  <c r="H72" i="5" s="1"/>
  <c r="E104" i="5" l="1"/>
  <c r="J72" i="5"/>
  <c r="Q72" i="5"/>
  <c r="C104" i="5"/>
  <c r="E115" i="5"/>
  <c r="C115" i="5"/>
  <c r="D115" i="5"/>
  <c r="J98" i="5"/>
  <c r="Q98" i="5"/>
  <c r="F115" i="5" l="1"/>
  <c r="G115" i="5" s="1"/>
  <c r="F104" i="5"/>
  <c r="Q115" i="5" l="1"/>
  <c r="J115" i="5"/>
  <c r="C10" i="5"/>
  <c r="C9" i="5"/>
  <c r="G104" i="5"/>
  <c r="H115" i="5"/>
  <c r="Q104" i="5" l="1"/>
  <c r="J104" i="5"/>
  <c r="H104" i="5"/>
</calcChain>
</file>

<file path=xl/sharedStrings.xml><?xml version="1.0" encoding="utf-8"?>
<sst xmlns="http://schemas.openxmlformats.org/spreadsheetml/2006/main" count="2246" uniqueCount="258">
  <si>
    <t>预设工厂选取</t>
    <phoneticPr fontId="2" type="noConversion"/>
  </si>
  <si>
    <t>制造台</t>
    <phoneticPr fontId="2" type="noConversion"/>
  </si>
  <si>
    <t>熔炉</t>
    <phoneticPr fontId="2" type="noConversion"/>
  </si>
  <si>
    <t>化工厂</t>
    <phoneticPr fontId="2" type="noConversion"/>
  </si>
  <si>
    <t>精炼厂</t>
    <phoneticPr fontId="2" type="noConversion"/>
  </si>
  <si>
    <t>对撞机</t>
    <phoneticPr fontId="2" type="noConversion"/>
  </si>
  <si>
    <t>研究站（堆叠）</t>
    <phoneticPr fontId="2" type="noConversion"/>
  </si>
  <si>
    <t>分馏塔（每秒转速、此时耗电）</t>
    <phoneticPr fontId="2" type="noConversion"/>
  </si>
  <si>
    <t>设备倍率</t>
    <phoneticPr fontId="2" type="noConversion"/>
  </si>
  <si>
    <t>设备耗能(MW)</t>
    <phoneticPr fontId="2" type="noConversion"/>
  </si>
  <si>
    <t>预设工厂面积</t>
    <phoneticPr fontId="2" type="noConversion"/>
  </si>
  <si>
    <t>熔炉+2带</t>
    <phoneticPr fontId="2" type="noConversion"/>
  </si>
  <si>
    <t>熔炉+4带</t>
    <phoneticPr fontId="2" type="noConversion"/>
  </si>
  <si>
    <t>制造台+2带</t>
    <phoneticPr fontId="2" type="noConversion"/>
  </si>
  <si>
    <t>制造台+3带</t>
    <phoneticPr fontId="2" type="noConversion"/>
  </si>
  <si>
    <t>制造台+4带</t>
    <phoneticPr fontId="2" type="noConversion"/>
  </si>
  <si>
    <t>制造台+5带</t>
    <phoneticPr fontId="2" type="noConversion"/>
  </si>
  <si>
    <t>化工厂+2带</t>
    <phoneticPr fontId="2" type="noConversion"/>
  </si>
  <si>
    <t>化工厂+3带</t>
    <phoneticPr fontId="2" type="noConversion"/>
  </si>
  <si>
    <t>对撞机+2带</t>
    <phoneticPr fontId="2" type="noConversion"/>
  </si>
  <si>
    <t>对撞机+3带</t>
    <phoneticPr fontId="2" type="noConversion"/>
  </si>
  <si>
    <t>对撞机+4带</t>
    <phoneticPr fontId="2" type="noConversion"/>
  </si>
  <si>
    <t>精炼厂+2带</t>
    <phoneticPr fontId="2" type="noConversion"/>
  </si>
  <si>
    <t>精炼厂+3带</t>
    <phoneticPr fontId="2" type="noConversion"/>
  </si>
  <si>
    <t>研究站+1带</t>
    <phoneticPr fontId="2" type="noConversion"/>
  </si>
  <si>
    <t>研究站+3带</t>
    <phoneticPr fontId="2" type="noConversion"/>
  </si>
  <si>
    <t>研究站+7带</t>
    <phoneticPr fontId="2" type="noConversion"/>
  </si>
  <si>
    <t>小太阳</t>
    <phoneticPr fontId="2" type="noConversion"/>
  </si>
  <si>
    <t>射线接收站</t>
    <phoneticPr fontId="2" type="noConversion"/>
  </si>
  <si>
    <t>分馏塔</t>
    <phoneticPr fontId="2" type="noConversion"/>
  </si>
  <si>
    <t>抽水机</t>
    <phoneticPr fontId="2" type="noConversion"/>
  </si>
  <si>
    <t>1MW发电占地</t>
    <phoneticPr fontId="2" type="noConversion"/>
  </si>
  <si>
    <t>你所选择的发电方式</t>
    <phoneticPr fontId="2" type="noConversion"/>
  </si>
  <si>
    <t>此配方下实际值(带产线）</t>
    <phoneticPr fontId="2" type="noConversion"/>
  </si>
  <si>
    <t>仅计算发电厂的大小</t>
    <phoneticPr fontId="2" type="noConversion"/>
  </si>
  <si>
    <t>反物质燃料棒(喷涂后)</t>
    <phoneticPr fontId="2" type="noConversion"/>
  </si>
  <si>
    <t>反物质燃料棒(未喷涂)</t>
    <phoneticPr fontId="2" type="noConversion"/>
  </si>
  <si>
    <t>1喷涂/s增产剂占地</t>
    <phoneticPr fontId="2" type="noConversion"/>
  </si>
  <si>
    <t>你选择的值</t>
    <phoneticPr fontId="2" type="noConversion"/>
  </si>
  <si>
    <t>此配方下实际值</t>
    <phoneticPr fontId="2" type="noConversion"/>
  </si>
  <si>
    <t>增产剂MK3</t>
    <phoneticPr fontId="2" type="noConversion"/>
  </si>
  <si>
    <t>配方选择</t>
    <phoneticPr fontId="2" type="noConversion"/>
  </si>
  <si>
    <t>粒子容器</t>
    <phoneticPr fontId="2" type="noConversion"/>
  </si>
  <si>
    <t>重氢</t>
    <phoneticPr fontId="2" type="noConversion"/>
  </si>
  <si>
    <t>卡西米尔晶体</t>
    <phoneticPr fontId="2" type="noConversion"/>
  </si>
  <si>
    <t>光子合并器</t>
    <phoneticPr fontId="2" type="noConversion"/>
  </si>
  <si>
    <t>高能光子</t>
    <phoneticPr fontId="2" type="noConversion"/>
  </si>
  <si>
    <t>碳纳米管</t>
    <phoneticPr fontId="2" type="noConversion"/>
  </si>
  <si>
    <t>直接开采</t>
    <phoneticPr fontId="2" type="noConversion"/>
  </si>
  <si>
    <t>无</t>
    <phoneticPr fontId="2" type="noConversion"/>
  </si>
  <si>
    <t>无</t>
    <phoneticPr fontId="2" type="noConversion"/>
  </si>
  <si>
    <t>低效(分馏塔、无透镜)</t>
    <phoneticPr fontId="2" type="noConversion"/>
  </si>
  <si>
    <t>高效(对撞机，有透镜)</t>
    <phoneticPr fontId="2" type="noConversion"/>
  </si>
  <si>
    <t>你的选择</t>
    <phoneticPr fontId="2" type="noConversion"/>
  </si>
  <si>
    <t>产物增产决策占地表</t>
    <phoneticPr fontId="2" type="noConversion"/>
  </si>
  <si>
    <t>1个/s产出时占地</t>
    <phoneticPr fontId="2" type="noConversion"/>
  </si>
  <si>
    <t>物品名</t>
    <phoneticPr fontId="2" type="noConversion"/>
  </si>
  <si>
    <t>公式（原料；时间；产物(忽略副产物氢)）</t>
    <phoneticPr fontId="2" type="noConversion"/>
  </si>
  <si>
    <t>不使用增产剂</t>
    <phoneticPr fontId="2" type="noConversion"/>
  </si>
  <si>
    <t>增产</t>
    <phoneticPr fontId="2" type="noConversion"/>
  </si>
  <si>
    <t>加速</t>
    <phoneticPr fontId="2" type="noConversion"/>
  </si>
  <si>
    <t>最少占地</t>
    <phoneticPr fontId="2" type="noConversion"/>
  </si>
  <si>
    <t>你的选择(默认为最少占地)</t>
    <phoneticPr fontId="2" type="noConversion"/>
  </si>
  <si>
    <t>此时方案</t>
    <phoneticPr fontId="2" type="noConversion"/>
  </si>
  <si>
    <t>单球黑盒最高产出</t>
    <phoneticPr fontId="1" type="noConversion"/>
  </si>
  <si>
    <t>一级原料</t>
    <phoneticPr fontId="2" type="noConversion"/>
  </si>
  <si>
    <t>铁块</t>
    <phoneticPr fontId="2" type="noConversion"/>
  </si>
  <si>
    <t>1铁矿；1s；1铁块</t>
    <phoneticPr fontId="2" type="noConversion"/>
  </si>
  <si>
    <t>/min</t>
    <phoneticPr fontId="1" type="noConversion"/>
  </si>
  <si>
    <t>铜块</t>
    <phoneticPr fontId="2" type="noConversion"/>
  </si>
  <si>
    <t>1铜矿；1s；1铜块</t>
    <phoneticPr fontId="2" type="noConversion"/>
  </si>
  <si>
    <t>高纯硅块</t>
    <phoneticPr fontId="2" type="noConversion"/>
  </si>
  <si>
    <t>2硅矿；2s；1高纯硅块</t>
    <phoneticPr fontId="2" type="noConversion"/>
  </si>
  <si>
    <t>钛块</t>
    <phoneticPr fontId="2" type="noConversion"/>
  </si>
  <si>
    <t>2钛矿；2s；1钛块</t>
    <phoneticPr fontId="2" type="noConversion"/>
  </si>
  <si>
    <t>石材</t>
    <phoneticPr fontId="2" type="noConversion"/>
  </si>
  <si>
    <t>1石矿；1s；1石材</t>
    <phoneticPr fontId="2" type="noConversion"/>
  </si>
  <si>
    <t>高能石墨</t>
    <phoneticPr fontId="2" type="noConversion"/>
  </si>
  <si>
    <t>2煤矿；2s；1高能石墨</t>
    <phoneticPr fontId="2" type="noConversion"/>
  </si>
  <si>
    <t>玻璃</t>
    <phoneticPr fontId="2" type="noConversion"/>
  </si>
  <si>
    <t>2石矿；2s；1玻璃</t>
    <phoneticPr fontId="2" type="noConversion"/>
  </si>
  <si>
    <t>晶格硅(高效)</t>
    <phoneticPr fontId="2" type="noConversion"/>
  </si>
  <si>
    <t>1分形硅石；1.5s；2晶格硅（制造台）</t>
    <phoneticPr fontId="2" type="noConversion"/>
  </si>
  <si>
    <t>金刚石(高效)</t>
    <phoneticPr fontId="2" type="noConversion"/>
  </si>
  <si>
    <t>1金伯利；1.5s；2金刚石</t>
    <phoneticPr fontId="2" type="noConversion"/>
  </si>
  <si>
    <t>石墨烯</t>
    <phoneticPr fontId="2" type="noConversion"/>
  </si>
  <si>
    <t>2可燃冰；2s；2石墨烯，1氢</t>
    <phoneticPr fontId="2" type="noConversion"/>
  </si>
  <si>
    <t>精炼油</t>
    <phoneticPr fontId="2" type="noConversion"/>
  </si>
  <si>
    <t>2原油；4s；2精炼油，1氢</t>
    <phoneticPr fontId="2" type="noConversion"/>
  </si>
  <si>
    <t>碳纳米管（高效）</t>
    <phoneticPr fontId="2" type="noConversion"/>
  </si>
  <si>
    <t>6刺笋结晶；4s；2碳纳米管</t>
    <phoneticPr fontId="2" type="noConversion"/>
  </si>
  <si>
    <t>磁铁</t>
    <phoneticPr fontId="2" type="noConversion"/>
  </si>
  <si>
    <t>1铁矿；1.5s；1磁铁</t>
    <phoneticPr fontId="2" type="noConversion"/>
  </si>
  <si>
    <t>重氢(加速分馏塔)</t>
    <phoneticPr fontId="2" type="noConversion"/>
  </si>
  <si>
    <t>1氢；1s；1重氢</t>
    <phoneticPr fontId="2" type="noConversion"/>
  </si>
  <si>
    <t>已加速</t>
    <phoneticPr fontId="2" type="noConversion"/>
  </si>
  <si>
    <t>不可使用</t>
    <phoneticPr fontId="2" type="noConversion"/>
  </si>
  <si>
    <t>重氢(对撞机）</t>
    <phoneticPr fontId="2" type="noConversion"/>
  </si>
  <si>
    <t>10氢；2.5s；5重氢</t>
    <phoneticPr fontId="2" type="noConversion"/>
  </si>
  <si>
    <t>高能光子(默认带透镜)</t>
  </si>
  <si>
    <t>0.1引力透镜；60s；12高能光子</t>
    <phoneticPr fontId="2" type="noConversion"/>
  </si>
  <si>
    <t>高能光子(默认带透镜)</t>
    <phoneticPr fontId="2" type="noConversion"/>
  </si>
  <si>
    <t>常用二、三级原料与绿马达</t>
    <phoneticPr fontId="2" type="noConversion"/>
  </si>
  <si>
    <t>磁线圈</t>
    <phoneticPr fontId="2" type="noConversion"/>
  </si>
  <si>
    <t>2磁铁，1铜块；1s；2磁线圈</t>
    <phoneticPr fontId="2" type="noConversion"/>
  </si>
  <si>
    <t>钢材</t>
    <phoneticPr fontId="2" type="noConversion"/>
  </si>
  <si>
    <t>3铁块；3s；1钢材</t>
    <phoneticPr fontId="2" type="noConversion"/>
  </si>
  <si>
    <t>钛合金</t>
    <phoneticPr fontId="2" type="noConversion"/>
  </si>
  <si>
    <t>8硫酸，4钢材，4钛块；12s；4钛合金</t>
    <phoneticPr fontId="2" type="noConversion"/>
  </si>
  <si>
    <t>钛化玻璃</t>
    <phoneticPr fontId="2" type="noConversion"/>
  </si>
  <si>
    <t>2玻璃，2钛块，2水；5s；2钛化玻璃</t>
    <phoneticPr fontId="2" type="noConversion"/>
  </si>
  <si>
    <t>棱镜</t>
    <phoneticPr fontId="2" type="noConversion"/>
  </si>
  <si>
    <t>3玻璃；2s；2棱镜</t>
    <phoneticPr fontId="2" type="noConversion"/>
  </si>
  <si>
    <t>电浆激发器</t>
    <phoneticPr fontId="2" type="noConversion"/>
  </si>
  <si>
    <t>4磁线圈，2棱镜；2s；1电浆激发器</t>
    <phoneticPr fontId="2" type="noConversion"/>
  </si>
  <si>
    <t>齿轮</t>
    <phoneticPr fontId="2" type="noConversion"/>
  </si>
  <si>
    <t>1铁块；1s；1齿轮</t>
    <phoneticPr fontId="2" type="noConversion"/>
  </si>
  <si>
    <t>电路板</t>
    <phoneticPr fontId="2" type="noConversion"/>
  </si>
  <si>
    <t>2铁块，1铜块；1s；2电路板</t>
    <phoneticPr fontId="2" type="noConversion"/>
  </si>
  <si>
    <t>微晶元件</t>
    <phoneticPr fontId="2" type="noConversion"/>
  </si>
  <si>
    <t>2高纯硅块，1铜块；2s；1微晶元件</t>
    <phoneticPr fontId="2" type="noConversion"/>
  </si>
  <si>
    <t>处理器</t>
    <phoneticPr fontId="2" type="noConversion"/>
  </si>
  <si>
    <t>2电路板；2微晶元件；3s；1处理器</t>
    <phoneticPr fontId="2" type="noConversion"/>
  </si>
  <si>
    <t>电动机</t>
    <phoneticPr fontId="2" type="noConversion"/>
  </si>
  <si>
    <t>2铁块，1齿轮，1磁线圈；2s；1电动机</t>
    <phoneticPr fontId="2" type="noConversion"/>
  </si>
  <si>
    <t>电磁涡轮</t>
    <phoneticPr fontId="2" type="noConversion"/>
  </si>
  <si>
    <t>2电动机，2磁线圈；2s；1电磁涡轮</t>
    <phoneticPr fontId="2" type="noConversion"/>
  </si>
  <si>
    <t>1有机晶体，3钛块；4s；1钛晶石</t>
    <phoneticPr fontId="2" type="noConversion"/>
  </si>
  <si>
    <t>卡西米尔晶体（高效）</t>
    <phoneticPr fontId="2" type="noConversion"/>
  </si>
  <si>
    <t>8光栅石，2石墨烯，12氢；4s；1卡西米尔晶体</t>
    <phoneticPr fontId="2" type="noConversion"/>
  </si>
  <si>
    <t>卡西米尔晶体（低效）</t>
    <phoneticPr fontId="2" type="noConversion"/>
  </si>
  <si>
    <t>1钛晶石，2石墨烯，12氢；4s；1卡西米尔晶体</t>
    <phoneticPr fontId="2" type="noConversion"/>
  </si>
  <si>
    <t>位面过滤器</t>
    <phoneticPr fontId="2" type="noConversion"/>
  </si>
  <si>
    <t>1卡西米尔晶体，2钛化玻璃；12s；1位面过滤器</t>
    <phoneticPr fontId="2" type="noConversion"/>
  </si>
  <si>
    <t>粒子容器(高效）</t>
    <phoneticPr fontId="2" type="noConversion"/>
  </si>
  <si>
    <t>10单极磁石、2铜块；4s；1粒子容器</t>
    <phoneticPr fontId="2" type="noConversion"/>
  </si>
  <si>
    <t>粒子容器(低效）</t>
    <phoneticPr fontId="2" type="noConversion"/>
  </si>
  <si>
    <t>2电磁涡轮、2铜块、2石墨烯；4s；1粒子容器</t>
    <phoneticPr fontId="2" type="noConversion"/>
  </si>
  <si>
    <t>奇异物质</t>
    <phoneticPr fontId="2" type="noConversion"/>
  </si>
  <si>
    <t>2粒子容器，2铁块，10重氢；8s；1奇异物质</t>
    <phoneticPr fontId="2" type="noConversion"/>
  </si>
  <si>
    <t>光子合并器(低效)</t>
    <phoneticPr fontId="2" type="noConversion"/>
  </si>
  <si>
    <t>2棱镜，1电路板；3s；1光子合并器</t>
    <phoneticPr fontId="2" type="noConversion"/>
  </si>
  <si>
    <t>光子合并器(高效)</t>
    <phoneticPr fontId="2" type="noConversion"/>
  </si>
  <si>
    <t>1光栅石，1电路板；3s；1光子合并器</t>
    <phoneticPr fontId="2" type="noConversion"/>
  </si>
  <si>
    <t>太阳帆</t>
    <phoneticPr fontId="2" type="noConversion"/>
  </si>
  <si>
    <t>1石墨烯、1光子合并器；4s；2太阳帆</t>
    <phoneticPr fontId="2" type="noConversion"/>
  </si>
  <si>
    <t>反物质</t>
    <phoneticPr fontId="2" type="noConversion"/>
  </si>
  <si>
    <t>2高能光子；2s；2反物质，2氢</t>
    <phoneticPr fontId="2" type="noConversion"/>
  </si>
  <si>
    <t>塑料</t>
    <phoneticPr fontId="2" type="noConversion"/>
  </si>
  <si>
    <t>2精炼油，1高能石墨；3s；1塑料</t>
    <phoneticPr fontId="2" type="noConversion"/>
  </si>
  <si>
    <t>粒子宽带</t>
    <phoneticPr fontId="2" type="noConversion"/>
  </si>
  <si>
    <t>2碳纳米管，2晶格硅，1塑料；8s；1粒子宽带</t>
    <phoneticPr fontId="2" type="noConversion"/>
  </si>
  <si>
    <t>碳纳米管（低效）</t>
    <phoneticPr fontId="2" type="noConversion"/>
  </si>
  <si>
    <t>3石墨烯，1钛块；4s；2碳纳米管</t>
    <phoneticPr fontId="2" type="noConversion"/>
  </si>
  <si>
    <t>高级产物、消耗品与推进器</t>
    <phoneticPr fontId="2" type="noConversion"/>
  </si>
  <si>
    <t>超级磁场环</t>
    <phoneticPr fontId="2" type="noConversion"/>
  </si>
  <si>
    <t>2电磁涡轮，3磁铁，1高能石墨；3s；1超级磁场环</t>
    <phoneticPr fontId="2" type="noConversion"/>
  </si>
  <si>
    <t>引力透镜</t>
    <phoneticPr fontId="2" type="noConversion"/>
  </si>
  <si>
    <t>4金刚石，1奇异物质；6s；1引力透镜</t>
    <phoneticPr fontId="2" type="noConversion"/>
  </si>
  <si>
    <t>量子芯片</t>
    <phoneticPr fontId="2" type="noConversion"/>
  </si>
  <si>
    <t>2处理器，2位面过滤器；6s；1量子芯片</t>
    <phoneticPr fontId="2" type="noConversion"/>
  </si>
  <si>
    <t>框架材料</t>
    <phoneticPr fontId="2" type="noConversion"/>
  </si>
  <si>
    <t>4碳纳米管，1钛合金，1高纯硅块；6s；1框架材料</t>
    <phoneticPr fontId="2" type="noConversion"/>
  </si>
  <si>
    <t>戴森球组件</t>
    <phoneticPr fontId="2" type="noConversion"/>
  </si>
  <si>
    <t>3框架材料，3太阳帆，3处理器；8s；1戴森球组件</t>
    <phoneticPr fontId="2" type="noConversion"/>
  </si>
  <si>
    <t>湮灭约束球</t>
    <phoneticPr fontId="2" type="noConversion"/>
  </si>
  <si>
    <t>1粒子容器，1处理器；20s；1湮灭约束球</t>
    <phoneticPr fontId="2" type="noConversion"/>
  </si>
  <si>
    <t>空间翘曲器（高效）</t>
    <phoneticPr fontId="2" type="noConversion"/>
  </si>
  <si>
    <t>1引力矩阵；10s；8空间翘曲器</t>
    <phoneticPr fontId="2" type="noConversion"/>
  </si>
  <si>
    <t>小型运载火箭</t>
    <phoneticPr fontId="2" type="noConversion"/>
  </si>
  <si>
    <t>2戴森球组件，4氘核燃料棒，2量子芯片；6s；1小型运载火箭</t>
    <phoneticPr fontId="2" type="noConversion"/>
  </si>
  <si>
    <t>增产剂MK1</t>
    <phoneticPr fontId="2" type="noConversion"/>
  </si>
  <si>
    <t>1煤矿；0.5s；1增产剂MK1</t>
    <phoneticPr fontId="2" type="noConversion"/>
  </si>
  <si>
    <t>增产剂MK2</t>
    <phoneticPr fontId="2" type="noConversion"/>
  </si>
  <si>
    <t>2增产剂MK1，1金刚石；1s；1增产剂MK2</t>
    <phoneticPr fontId="2" type="noConversion"/>
  </si>
  <si>
    <t>2增产剂MK2，1碳纳米管；2s；1增产剂MK3</t>
    <phoneticPr fontId="2" type="noConversion"/>
  </si>
  <si>
    <t>液氢燃料棒</t>
    <phoneticPr fontId="2" type="noConversion"/>
  </si>
  <si>
    <t>1钛块，10氢；6s；2液氢燃料棒</t>
    <phoneticPr fontId="2" type="noConversion"/>
  </si>
  <si>
    <t>氘核燃料棒</t>
    <phoneticPr fontId="2" type="noConversion"/>
  </si>
  <si>
    <t>1钛合金，20重氢，1超级磁场环；12s；2氘核燃料棒</t>
    <phoneticPr fontId="2" type="noConversion"/>
  </si>
  <si>
    <t>反物质燃料棒</t>
    <phoneticPr fontId="2" type="noConversion"/>
  </si>
  <si>
    <t>12反物质+氢，1湮灭约束球，1钛合金；24s；2反物质燃料棒</t>
    <phoneticPr fontId="2" type="noConversion"/>
  </si>
  <si>
    <t>推进器</t>
    <phoneticPr fontId="2" type="noConversion"/>
  </si>
  <si>
    <t>2钢材，3铜块；4s；1推进器</t>
    <phoneticPr fontId="2" type="noConversion"/>
  </si>
  <si>
    <t>加力推进器</t>
    <phoneticPr fontId="2" type="noConversion"/>
  </si>
  <si>
    <t>5钛合金，5电磁涡轮；6s；1加力推进器</t>
    <phoneticPr fontId="2" type="noConversion"/>
  </si>
  <si>
    <t>研究站</t>
    <phoneticPr fontId="2" type="noConversion"/>
  </si>
  <si>
    <t>电磁矩阵</t>
    <phoneticPr fontId="2" type="noConversion"/>
  </si>
  <si>
    <t>1磁线圈，1电路板；3s；1电磁矩阵</t>
    <phoneticPr fontId="2" type="noConversion"/>
  </si>
  <si>
    <t>能量矩阵</t>
    <phoneticPr fontId="2" type="noConversion"/>
  </si>
  <si>
    <t>2高能石墨，2氢；6s；1能量矩阵</t>
    <phoneticPr fontId="2" type="noConversion"/>
  </si>
  <si>
    <t>结构矩阵</t>
    <phoneticPr fontId="2" type="noConversion"/>
  </si>
  <si>
    <t>1金刚石，1钛晶石；8s；1结构矩阵</t>
    <phoneticPr fontId="2" type="noConversion"/>
  </si>
  <si>
    <t>信息矩阵</t>
    <phoneticPr fontId="2" type="noConversion"/>
  </si>
  <si>
    <t>2处理器，1粒子宽带；10s；1信息矩阵</t>
    <phoneticPr fontId="2" type="noConversion"/>
  </si>
  <si>
    <t>引力矩阵</t>
    <phoneticPr fontId="2" type="noConversion"/>
  </si>
  <si>
    <t>1量子芯片，1引力透镜；24s；2引力矩阵</t>
    <phoneticPr fontId="2" type="noConversion"/>
  </si>
  <si>
    <t>宇宙矩阵</t>
    <phoneticPr fontId="2" type="noConversion"/>
  </si>
  <si>
    <t>1反物质，1各矩阵；15s；1宇宙矩阵</t>
    <phoneticPr fontId="2" type="noConversion"/>
  </si>
  <si>
    <t>仅使用虚空带</t>
    <phoneticPr fontId="2" type="noConversion"/>
  </si>
  <si>
    <t>不使用密铺技巧</t>
    <phoneticPr fontId="2" type="noConversion"/>
  </si>
  <si>
    <t>建筑偏移+无虚空带</t>
    <phoneticPr fontId="2" type="noConversion"/>
  </si>
  <si>
    <t>设备性能占用</t>
    <phoneticPr fontId="2" type="noConversion"/>
  </si>
  <si>
    <t>名称</t>
  </si>
  <si>
    <t>耗能</t>
  </si>
  <si>
    <t>倍率</t>
  </si>
  <si>
    <t>占地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</si>
  <si>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</si>
  <si>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</si>
  <si>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</si>
  <si>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</si>
  <si>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</si>
  <si>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</si>
  <si>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</si>
  <si>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</si>
  <si>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</si>
  <si>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</si>
  <si>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</si>
  <si>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</si>
  <si>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</si>
  <si>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</si>
  <si>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</si>
  <si>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</si>
  <si>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</si>
  <si>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</si>
  <si>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</si>
  <si>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</si>
  <si>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金刚石（低效）</t>
    <phoneticPr fontId="1" type="noConversion"/>
  </si>
  <si>
    <t>晶格硅(低效)</t>
    <phoneticPr fontId="2" type="noConversion"/>
  </si>
  <si>
    <t>1高能石墨；2s；1金刚石</t>
    <phoneticPr fontId="1" type="noConversion"/>
  </si>
  <si>
    <t>1高纯硅块；2s；1晶格硅</t>
    <phoneticPr fontId="1" type="noConversion"/>
  </si>
  <si>
    <t>晶格硅</t>
    <phoneticPr fontId="1" type="noConversion"/>
  </si>
  <si>
    <t>有机晶体</t>
    <phoneticPr fontId="1" type="noConversion"/>
  </si>
  <si>
    <t>金刚石</t>
    <phoneticPr fontId="1" type="noConversion"/>
  </si>
  <si>
    <t>无</t>
    <phoneticPr fontId="1" type="noConversion"/>
  </si>
  <si>
    <t>钛晶石</t>
    <phoneticPr fontId="2" type="noConversion"/>
  </si>
  <si>
    <t>有机晶体（低效）</t>
    <phoneticPr fontId="1" type="noConversion"/>
  </si>
  <si>
    <t>2塑料，1精炼油，1水；6s；1有机晶体</t>
    <phoneticPr fontId="1" type="noConversion"/>
  </si>
  <si>
    <t>耗电(MJ)</t>
    <phoneticPr fontId="1" type="noConversion"/>
  </si>
  <si>
    <t>全0</t>
    <phoneticPr fontId="2" type="noConversion"/>
  </si>
  <si>
    <t>注：最省电应该不放透镜</t>
    <phoneticPr fontId="1" type="noConversion"/>
  </si>
  <si>
    <t>注：最省电分馏应不集装不喷涂</t>
    <phoneticPr fontId="1" type="noConversion"/>
  </si>
  <si>
    <t>第一次输入参数</t>
    <phoneticPr fontId="1" type="noConversion"/>
  </si>
  <si>
    <t>第一次实际值</t>
    <phoneticPr fontId="1" type="noConversion"/>
  </si>
  <si>
    <t>第二次输入参数</t>
    <phoneticPr fontId="1" type="noConversion"/>
  </si>
  <si>
    <t>第二次实际值</t>
    <phoneticPr fontId="1" type="noConversion"/>
  </si>
  <si>
    <t>预计真实值</t>
    <phoneticPr fontId="1" type="noConversion"/>
  </si>
  <si>
    <t>极密铺情况下占地面积</t>
    <phoneticPr fontId="2" type="noConversion"/>
  </si>
  <si>
    <t>你选择的增产剂</t>
    <phoneticPr fontId="2" type="noConversion"/>
  </si>
  <si>
    <t>输入值</t>
    <phoneticPr fontId="2" type="noConversion"/>
  </si>
  <si>
    <t>耗电倍率</t>
    <phoneticPr fontId="1" type="noConversion"/>
  </si>
  <si>
    <t>增产倍率</t>
    <phoneticPr fontId="1" type="noConversion"/>
  </si>
  <si>
    <t>加速倍率</t>
    <phoneticPr fontId="1" type="noConversion"/>
  </si>
  <si>
    <t>不偏移最优铺法算上带子的占用估算54k处理器</t>
    <phoneticPr fontId="1" type="noConversion"/>
  </si>
  <si>
    <t>不偏移最优铺法算上带子的占用估算900k位面混带</t>
    <phoneticPr fontId="1" type="noConversion"/>
  </si>
  <si>
    <t>设备性能占用</t>
  </si>
  <si>
    <t>算增产不算光子黑棒</t>
    <phoneticPr fontId="1" type="noConversion"/>
  </si>
  <si>
    <t>新极密铺情况下占地面积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</si>
</sst>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3"/>
      <charset val="134"/>
      <scheme val="minor"/>
    </font>
    <font>
      <sz val="15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1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3C66-A95B-49D1-8F1E-A9EA2B5E27C5}">
  <dimension ref="A1:U115"/>
  <sheetViews>
    <sheetView zoomScale="85" zoomScaleNormal="85" workbookViewId="0">
      <selection activeCell="A6" sqref="A6:XFD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257</v>
      </c>
      <c r="B6" s="1">
        <v>6.96</v>
      </c>
      <c r="C6" s="1">
        <v>8.16</v>
      </c>
      <c r="D6" s="1">
        <v>10.88</v>
      </c>
      <c r="E6" s="1">
        <v>10.88</v>
      </c>
      <c r="F6" s="1">
        <v>11.52</v>
      </c>
      <c r="G6" s="1">
        <v>11.52</v>
      </c>
      <c r="H6" s="1">
        <v>26.4</v>
      </c>
      <c r="I6" s="1">
        <v>26.4</v>
      </c>
      <c r="J6" s="1">
        <v>47.5</v>
      </c>
      <c r="K6" s="1">
        <v>47.5</v>
      </c>
      <c r="L6" s="1">
        <v>52.25</v>
      </c>
      <c r="M6" s="1">
        <v>19.5</v>
      </c>
      <c r="N6" s="1">
        <v>19.5</v>
      </c>
      <c r="O6" s="1">
        <v>22.5</v>
      </c>
      <c r="P6" s="1">
        <v>22.5</v>
      </c>
      <c r="Q6" s="1">
        <v>22.5</v>
      </c>
      <c r="R6" s="1">
        <v>48.96</v>
      </c>
      <c r="S6" s="1">
        <v>54.824300000000001</v>
      </c>
      <c r="T6" s="1">
        <v>16.670000000000002</v>
      </c>
      <c r="U6" s="1">
        <v>10.5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0.34</v>
      </c>
      <c r="C9" s="1">
        <f>(F104+F101/74+50*R6)/7200</f>
        <v>0.38534886961961962</v>
      </c>
      <c r="D9" s="1">
        <f>50*R6/7200</f>
        <v>0.34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0.72527582407407409</v>
      </c>
      <c r="D10" s="1">
        <f>100*R6/7200</f>
        <v>0.68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</v>
      </c>
      <c r="C16" s="1">
        <f>F101/74</f>
        <v>0.52592792792792786</v>
      </c>
      <c r="D16" s="1">
        <v>15.54830935</v>
      </c>
      <c r="E16" s="1">
        <v>15.101052431909908</v>
      </c>
      <c r="F16" s="1">
        <v>15</v>
      </c>
      <c r="G16" s="1">
        <v>14.98072075834234</v>
      </c>
      <c r="H16" s="1">
        <f>(G16-F16)/(1-(E16-G16)/(D16-F16))+F16</f>
        <v>14.975300140535547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139.26474666666667</v>
      </c>
      <c r="C20" s="1">
        <f>G43</f>
        <v>8.7508119251977234</v>
      </c>
      <c r="D20" s="1">
        <f>G64</f>
        <v>58.708666666666666</v>
      </c>
      <c r="E20" s="1">
        <f>G69</f>
        <v>36.974666666666671</v>
      </c>
      <c r="F20" s="1">
        <f>10*S6</f>
        <v>548.24300000000005</v>
      </c>
      <c r="G20" s="1">
        <f>G75</f>
        <v>26.752499999999998</v>
      </c>
      <c r="H20" s="1">
        <f>G76</f>
        <v>8.1840000000000011</v>
      </c>
      <c r="I20" s="1">
        <f>G77</f>
        <v>8.1840000000000011</v>
      </c>
      <c r="J20" s="1">
        <f>G78</f>
        <v>186.81695999999999</v>
      </c>
    </row>
    <row r="21" spans="1:11" x14ac:dyDescent="0.2">
      <c r="A21" s="1" t="s">
        <v>52</v>
      </c>
      <c r="B21" s="1">
        <f>G66</f>
        <v>19.82266666666667</v>
      </c>
      <c r="C21" s="1">
        <f>G44</f>
        <v>14.425000000000001</v>
      </c>
      <c r="D21" s="1">
        <f>G63</f>
        <v>30.701999999999995</v>
      </c>
      <c r="E21" s="1">
        <f>G70</f>
        <v>16.833333333333336</v>
      </c>
      <c r="F21" s="1">
        <f>G45</f>
        <v>138.21697444444445</v>
      </c>
      <c r="G21" s="1">
        <f>G41</f>
        <v>14.117999999999999</v>
      </c>
      <c r="H21" s="1">
        <f>G35</f>
        <v>4.0920000000000005</v>
      </c>
      <c r="I21" s="1">
        <f>G37</f>
        <v>2.9495</v>
      </c>
      <c r="J21" s="1" t="s">
        <v>234</v>
      </c>
    </row>
    <row r="22" spans="1:11" x14ac:dyDescent="0.2">
      <c r="A22" s="1" t="s">
        <v>53</v>
      </c>
      <c r="B22" s="1">
        <f>B21</f>
        <v>19.82266666666667</v>
      </c>
      <c r="C22" s="1">
        <f>C19</f>
        <v>0</v>
      </c>
      <c r="D22" s="1">
        <f>D21</f>
        <v>30.701999999999995</v>
      </c>
      <c r="E22" s="1">
        <f>E21</f>
        <v>16.833333333333336</v>
      </c>
      <c r="F22" s="1">
        <f>F19</f>
        <v>0</v>
      </c>
      <c r="G22" s="1">
        <f>G21</f>
        <v>14.117999999999999</v>
      </c>
      <c r="H22" s="1">
        <f>G38</f>
        <v>1.5345000000000002</v>
      </c>
      <c r="I22" s="1">
        <f>I21</f>
        <v>2.9495</v>
      </c>
      <c r="J22" s="1">
        <f>J19</f>
        <v>0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64</v>
      </c>
    </row>
    <row r="29" spans="1:11" ht="19.5" x14ac:dyDescent="0.2">
      <c r="A29" s="2" t="s">
        <v>65</v>
      </c>
      <c r="B29" s="2"/>
      <c r="C29" s="2"/>
      <c r="D29" s="2"/>
      <c r="E29" s="2"/>
      <c r="F29" s="2"/>
    </row>
    <row r="30" spans="1:11" x14ac:dyDescent="0.2">
      <c r="A30" s="1" t="s">
        <v>66</v>
      </c>
      <c r="B30" s="1" t="s">
        <v>67</v>
      </c>
      <c r="C30" s="1">
        <f>(B6+C3*B9)/C2</f>
        <v>3.7248000000000001</v>
      </c>
      <c r="D30" s="1">
        <f>((B6+C3*B9*2.5)/C2+B16)/1.25</f>
        <v>3.2736000000000005</v>
      </c>
      <c r="E30" s="1">
        <f>((B6+C3*B9*2.5)/C2+2*B16)/2</f>
        <v>2.0460000000000003</v>
      </c>
      <c r="F30" s="1">
        <f>MIN(C30:E30)</f>
        <v>2.0460000000000003</v>
      </c>
      <c r="G30" s="1">
        <f>F30</f>
        <v>2.0460000000000003</v>
      </c>
      <c r="H30" s="1" t="str">
        <f t="shared" ref="H30:H37" si="0">IF(C30=G30,"不使用增产剂","")&amp;IF(D30=G30,"增产","")&amp;IF(E30=G30,"加速","")</f>
        <v>加速</v>
      </c>
      <c r="I30" s="1" t="s">
        <v>66</v>
      </c>
      <c r="J30" s="1">
        <f t="shared" ref="J30:J45" si="1">60*318310/G30</f>
        <v>9334604.1055718455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3.7248000000000001</v>
      </c>
      <c r="D31" s="1">
        <f>((B6+C3*B9*2.5)/C2+B16)/1.25</f>
        <v>3.2736000000000005</v>
      </c>
      <c r="E31" s="1">
        <f>((B6+C3*B9*2.5)/C2+2*B16)/2</f>
        <v>2.0460000000000003</v>
      </c>
      <c r="F31" s="1">
        <f t="shared" ref="F31:F44" si="2">MIN(C31:E31)</f>
        <v>2.0460000000000003</v>
      </c>
      <c r="G31" s="1">
        <f t="shared" ref="G31:G44" si="3">F31</f>
        <v>2.0460000000000003</v>
      </c>
      <c r="H31" s="1" t="str">
        <f t="shared" si="0"/>
        <v>加速</v>
      </c>
      <c r="I31" s="1" t="s">
        <v>69</v>
      </c>
      <c r="J31" s="1">
        <f t="shared" si="1"/>
        <v>9334604.1055718455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7.4496000000000002</v>
      </c>
      <c r="D32" s="1">
        <f>(2*(B6+C3*B9*2.5)/C2+2*B16)/1.25</f>
        <v>6.547200000000001</v>
      </c>
      <c r="E32" s="1">
        <f>(2*(B6+C3*B9*2.5)/C2+4*B16)/2</f>
        <v>4.0920000000000005</v>
      </c>
      <c r="F32" s="1">
        <f t="shared" si="2"/>
        <v>4.0920000000000005</v>
      </c>
      <c r="G32" s="1">
        <f t="shared" si="3"/>
        <v>4.0920000000000005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1"/>
        <v>4667302.0527859228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7.4496000000000002</v>
      </c>
      <c r="D33" s="1">
        <f>(2*(B6+C3*B9*2.5)/C2+2*B16)/1.25</f>
        <v>6.547200000000001</v>
      </c>
      <c r="E33" s="1">
        <f>(2*(B6+C3*B9*2.5)/C2+4*B16)/2</f>
        <v>4.0920000000000005</v>
      </c>
      <c r="F33" s="1">
        <f t="shared" si="2"/>
        <v>4.0920000000000005</v>
      </c>
      <c r="G33" s="1">
        <f t="shared" si="3"/>
        <v>4.0920000000000005</v>
      </c>
      <c r="H33" s="1" t="str">
        <f t="shared" si="0"/>
        <v>加速</v>
      </c>
      <c r="I33" s="1" t="s">
        <v>73</v>
      </c>
      <c r="J33" s="1">
        <f t="shared" si="1"/>
        <v>4667302.0527859228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3.7248000000000001</v>
      </c>
      <c r="D34" s="1">
        <f>((B6+C3*B9*2.5)/C2+B16)/1.25</f>
        <v>3.2736000000000005</v>
      </c>
      <c r="E34" s="1">
        <f>((B6+C3*B9*2.5)/C2+2*B16)/2</f>
        <v>2.0460000000000003</v>
      </c>
      <c r="F34" s="1">
        <f t="shared" si="2"/>
        <v>2.0460000000000003</v>
      </c>
      <c r="G34" s="1">
        <f t="shared" si="3"/>
        <v>2.0460000000000003</v>
      </c>
      <c r="H34" s="1" t="str">
        <f t="shared" si="0"/>
        <v>加速</v>
      </c>
      <c r="I34" s="1" t="s">
        <v>75</v>
      </c>
      <c r="J34" s="1">
        <f t="shared" si="1"/>
        <v>9334604.1055718455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7.4496000000000002</v>
      </c>
      <c r="D35" s="1">
        <f>(2*(B6+C3*B9*2.5)/C2+2*B16)/1.25</f>
        <v>6.547200000000001</v>
      </c>
      <c r="E35" s="1">
        <f>(2*(B6+C3*B9*2.5)/C2+4*B16)/2</f>
        <v>4.0920000000000005</v>
      </c>
      <c r="F35" s="1">
        <f t="shared" si="2"/>
        <v>4.0920000000000005</v>
      </c>
      <c r="G35" s="1">
        <f t="shared" si="3"/>
        <v>4.0920000000000005</v>
      </c>
      <c r="H35" s="1" t="str">
        <f t="shared" si="0"/>
        <v>加速</v>
      </c>
      <c r="I35" s="1" t="s">
        <v>77</v>
      </c>
      <c r="J35" s="1">
        <f t="shared" si="1"/>
        <v>4667302.0527859228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7.4496000000000002</v>
      </c>
      <c r="D36" s="1">
        <f>(2*(B6+C3*B9*2.5)/C2+2*B16)/1.25</f>
        <v>6.547200000000001</v>
      </c>
      <c r="E36" s="1">
        <f>(2*(B6+C3*B9*2.5)/C2+4*B16)/2</f>
        <v>4.0920000000000005</v>
      </c>
      <c r="F36" s="1">
        <f t="shared" si="2"/>
        <v>4.0920000000000005</v>
      </c>
      <c r="G36" s="1">
        <f t="shared" si="3"/>
        <v>4.0920000000000005</v>
      </c>
      <c r="H36" s="1" t="str">
        <f t="shared" si="0"/>
        <v>加速</v>
      </c>
      <c r="I36" s="1" t="s">
        <v>79</v>
      </c>
      <c r="J36" s="1">
        <f t="shared" si="1"/>
        <v>4667302.0527859228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5.6236000000000006</v>
      </c>
      <c r="D37" s="1">
        <f>(1.5*(D6+B3*B9*2.5)/B2+B16)/2.5</f>
        <v>4.7191999999999998</v>
      </c>
      <c r="E37" s="1">
        <f>(1.5*(D6+B3*B9*2.5)/B2+2*B16)/4</f>
        <v>2.9495</v>
      </c>
      <c r="F37" s="1">
        <f t="shared" si="2"/>
        <v>2.9495</v>
      </c>
      <c r="G37" s="1">
        <f t="shared" si="3"/>
        <v>2.9495</v>
      </c>
      <c r="H37" s="1" t="str">
        <f t="shared" si="0"/>
        <v>加速</v>
      </c>
      <c r="I37" s="1" t="s">
        <v>81</v>
      </c>
      <c r="J37" s="1">
        <f t="shared" si="1"/>
        <v>6475199.1863027634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2.7936000000000001</v>
      </c>
      <c r="D38" s="1">
        <f>(1.5*(B6+C3*B9*2.5)/C2+B16)/2.5</f>
        <v>2.4552000000000005</v>
      </c>
      <c r="E38" s="1">
        <f>(1.5*(B6+C3*B9*2.5)/C2+2*B16)/4</f>
        <v>1.5345000000000002</v>
      </c>
      <c r="F38" s="1">
        <f t="shared" si="2"/>
        <v>1.5345000000000002</v>
      </c>
      <c r="G38" s="1">
        <f t="shared" si="3"/>
        <v>1.5345000000000002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1"/>
        <v>12446138.807429129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13.5672</v>
      </c>
      <c r="D39" s="1">
        <f>(2*(I6+D3*B9*2.5)/D2+2*B16)/2.5</f>
        <v>11.2944</v>
      </c>
      <c r="E39" s="1">
        <f>(2*(I6+D3*B9*2.5)/D2+4*B16)/4</f>
        <v>7.0589999999999993</v>
      </c>
      <c r="F39" s="1">
        <f t="shared" si="2"/>
        <v>7.0589999999999993</v>
      </c>
      <c r="G39" s="1">
        <f t="shared" si="3"/>
        <v>7.0589999999999993</v>
      </c>
      <c r="H39" s="1" t="str">
        <f t="shared" ref="H39:H45" si="4">IF(C39=G39,"不使用增产剂","")&amp;IF(D39=G39,"增产","")&amp;IF(E39=G39,"加速","")</f>
        <v>加速</v>
      </c>
      <c r="I39" s="1" t="s">
        <v>85</v>
      </c>
      <c r="J39" s="1">
        <f t="shared" si="1"/>
        <v>2705567.36081598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39.652799999999999</v>
      </c>
      <c r="D40" s="1">
        <f>((4/E2)*(N6+B9*E3*2.5)+2*B16)/2.5</f>
        <v>32.505600000000001</v>
      </c>
      <c r="E40" s="1">
        <f>((4/E2)*(N6+B9*E3*2.5)+4*B16)/4</f>
        <v>20.315999999999999</v>
      </c>
      <c r="F40" s="1">
        <f t="shared" si="2"/>
        <v>20.315999999999999</v>
      </c>
      <c r="G40" s="1">
        <f t="shared" si="3"/>
        <v>20.315999999999999</v>
      </c>
      <c r="H40" s="1" t="str">
        <f t="shared" si="4"/>
        <v>加速</v>
      </c>
      <c r="I40" s="1" t="s">
        <v>87</v>
      </c>
      <c r="J40" s="1">
        <f t="shared" si="1"/>
        <v>940076.78676904913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27.134399999999999</v>
      </c>
      <c r="D41" s="1">
        <f>(4*(I6+D3*B9*2.5)/D2+6*B16)/2.5</f>
        <v>22.588799999999999</v>
      </c>
      <c r="E41" s="1">
        <f>(4*(I6+D3*B9*2.5)/D2+12*B16)/4</f>
        <v>14.117999999999999</v>
      </c>
      <c r="F41" s="1">
        <f t="shared" si="2"/>
        <v>14.117999999999999</v>
      </c>
      <c r="G41" s="1">
        <f t="shared" si="3"/>
        <v>14.117999999999999</v>
      </c>
      <c r="H41" s="1" t="str">
        <f t="shared" si="4"/>
        <v>加速</v>
      </c>
      <c r="I41" s="1" t="s">
        <v>89</v>
      </c>
      <c r="J41" s="1">
        <f t="shared" si="1"/>
        <v>1352783.68040799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5.5872000000000002</v>
      </c>
      <c r="D42" s="1">
        <f>(1.5*(B6+C3*B9*2.5)/C2+B16)/1.25</f>
        <v>4.910400000000001</v>
      </c>
      <c r="E42" s="1">
        <f>(1.5*(B6+C3*B9*2.5)/C2+2*B16)/2</f>
        <v>3.0690000000000004</v>
      </c>
      <c r="F42" s="1">
        <f t="shared" si="2"/>
        <v>3.0690000000000004</v>
      </c>
      <c r="G42" s="1">
        <f t="shared" si="3"/>
        <v>3.0690000000000004</v>
      </c>
      <c r="H42" s="1" t="str">
        <f t="shared" si="4"/>
        <v>加速</v>
      </c>
      <c r="I42" s="1" t="s">
        <v>91</v>
      </c>
      <c r="J42" s="1">
        <f t="shared" si="1"/>
        <v>6223069.4037145646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8.7508119251977234</v>
      </c>
      <c r="F43" s="1">
        <f t="shared" si="2"/>
        <v>8.7508119251977234</v>
      </c>
      <c r="G43" s="1">
        <f t="shared" si="3"/>
        <v>8.7508119251977234</v>
      </c>
      <c r="H43" s="1" t="str">
        <f t="shared" si="4"/>
        <v>加速</v>
      </c>
      <c r="I43" s="1" t="s">
        <v>93</v>
      </c>
      <c r="J43" s="1">
        <f t="shared" si="1"/>
        <v>2182494.6260136277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25.79</v>
      </c>
      <c r="D44" s="1">
        <f>(2.5*(J6+F3*B9*2.5)/F2+10*B16)/6.25</f>
        <v>23.08</v>
      </c>
      <c r="E44" s="1">
        <f>(2.5*(J6+F3*B9*2.5)/F2+20*B16)/10</f>
        <v>14.425000000000001</v>
      </c>
      <c r="F44" s="1">
        <f t="shared" si="2"/>
        <v>14.425000000000001</v>
      </c>
      <c r="G44" s="1">
        <f t="shared" si="3"/>
        <v>14.425000000000001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1"/>
        <v>1323993.0675909878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276.43394888888889</v>
      </c>
      <c r="D45" s="1" t="s">
        <v>96</v>
      </c>
      <c r="E45" s="1">
        <f>((0.1*G92)+60*S6+0.1*B16)/24</f>
        <v>138.21697444444445</v>
      </c>
      <c r="F45" s="1">
        <f>MIN(C45:E45)</f>
        <v>138.21697444444445</v>
      </c>
      <c r="G45" s="1">
        <f>F45</f>
        <v>138.21697444444445</v>
      </c>
      <c r="H45" s="1" t="str">
        <f t="shared" si="4"/>
        <v>加速</v>
      </c>
      <c r="I45" s="1" t="s">
        <v>101</v>
      </c>
      <c r="J45" s="1">
        <f t="shared" si="1"/>
        <v>138178.39723930997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7.8410666666666682</v>
      </c>
      <c r="D50" s="1">
        <f>((2*G42+G31)+(E6+B3*B9*2.5)/B2+3*B16)/2.5</f>
        <v>6.4197333333333333</v>
      </c>
      <c r="E50" s="1">
        <f>(2*(2*G42+G31)+(E6+2.5*B3*B9)/B2+6*B16)/4</f>
        <v>6.0583333333333345</v>
      </c>
      <c r="F50" s="1">
        <f t="shared" ref="F50:F78" si="5">MIN(C50:E50)</f>
        <v>6.0583333333333345</v>
      </c>
      <c r="G50" s="1">
        <f t="shared" ref="G50:G78" si="6">F50</f>
        <v>6.0583333333333345</v>
      </c>
      <c r="H50" s="1" t="str">
        <f t="shared" ref="H50:H78" si="7">IF(C50=G50,"不使用增产剂","")&amp;IF(D50=G50,"增产","")&amp;IF(E50=G50,"加速","")</f>
        <v>加速</v>
      </c>
      <c r="I50" s="1" t="s">
        <v>103</v>
      </c>
      <c r="J50" s="1">
        <f t="shared" ref="J50:J78" si="8">60*318310/G50</f>
        <v>3152451.169188445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17.3124</v>
      </c>
      <c r="D51" s="1">
        <f>((3*G30)+3*(B6+C3*B9*2.5)/C2+3*B16)/1.25</f>
        <v>14.731200000000001</v>
      </c>
      <c r="E51" s="1">
        <f>(2*(3*G30)+3*(B6+C3*B9*2.5)/C2+6*B16)/2</f>
        <v>12.276000000000002</v>
      </c>
      <c r="F51" s="1">
        <f t="shared" si="5"/>
        <v>12.276000000000002</v>
      </c>
      <c r="G51" s="1">
        <f t="shared" si="6"/>
        <v>12.276000000000002</v>
      </c>
      <c r="H51" s="1" t="str">
        <f t="shared" si="7"/>
        <v>加速</v>
      </c>
      <c r="I51" s="1" t="s">
        <v>105</v>
      </c>
      <c r="J51" s="1">
        <f t="shared" si="8"/>
        <v>1555767.3509286412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29.342400000000001</v>
      </c>
      <c r="D52" s="1">
        <f>((4*G33+4*G51)+(12/C2)*(C6+C3*B9*2.5)+16*B16)/5</f>
        <v>24.355200000000004</v>
      </c>
      <c r="E52" s="1">
        <f>(2*(4*G33+4*G51)+(12/C2)*(C6+C3*B9*2.5)+32*B16)/8</f>
        <v>23.406000000000002</v>
      </c>
      <c r="F52" s="1">
        <f t="shared" si="5"/>
        <v>23.406000000000002</v>
      </c>
      <c r="G52" s="1">
        <f t="shared" si="6"/>
        <v>23.406000000000002</v>
      </c>
      <c r="H52" s="1" t="str">
        <f t="shared" si="7"/>
        <v>加速</v>
      </c>
      <c r="I52" s="1" t="s">
        <v>107</v>
      </c>
      <c r="J52" s="1">
        <f t="shared" si="8"/>
        <v>815970.26403486275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27.996000000000002</v>
      </c>
      <c r="D53" s="1">
        <f>((2*G36+2*G33)+(5/B2)*(F6+2.5*B3*B9)+6*B16)/2.5</f>
        <v>23.1312</v>
      </c>
      <c r="E53" s="1">
        <f>(2*(2*G36+2*G33)+(5/B2)*(F6+2.5*B3*B9)+12*B16)/4</f>
        <v>18.548999999999999</v>
      </c>
      <c r="F53" s="1">
        <f t="shared" si="5"/>
        <v>18.548999999999999</v>
      </c>
      <c r="G53" s="1">
        <f t="shared" si="6"/>
        <v>18.548999999999999</v>
      </c>
      <c r="H53" s="1" t="str">
        <f t="shared" si="7"/>
        <v>加速</v>
      </c>
      <c r="I53" s="1" t="s">
        <v>109</v>
      </c>
      <c r="J53" s="1">
        <f t="shared" si="8"/>
        <v>1029629.6296296297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13.636133333333333</v>
      </c>
      <c r="D54" s="1">
        <f>((3*G36)+(2/B2)*(D6+B3*B9*2.5)+3*B16)/2.5</f>
        <v>11.202666666666667</v>
      </c>
      <c r="E54" s="1">
        <f>((6*G36)+(2/B2)*(D6+B3*B9*2.5)+6*B16)/4</f>
        <v>10.070666666666668</v>
      </c>
      <c r="F54" s="1">
        <f t="shared" si="5"/>
        <v>10.070666666666668</v>
      </c>
      <c r="G54" s="1">
        <f t="shared" si="6"/>
        <v>10.070666666666668</v>
      </c>
      <c r="H54" s="1" t="str">
        <f t="shared" si="7"/>
        <v>加速</v>
      </c>
      <c r="I54" s="1" t="s">
        <v>111</v>
      </c>
      <c r="J54" s="1">
        <f t="shared" si="8"/>
        <v>1896458.3609161919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59.37093333333334</v>
      </c>
      <c r="D55" s="1">
        <f>((4*G50+2*G54)+(2/B2)*(E6+2.5*B3*B9)+6*B16)/1.25</f>
        <v>48.084266666666664</v>
      </c>
      <c r="E55" s="1">
        <f>(2*(4*G50+2*G54)+(2/B2)*(E6+2.5*B3*B9)+12*B16)/2</f>
        <v>52.24</v>
      </c>
      <c r="F55" s="1">
        <f t="shared" si="5"/>
        <v>48.084266666666664</v>
      </c>
      <c r="G55" s="1">
        <f t="shared" si="6"/>
        <v>48.084266666666664</v>
      </c>
      <c r="H55" s="1" t="str">
        <f t="shared" si="7"/>
        <v>增产</v>
      </c>
      <c r="I55" s="1" t="s">
        <v>113</v>
      </c>
      <c r="J55" s="1">
        <f t="shared" si="8"/>
        <v>397190.21051931055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9.5441333333333347</v>
      </c>
      <c r="D56" s="1">
        <f>(G30+(1/B2)*(D6+2.5*B3*B9)+B16)/1.25</f>
        <v>7.9290666666666683</v>
      </c>
      <c r="E56" s="1">
        <f>(2*G30+(1/B2)*(D6+2.5*B3*B9)+2*B16)/2</f>
        <v>5.9786666666666672</v>
      </c>
      <c r="F56" s="1">
        <f t="shared" si="5"/>
        <v>5.9786666666666672</v>
      </c>
      <c r="G56" s="1">
        <f t="shared" si="6"/>
        <v>5.9786666666666672</v>
      </c>
      <c r="H56" s="1" t="str">
        <f t="shared" si="7"/>
        <v>加速</v>
      </c>
      <c r="I56" s="1" t="s">
        <v>115</v>
      </c>
      <c r="J56" s="1">
        <f t="shared" si="8"/>
        <v>3194458.0731489738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6.8180666666666676</v>
      </c>
      <c r="D57" s="1">
        <f>((2*G30+G31)+(E6+B3*B9*2.5)/B2+3*B16)/2.5</f>
        <v>5.6013333333333337</v>
      </c>
      <c r="E57" s="1">
        <f>(2*(2*G30+G31)+(E6+B3*B9*2.5)/B2+6*B16)/4</f>
        <v>5.0353333333333339</v>
      </c>
      <c r="F57" s="1">
        <f t="shared" si="5"/>
        <v>5.0353333333333339</v>
      </c>
      <c r="G57" s="1">
        <f t="shared" si="6"/>
        <v>5.0353333333333339</v>
      </c>
      <c r="H57" s="1" t="str">
        <f t="shared" si="7"/>
        <v>加速</v>
      </c>
      <c r="I57" s="1" t="s">
        <v>117</v>
      </c>
      <c r="J57" s="1">
        <f t="shared" si="8"/>
        <v>3792916.7218323839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25.226266666666668</v>
      </c>
      <c r="D58" s="1">
        <f>((2*G32+G31)+2*(E6+B3*B9*2.5)/B2+3*B16)/1.25</f>
        <v>20.768533333333334</v>
      </c>
      <c r="E58" s="1">
        <f>(2*(2*G32+G31)+2*(E6+B3*B9*2.5)/B2+6*B16)/2</f>
        <v>18.095333333333333</v>
      </c>
      <c r="F58" s="1">
        <f t="shared" si="5"/>
        <v>18.095333333333333</v>
      </c>
      <c r="G58" s="1">
        <f t="shared" si="6"/>
        <v>18.095333333333333</v>
      </c>
      <c r="H58" s="1" t="str">
        <f t="shared" si="7"/>
        <v>加速</v>
      </c>
      <c r="I58" s="1" t="s">
        <v>119</v>
      </c>
      <c r="J58" s="1">
        <f t="shared" si="8"/>
        <v>1055443.3924031979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68.755733333333339</v>
      </c>
      <c r="D59" s="1">
        <f>((2*G57+2*G58)+(3/B2)*(E6+B3*B9*2.5)+4*B16)/1.25</f>
        <v>55.885866666666665</v>
      </c>
      <c r="E59" s="1">
        <f>(2*(2*G57+2*G58)+(3/B2)*(E6+B3*B9*2.5)+8*B16)/2</f>
        <v>58.059333333333335</v>
      </c>
      <c r="F59" s="1">
        <f t="shared" si="5"/>
        <v>55.885866666666665</v>
      </c>
      <c r="G59" s="1">
        <f t="shared" si="6"/>
        <v>55.885866666666665</v>
      </c>
      <c r="H59" s="1" t="str">
        <f t="shared" si="7"/>
        <v>增产</v>
      </c>
      <c r="I59" s="1" t="s">
        <v>121</v>
      </c>
      <c r="J59" s="1">
        <f t="shared" si="8"/>
        <v>341742.93321626936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31.9786</v>
      </c>
      <c r="D60" s="1">
        <f>((2*G30+G56+G50)+(2/B2)*(F6+2.5*B3*B9)+4*B16)/1.25</f>
        <v>26.170399999999994</v>
      </c>
      <c r="E60" s="1">
        <f>(2*(2*G30+G56+G50)+(2/B2)*(F6+2.5*B3*B9)+8*B16)/2</f>
        <v>24.420999999999999</v>
      </c>
      <c r="F60" s="1">
        <f t="shared" si="5"/>
        <v>24.420999999999999</v>
      </c>
      <c r="G60" s="1">
        <f t="shared" si="6"/>
        <v>24.420999999999999</v>
      </c>
      <c r="H60" s="1" t="str">
        <f t="shared" si="7"/>
        <v>加速</v>
      </c>
      <c r="I60" s="1" t="s">
        <v>123</v>
      </c>
      <c r="J60" s="1">
        <f t="shared" si="8"/>
        <v>782056.42684574751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75.954933333333329</v>
      </c>
      <c r="D61" s="1">
        <f>((2*G60+2*G50)+(2/B2)*(E6+2.5*B3*B9)+4*B16)/1.25</f>
        <v>61.351466666666667</v>
      </c>
      <c r="E61" s="1">
        <f>(2*(2*G60+2*G50)+(2/B2)*(E6+2.5*B3*B9)+8*B16)/2</f>
        <v>68.823999999999998</v>
      </c>
      <c r="F61" s="1">
        <f t="shared" si="5"/>
        <v>61.351466666666667</v>
      </c>
      <c r="G61" s="1">
        <f t="shared" si="6"/>
        <v>61.351466666666667</v>
      </c>
      <c r="H61" s="1" t="str">
        <f t="shared" si="7"/>
        <v>增产</v>
      </c>
      <c r="I61" s="1" t="s">
        <v>125</v>
      </c>
      <c r="J61" s="1">
        <f t="shared" si="8"/>
        <v>311298.18140723614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42.268533333333338</v>
      </c>
      <c r="D62" s="1">
        <f>((J22+3*G33)+(4/B2)*(E6+B3*B9*2.5)+4*B16)/1.25</f>
        <v>34.989866666666664</v>
      </c>
      <c r="E62" s="1">
        <f>(2*(J22+3*G33)+(4/B2)*(E6+B3*B9*2.5)+8*B16)/2</f>
        <v>28.006666666666668</v>
      </c>
      <c r="F62" s="1">
        <f t="shared" si="5"/>
        <v>28.006666666666668</v>
      </c>
      <c r="G62" s="1">
        <f t="shared" si="6"/>
        <v>28.006666666666668</v>
      </c>
      <c r="H62" s="1" t="str">
        <f t="shared" si="7"/>
        <v>加速</v>
      </c>
      <c r="I62" s="1" t="s">
        <v>235</v>
      </c>
      <c r="J62" s="1">
        <f t="shared" si="8"/>
        <v>681930.49273982388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45.8172</v>
      </c>
      <c r="D63" s="1">
        <f>((J22+2*G39)+(4/B2)*(F6+2.5*B3*B9)+22*B16)/1.25</f>
        <v>37.828799999999987</v>
      </c>
      <c r="E63" s="1">
        <f>(2*(J22+2*G39)+(4/B2)*(F6+2.5*B3*B9)+44*B16)/2</f>
        <v>30.701999999999995</v>
      </c>
      <c r="F63" s="1">
        <f t="shared" si="5"/>
        <v>30.701999999999995</v>
      </c>
      <c r="G63" s="1">
        <f t="shared" si="6"/>
        <v>30.701999999999995</v>
      </c>
      <c r="H63" s="1" t="str">
        <f t="shared" si="7"/>
        <v>加速</v>
      </c>
      <c r="I63" s="1" t="s">
        <v>128</v>
      </c>
      <c r="J63" s="1">
        <f t="shared" si="8"/>
        <v>622063.70920461218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73.823866666666675</v>
      </c>
      <c r="D64" s="1">
        <f>((G62+2*G39)+(4/B2)*(F6+2.5*B3*B9)+18*B16)/1.25</f>
        <v>60.234133333333332</v>
      </c>
      <c r="E64" s="1">
        <f>(2*(G62+2*G39)+(4/B2)*(F6+2.5*B3*B9)+36*B16)/2</f>
        <v>58.708666666666666</v>
      </c>
      <c r="F64" s="1">
        <f t="shared" si="5"/>
        <v>58.708666666666666</v>
      </c>
      <c r="G64" s="1">
        <f t="shared" si="6"/>
        <v>58.708666666666666</v>
      </c>
      <c r="H64" s="1" t="str">
        <f t="shared" si="7"/>
        <v>加速</v>
      </c>
      <c r="I64" s="1" t="s">
        <v>130</v>
      </c>
      <c r="J64" s="1">
        <f t="shared" si="8"/>
        <v>325311.42477544484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157.77760000000001</v>
      </c>
      <c r="D65" s="1">
        <f>((D22+2*G53)+(12/B2)*(E6+2.5*B3*B9)+3*B16)/1.25</f>
        <v>129.74720000000002</v>
      </c>
      <c r="E65" s="1">
        <f>(2*(D22+2*G53)+(12/B2)*(E6+2.5*B3*B9)+6*B16)/2</f>
        <v>114.992</v>
      </c>
      <c r="F65" s="1">
        <f t="shared" si="5"/>
        <v>114.992</v>
      </c>
      <c r="G65" s="1">
        <f t="shared" si="6"/>
        <v>114.992</v>
      </c>
      <c r="H65" s="1" t="str">
        <f t="shared" si="7"/>
        <v>加速</v>
      </c>
      <c r="I65" s="1" t="s">
        <v>132</v>
      </c>
      <c r="J65" s="1">
        <f t="shared" si="8"/>
        <v>166086.33644079589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34.084533333333333</v>
      </c>
      <c r="D66" s="1">
        <f>((2*G31)+(4/B2)*(E6+2.5*B3*B9)+12*B16)/1.25</f>
        <v>28.442666666666668</v>
      </c>
      <c r="E66" s="1">
        <f>(2*(2*G31)+(4/B2)*(E6+2.5*B3*B9)+24*B16)/2</f>
        <v>19.82266666666667</v>
      </c>
      <c r="F66" s="1">
        <f t="shared" si="5"/>
        <v>19.82266666666667</v>
      </c>
      <c r="G66" s="1">
        <f t="shared" si="6"/>
        <v>19.82266666666667</v>
      </c>
      <c r="H66" s="1" t="str">
        <f t="shared" si="7"/>
        <v>加速</v>
      </c>
      <c r="I66" s="1" t="s">
        <v>134</v>
      </c>
      <c r="J66" s="1">
        <f t="shared" si="8"/>
        <v>963472.79208986333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172.61213333333333</v>
      </c>
      <c r="D67" s="1">
        <f>((2*G61+2*G31+2*G39)+(4/B2)*(F6+2.5*B3*B9)+6*B16)/1.25</f>
        <v>139.26474666666667</v>
      </c>
      <c r="E67" s="1">
        <f>(2*(2*G61+2*G31+2*G39)+(4/B2)*(F6+2.5*B3*B9)+12*B16)/2</f>
        <v>157.49693333333335</v>
      </c>
      <c r="F67" s="1">
        <f t="shared" si="5"/>
        <v>139.26474666666667</v>
      </c>
      <c r="G67" s="1">
        <f t="shared" si="6"/>
        <v>139.26474666666667</v>
      </c>
      <c r="H67" s="1" t="str">
        <f t="shared" si="7"/>
        <v>增产</v>
      </c>
      <c r="I67" s="1" t="s">
        <v>136</v>
      </c>
      <c r="J67" s="1">
        <f t="shared" si="8"/>
        <v>137138.79827543817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494.37733333333335</v>
      </c>
      <c r="D68" s="1">
        <f>((2*B22+2*G30+10*C22)+(8/F2)*(L6+2.5*F3*B9)+14*B16)/1.25</f>
        <v>434.66986666666674</v>
      </c>
      <c r="E68" s="1">
        <f>(2*(2*B22+2*G30+10*C22)+(8/F2)*(L6+2.5*F3*B9)+28*B16)/2</f>
        <v>293.53733333333332</v>
      </c>
      <c r="F68" s="1">
        <f t="shared" si="5"/>
        <v>293.53733333333332</v>
      </c>
      <c r="G68" s="1">
        <f t="shared" si="6"/>
        <v>293.53733333333332</v>
      </c>
      <c r="H68" s="1" t="str">
        <f t="shared" si="7"/>
        <v>加速</v>
      </c>
      <c r="I68" s="1" t="s">
        <v>138</v>
      </c>
      <c r="J68" s="1">
        <f t="shared" si="8"/>
        <v>65063.614849672733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47.671066666666675</v>
      </c>
      <c r="D69" s="1">
        <f>((2*G54+G57)+(3/B2)*(E6+2.5*B3*B9)+3*B16)/1.25</f>
        <v>39.018133333333338</v>
      </c>
      <c r="E69" s="1">
        <f>(2*(2*G54+G57)+(3/B2)*(E6+2.5*B3*B9)+6*B16)/2</f>
        <v>36.974666666666671</v>
      </c>
      <c r="F69" s="1">
        <f t="shared" si="5"/>
        <v>36.974666666666671</v>
      </c>
      <c r="G69" s="1">
        <f t="shared" si="6"/>
        <v>36.974666666666671</v>
      </c>
      <c r="H69" s="1" t="str">
        <f t="shared" si="7"/>
        <v>加速</v>
      </c>
      <c r="I69" s="1" t="s">
        <v>140</v>
      </c>
      <c r="J69" s="1">
        <f t="shared" si="8"/>
        <v>516532.03995528462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27.529733333333336</v>
      </c>
      <c r="D70" s="1">
        <f>((G57)+(3/B2)*(E6+2.5*B3*B9)+2*B16)/1.25</f>
        <v>22.90506666666667</v>
      </c>
      <c r="E70" s="1">
        <f>(2*(G57)+(3/B2)*(E6+2.5*B3*B9)+4*B16)/2</f>
        <v>16.833333333333336</v>
      </c>
      <c r="F70" s="1">
        <f t="shared" si="5"/>
        <v>16.833333333333336</v>
      </c>
      <c r="G70" s="1">
        <f t="shared" si="6"/>
        <v>16.833333333333336</v>
      </c>
      <c r="H70" s="1" t="str">
        <f t="shared" si="7"/>
        <v>加速</v>
      </c>
      <c r="I70" s="1" t="s">
        <v>142</v>
      </c>
      <c r="J70" s="1">
        <f t="shared" si="8"/>
        <v>1134570.2970297029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26.942433333333334</v>
      </c>
      <c r="D71" s="1">
        <f>((G39+E22)+(4/B2)*(E6+2.5*B3*B9)+2*B16)/2.5</f>
        <v>22.141466666666666</v>
      </c>
      <c r="E71" s="1">
        <f>(2*(G39+E22)+(4/B2)*(E6+2.5*B3*B9)+4*B16)/4</f>
        <v>19.811500000000002</v>
      </c>
      <c r="F71" s="1">
        <f t="shared" si="5"/>
        <v>19.811500000000002</v>
      </c>
      <c r="G71" s="1">
        <f t="shared" si="6"/>
        <v>19.811500000000002</v>
      </c>
      <c r="H71" s="1" t="str">
        <f t="shared" si="7"/>
        <v>加速</v>
      </c>
      <c r="I71" s="1" t="s">
        <v>144</v>
      </c>
      <c r="J71" s="1">
        <f t="shared" si="8"/>
        <v>964015.84938041028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56.33</v>
      </c>
      <c r="D72" s="1" t="s">
        <v>96</v>
      </c>
      <c r="E72" s="1">
        <f>(2*(2*F22)+(2/F2)*(L6+2.5*F3*B9)+4*B16)/4</f>
        <v>31.225000000000001</v>
      </c>
      <c r="F72" s="1">
        <f t="shared" si="5"/>
        <v>31.225000000000001</v>
      </c>
      <c r="G72" s="1">
        <f t="shared" si="6"/>
        <v>31.225000000000001</v>
      </c>
      <c r="H72" s="1" t="str">
        <f t="shared" si="7"/>
        <v>加速</v>
      </c>
      <c r="I72" s="1" t="s">
        <v>146</v>
      </c>
      <c r="J72" s="1">
        <f t="shared" si="8"/>
        <v>611644.51561249001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85.425600000000003</v>
      </c>
      <c r="D73" s="1">
        <f>((2*G40+G35)+(3/D2)*(I6+2.5*D3*B9)+3*B16)/1.25</f>
        <v>69.662400000000005</v>
      </c>
      <c r="E73" s="1">
        <f>(2*(2*G40+G35)+(3/D2)*(I6+2.5*D3*B9)+6*B16)/2</f>
        <v>65.900999999999996</v>
      </c>
      <c r="F73" s="1">
        <f t="shared" si="5"/>
        <v>65.900999999999996</v>
      </c>
      <c r="G73" s="1">
        <f t="shared" si="6"/>
        <v>65.900999999999996</v>
      </c>
      <c r="H73" s="1" t="str">
        <f t="shared" si="7"/>
        <v>加速</v>
      </c>
      <c r="I73" s="1" t="s">
        <v>148</v>
      </c>
      <c r="J73" s="1">
        <f t="shared" si="8"/>
        <v>289807.43843037286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163.43439999999998</v>
      </c>
      <c r="D74" s="1">
        <f>((2*G41+2*I22+G73)+(8/B2)*(F6+2.5*B3*B9)+5*B16)/1.25</f>
        <v>133.0976</v>
      </c>
      <c r="E74" s="1">
        <f>(2*(2*G41+2*I22+G73)+(8/B2)*(F6+2.5*B3*B9)+10*B16)/2</f>
        <v>133.20400000000001</v>
      </c>
      <c r="F74" s="1">
        <f t="shared" si="5"/>
        <v>133.0976</v>
      </c>
      <c r="G74" s="1">
        <f t="shared" si="6"/>
        <v>133.0976</v>
      </c>
      <c r="H74" s="1" t="str">
        <f t="shared" si="7"/>
        <v>增产</v>
      </c>
      <c r="I74" s="1" t="s">
        <v>150</v>
      </c>
      <c r="J74" s="1">
        <f t="shared" si="8"/>
        <v>143493.19597047579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39.768900000000002</v>
      </c>
      <c r="D75" s="1">
        <f>((3*G39+G33)+(4/D2)*(I6+2.5*D3*B9)+4*B16)/2.5</f>
        <v>32.696399999999997</v>
      </c>
      <c r="E75" s="1">
        <f>((3*G39+G33)+(2/D2)*(I6+2.5*D3*B9)+4*B16)/2</f>
        <v>26.752499999999998</v>
      </c>
      <c r="F75" s="1">
        <f t="shared" si="5"/>
        <v>26.752499999999998</v>
      </c>
      <c r="G75" s="1">
        <f t="shared" si="6"/>
        <v>26.752499999999998</v>
      </c>
      <c r="H75" s="1" t="str">
        <f t="shared" si="7"/>
        <v>加速</v>
      </c>
      <c r="I75" s="1" t="s">
        <v>152</v>
      </c>
      <c r="J75" s="1">
        <f t="shared" si="8"/>
        <v>713899.63554807974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11.541600000000001</v>
      </c>
      <c r="D76" s="1">
        <f>((G35)+2*(B6+2.5*C3*B9)/C2+B16)/1.25</f>
        <v>9.8208000000000002</v>
      </c>
      <c r="E76" s="1">
        <f>((G35)+1*(B6+2.5*C3*B9)/C2+B16)/1</f>
        <v>8.1840000000000011</v>
      </c>
      <c r="F76" s="1">
        <f t="shared" si="5"/>
        <v>8.1840000000000011</v>
      </c>
      <c r="G76" s="1">
        <f t="shared" si="6"/>
        <v>8.1840000000000011</v>
      </c>
      <c r="H76" s="1" t="str">
        <f t="shared" si="7"/>
        <v>加速</v>
      </c>
      <c r="I76" s="1" t="s">
        <v>227</v>
      </c>
      <c r="J76" s="1">
        <f t="shared" si="8"/>
        <v>2333651.0263929614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11.541600000000001</v>
      </c>
      <c r="D77" s="1">
        <f>((G32)+2*(B6+2.5*C3*B9)/C2+B16)/1.25</f>
        <v>9.8208000000000002</v>
      </c>
      <c r="E77" s="1">
        <f>((G32)+1*(B6+2.5*C3*B9)/C2+B16)/1</f>
        <v>8.1840000000000011</v>
      </c>
      <c r="F77" s="1">
        <f t="shared" si="5"/>
        <v>8.1840000000000011</v>
      </c>
      <c r="G77" s="1">
        <f t="shared" si="6"/>
        <v>8.1840000000000011</v>
      </c>
      <c r="H77" s="1" t="str">
        <f t="shared" si="7"/>
        <v>加速</v>
      </c>
      <c r="I77" s="1" t="s">
        <v>228</v>
      </c>
      <c r="J77" s="1">
        <f t="shared" si="8"/>
        <v>2333651.0263929614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233.52119999999999</v>
      </c>
      <c r="D78" s="1">
        <f>((2*G73+F40)+(6/D2)*(I6+D3*B9)+4*B16)/1.25</f>
        <v>186.81695999999999</v>
      </c>
      <c r="E78" s="1">
        <f>((2*G73+F40)+(3/D2)*(I6+D3*B9)+4*B16)/1</f>
        <v>192.81959999999998</v>
      </c>
      <c r="F78" s="1">
        <f t="shared" si="5"/>
        <v>186.81695999999999</v>
      </c>
      <c r="G78" s="1">
        <f t="shared" si="6"/>
        <v>186.81695999999999</v>
      </c>
      <c r="H78" s="1" t="str">
        <f t="shared" si="7"/>
        <v>增产</v>
      </c>
      <c r="I78" s="1" t="s">
        <v>236</v>
      </c>
      <c r="J78" s="1">
        <f t="shared" si="8"/>
        <v>102231.61751481236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159.77633333333335</v>
      </c>
      <c r="D91" s="1">
        <f>((2*G61+3*G42+G35)+(3/B2)*(F6+2.5*B3*B9)+6*B16)/1.25</f>
        <v>128.70234666666667</v>
      </c>
      <c r="E91" s="1">
        <f>(2*(2*G61+3*G42+G35)+(3/B2)*(F6+2.5*B3*B9)+12*B16)/2</f>
        <v>148.43993333333333</v>
      </c>
      <c r="F91" s="1">
        <f t="shared" ref="F91:F106" si="9">MIN(C91:E91)</f>
        <v>128.70234666666667</v>
      </c>
      <c r="G91" s="1">
        <f t="shared" ref="G91:G106" si="10">F91</f>
        <v>128.70234666666667</v>
      </c>
      <c r="H91" s="1" t="str">
        <f t="shared" ref="H91:H106" si="11">IF(C91=G91,"不使用增产剂","")&amp;IF(D91=G91,"增产","")&amp;IF(E91=G91,"加速","")</f>
        <v>增产</v>
      </c>
      <c r="I91" s="1" t="s">
        <v>155</v>
      </c>
      <c r="J91" s="1">
        <f t="shared" ref="J91:J106" si="12">60*318310/G91</f>
        <v>148393.56464466432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344.66413333333333</v>
      </c>
      <c r="D92" s="1">
        <f>((4*H22+G68)+(6/B2)*(E6+2.5*B3*B9)+5*B16)/1.25</f>
        <v>277.49386666666663</v>
      </c>
      <c r="E92" s="1">
        <f>(2*(4*H22+G68)+(6/B2)*(E6+2.5*B3*B9)+10*B16)/2</f>
        <v>323.2713333333333</v>
      </c>
      <c r="F92" s="1">
        <f t="shared" si="9"/>
        <v>277.49386666666663</v>
      </c>
      <c r="G92" s="1">
        <f t="shared" si="10"/>
        <v>277.49386666666663</v>
      </c>
      <c r="H92" s="1" t="str">
        <f t="shared" si="11"/>
        <v>增产</v>
      </c>
      <c r="I92" s="1" t="s">
        <v>157</v>
      </c>
      <c r="J92" s="1">
        <f t="shared" si="12"/>
        <v>68825.304967701391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386.74453333333338</v>
      </c>
      <c r="D93" s="1">
        <f>((2*G59+2*G65)+(6/B2)*(E6+2.5*B3*B9)+4*B16)/1.25</f>
        <v>311.15818666666667</v>
      </c>
      <c r="E93" s="1">
        <f>(2*(2*G59+2*G65)+(6/B2)*(E6+2.5*B3*B9)+8*B16)/2</f>
        <v>365.35173333333336</v>
      </c>
      <c r="F93" s="1">
        <f t="shared" si="9"/>
        <v>311.15818666666667</v>
      </c>
      <c r="G93" s="1">
        <f t="shared" si="10"/>
        <v>311.15818666666667</v>
      </c>
      <c r="H93" s="1" t="str">
        <f t="shared" si="11"/>
        <v>增产</v>
      </c>
      <c r="I93" s="1" t="s">
        <v>159</v>
      </c>
      <c r="J93" s="1">
        <f t="shared" si="12"/>
        <v>61379.069612780877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131.5188</v>
      </c>
      <c r="D94" s="1">
        <f>((4*G41+G52+G32)+(6/B2)*(F6+2.5*B3*B9)+6*B16)/1.25</f>
        <v>106.97759999999998</v>
      </c>
      <c r="E94" s="1">
        <f>(2*(4*G41+G52+G32)+(6/B2)*(F6+2.5*B3*B9)+12*B16)/2</f>
        <v>108.846</v>
      </c>
      <c r="F94" s="1">
        <f t="shared" si="9"/>
        <v>106.97759999999998</v>
      </c>
      <c r="G94" s="1">
        <f t="shared" si="10"/>
        <v>106.97759999999998</v>
      </c>
      <c r="H94" s="1" t="str">
        <f t="shared" si="11"/>
        <v>增产</v>
      </c>
      <c r="I94" s="1" t="s">
        <v>161</v>
      </c>
      <c r="J94" s="1">
        <f t="shared" si="12"/>
        <v>178528.96307264327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611.42329999999993</v>
      </c>
      <c r="D95" s="1">
        <f>((3*G94+3*G71+3*G59)+(8/B2)*(F6+2.5*B3*B9)+9*B16)/1.25</f>
        <v>491.48871999999994</v>
      </c>
      <c r="E95" s="1">
        <f>(2*(3*G94+3*G71+3*G59)+(8/B2)*(F6+2.5*B3*B9)+18*B16)/2</f>
        <v>581.1928999999999</v>
      </c>
      <c r="F95" s="1">
        <f t="shared" si="9"/>
        <v>491.48871999999994</v>
      </c>
      <c r="G95" s="1">
        <f t="shared" si="10"/>
        <v>491.48871999999994</v>
      </c>
      <c r="H95" s="1" t="str">
        <f t="shared" si="11"/>
        <v>增产</v>
      </c>
      <c r="I95" s="1" t="s">
        <v>163</v>
      </c>
      <c r="J95" s="1">
        <f t="shared" si="12"/>
        <v>38858.674111584907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225.6712</v>
      </c>
      <c r="D96" s="1">
        <f>((B22+G59)+(20/B2)*(E6+2.5*B3*B9)+2*B16)/1.25</f>
        <v>186.41216000000003</v>
      </c>
      <c r="E96" s="1">
        <f>(2*(B22+G59)+(20/B2)*(E6+2.5*B3*B9)+4*B16)/2</f>
        <v>154.36186666666669</v>
      </c>
      <c r="F96" s="1">
        <f t="shared" si="9"/>
        <v>154.36186666666669</v>
      </c>
      <c r="G96" s="1">
        <f t="shared" si="10"/>
        <v>154.36186666666669</v>
      </c>
      <c r="H96" s="1" t="str">
        <f t="shared" si="11"/>
        <v>加速</v>
      </c>
      <c r="I96" s="1" t="s">
        <v>165</v>
      </c>
      <c r="J96" s="1">
        <f t="shared" si="12"/>
        <v>123726.15343685918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41.094869333333335</v>
      </c>
      <c r="D97" s="1">
        <f>(G114+(10/B2)*(D6+2.5*B3*B9)+B16)/10</f>
        <v>33.243095466666666</v>
      </c>
      <c r="E97" s="1">
        <f>(2*G114+(10/B2)*(D6+2.5*B3*B9)+2*B16)/16</f>
        <v>36.638036</v>
      </c>
      <c r="F97" s="1">
        <f t="shared" si="9"/>
        <v>33.243095466666666</v>
      </c>
      <c r="G97" s="1">
        <f t="shared" si="10"/>
        <v>33.243095466666666</v>
      </c>
      <c r="H97" s="1" t="str">
        <f t="shared" si="11"/>
        <v>增产</v>
      </c>
      <c r="I97" s="1" t="s">
        <v>167</v>
      </c>
      <c r="J97" s="1">
        <f t="shared" si="12"/>
        <v>574513.28559792042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2055.4223679999996</v>
      </c>
      <c r="D98" s="1">
        <f>((2*G95+4*G103+2*G93)+(6/B2)*(F6+2.5*B3*B9)+8*B16)/1.25</f>
        <v>1646.1004544</v>
      </c>
      <c r="E98" s="1">
        <f>(2*(2*G95+4*G103+2*G93)+(6/B2)*(F6+2.5*B3*B9)+16*B16)/2</f>
        <v>2032.7495679999997</v>
      </c>
      <c r="F98" s="1">
        <f t="shared" si="9"/>
        <v>1646.1004544</v>
      </c>
      <c r="G98" s="1">
        <f t="shared" si="10"/>
        <v>1646.1004544</v>
      </c>
      <c r="H98" s="1" t="str">
        <f t="shared" si="11"/>
        <v>增产</v>
      </c>
      <c r="I98" s="1" t="s">
        <v>169</v>
      </c>
      <c r="J98" s="1">
        <f t="shared" si="12"/>
        <v>11602.329583805016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3.7490666666666668</v>
      </c>
      <c r="D99" s="1">
        <f>((0.5/B2)*(D6+2.5*B3*B9)+B16)/1.25</f>
        <v>3.1461333333333337</v>
      </c>
      <c r="E99" s="1">
        <f>((0.5/B2)*(D6+2.5*B3*B9)+2*B16)/2</f>
        <v>1.9663333333333335</v>
      </c>
      <c r="F99" s="1">
        <f t="shared" si="9"/>
        <v>1.9663333333333335</v>
      </c>
      <c r="G99" s="1">
        <f t="shared" si="10"/>
        <v>1.9663333333333335</v>
      </c>
      <c r="H99" s="1" t="str">
        <f t="shared" si="11"/>
        <v>加速</v>
      </c>
      <c r="I99" s="1" t="s">
        <v>171</v>
      </c>
      <c r="J99" s="1">
        <f t="shared" si="12"/>
        <v>9712798.7794541437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12.965300000000001</v>
      </c>
      <c r="D100" s="1">
        <f>((2*G99+H22)+(1/B2)*(E6+2.5*B3*B9)+3*B16)/1.25</f>
        <v>10.666</v>
      </c>
      <c r="E100" s="1">
        <f>(2*(2*G99+H22)+(1/B2)*(E6+2.5*B3*B9)+6*B16)/2</f>
        <v>9.3998333333333335</v>
      </c>
      <c r="F100" s="1">
        <f t="shared" si="9"/>
        <v>9.3998333333333335</v>
      </c>
      <c r="G100" s="1">
        <f t="shared" si="10"/>
        <v>9.3998333333333335</v>
      </c>
      <c r="H100" s="1" t="str">
        <f t="shared" si="11"/>
        <v>加速</v>
      </c>
      <c r="I100" s="1" t="s">
        <v>173</v>
      </c>
      <c r="J100" s="1">
        <f t="shared" si="12"/>
        <v>2031801.9823046508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47.913933333333333</v>
      </c>
      <c r="D101" s="1">
        <f>((2*G100+G22)+(2/B2)*(E6+2.5*B3*B9)+3*B16)/1.25</f>
        <v>38.91866666666666</v>
      </c>
      <c r="E101" s="1">
        <f>(2*(2*G100+G22)+(2/B2)*(E6+2.5*B3*B9)+6*B16)/2</f>
        <v>40.782999999999994</v>
      </c>
      <c r="F101" s="1">
        <f t="shared" si="9"/>
        <v>38.91866666666666</v>
      </c>
      <c r="G101" s="1">
        <f t="shared" si="10"/>
        <v>38.91866666666666</v>
      </c>
      <c r="H101" s="1" t="str">
        <f t="shared" si="11"/>
        <v>增产</v>
      </c>
      <c r="I101" s="1" t="s">
        <v>40</v>
      </c>
      <c r="J101" s="1">
        <f t="shared" si="12"/>
        <v>490731.09733118647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24.540400000000002</v>
      </c>
      <c r="D102" s="1">
        <f>(G33+(6/B2)*(E6+2.5*B3*B9)+11*B16)/2.5</f>
        <v>20.513600000000004</v>
      </c>
      <c r="E102" s="1">
        <f>(2*G33+(6/B2)*(E6+2.5*B3*B9)+22*B16)/4</f>
        <v>13.844000000000001</v>
      </c>
      <c r="F102" s="1">
        <f t="shared" si="9"/>
        <v>13.844000000000001</v>
      </c>
      <c r="G102" s="1">
        <f t="shared" si="10"/>
        <v>13.844000000000001</v>
      </c>
      <c r="H102" s="1" t="str">
        <f t="shared" si="11"/>
        <v>加速</v>
      </c>
      <c r="I102" s="1" t="s">
        <v>176</v>
      </c>
      <c r="J102" s="1">
        <f t="shared" si="12"/>
        <v>1379557.9312337474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123.60297333333334</v>
      </c>
      <c r="D103" s="1">
        <f>((G52+20*C22+G91)+(12/B2)*(F6+2.5*B3*B9)+22*B16)/2.5</f>
        <v>100.64493866666666</v>
      </c>
      <c r="E103" s="1">
        <f>(2*(G52+20*C22+G91)+(12/B2)*(F6+2.5*B3*B9)+44*B16)/4</f>
        <v>100.93017333333333</v>
      </c>
      <c r="F103" s="1">
        <f t="shared" si="9"/>
        <v>100.64493866666666</v>
      </c>
      <c r="G103" s="1">
        <f t="shared" si="10"/>
        <v>100.64493866666666</v>
      </c>
      <c r="H103" s="1" t="str">
        <f t="shared" si="11"/>
        <v>增产</v>
      </c>
      <c r="I103" s="1" t="s">
        <v>178</v>
      </c>
      <c r="J103" s="1">
        <f t="shared" si="12"/>
        <v>189762.15051662014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371.33153333333331</v>
      </c>
      <c r="D104" s="1" t="s">
        <v>96</v>
      </c>
      <c r="E104" s="1">
        <f>(2*(12*G72+G96+G52)+(24/B2)*(G6+2.5*B3*B9)+52*B16)/4</f>
        <v>325.98593333333332</v>
      </c>
      <c r="F104" s="1">
        <f t="shared" si="9"/>
        <v>325.98593333333332</v>
      </c>
      <c r="G104" s="1">
        <f t="shared" si="10"/>
        <v>325.98593333333332</v>
      </c>
      <c r="H104" s="1" t="str">
        <f t="shared" si="11"/>
        <v>加速</v>
      </c>
      <c r="I104" s="1" t="s">
        <v>180</v>
      </c>
      <c r="J104" s="1">
        <f t="shared" si="12"/>
        <v>58587.190572026731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60.682533333333339</v>
      </c>
      <c r="D105" s="1">
        <f>((2*G51+3*G31)+(4/B2)*(E6+2.5*B3*B9)+5*B16)/1.25</f>
        <v>49.721066666666673</v>
      </c>
      <c r="E105" s="1">
        <f>(2*(2*G51+3*G31)+(4/B2)*(E6+2.5*B3*B9)+10*B16)/2</f>
        <v>46.420666666666676</v>
      </c>
      <c r="F105" s="1">
        <f t="shared" si="9"/>
        <v>46.420666666666676</v>
      </c>
      <c r="G105" s="1">
        <f t="shared" si="10"/>
        <v>46.420666666666676</v>
      </c>
      <c r="H105" s="1" t="str">
        <f t="shared" si="11"/>
        <v>加速</v>
      </c>
      <c r="I105" s="1" t="s">
        <v>182</v>
      </c>
      <c r="J105" s="1">
        <f t="shared" si="12"/>
        <v>411424.50919848908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468.77613333333341</v>
      </c>
      <c r="D106" s="1">
        <f>((5*G52+5*G61)+(6/B2)*(E6+2.5*B3*B9)+10*B16)/1.25</f>
        <v>376.7834666666667</v>
      </c>
      <c r="E106" s="1">
        <f>(2*(5*G52+5*G61)+(6/B2)*(E6+2.5*B3*B9)+20*B16)/2</f>
        <v>447.38333333333338</v>
      </c>
      <c r="F106" s="1">
        <f t="shared" si="9"/>
        <v>376.7834666666667</v>
      </c>
      <c r="G106" s="1">
        <f t="shared" si="10"/>
        <v>376.7834666666667</v>
      </c>
      <c r="H106" s="1" t="str">
        <f t="shared" si="11"/>
        <v>增产</v>
      </c>
      <c r="I106" s="1" t="s">
        <v>184</v>
      </c>
      <c r="J106" s="1">
        <f t="shared" si="12"/>
        <v>50688.529857644142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16.083266666666667</v>
      </c>
      <c r="D110" s="1">
        <f>((G50+G57)+(3/G2)*(P6+2.5*G3*B9)+2*B16)/1.25</f>
        <v>13.454133333333335</v>
      </c>
      <c r="E110" s="1">
        <f>(2*(G50+G57)+(3/G2)*(P6+2.5*G3*B9)+4*B16)/2</f>
        <v>13.955666666666668</v>
      </c>
      <c r="F110" s="1">
        <f t="shared" ref="F110:F115" si="13">MIN(C110:E110)</f>
        <v>13.454133333333335</v>
      </c>
      <c r="G110" s="1">
        <f>D110</f>
        <v>13.454133333333335</v>
      </c>
      <c r="H110" s="1" t="str">
        <f t="shared" ref="H110:H115" si="14">IF(C110=G110,"不使用增产剂","")&amp;IF(D110=G110,"增产","")&amp;IF(E110=G110,"加速","")</f>
        <v>增产</v>
      </c>
      <c r="I110" s="1" t="s">
        <v>187</v>
      </c>
      <c r="J110" s="1">
        <f t="shared" ref="J110:J115" si="15">60*318310/G110</f>
        <v>1419534.0217628286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18.163200000000003</v>
      </c>
      <c r="D111" s="1">
        <f>((2*G35)+(6/G2)*(P6+2.5*G3*B9)+4*B16)/1.25</f>
        <v>15.7056</v>
      </c>
      <c r="E111" s="1">
        <f>(2*(2*G35)+(6/G2)*(P6+2.5*G3*B9)+8*B16)/2</f>
        <v>13.908000000000001</v>
      </c>
      <c r="F111" s="1">
        <f t="shared" si="13"/>
        <v>13.908000000000001</v>
      </c>
      <c r="G111" s="1">
        <f t="shared" ref="G111:G115" si="16">F111</f>
        <v>13.908000000000001</v>
      </c>
      <c r="H111" s="1" t="str">
        <f t="shared" si="14"/>
        <v>加速</v>
      </c>
      <c r="I111" s="1" t="s">
        <v>189</v>
      </c>
      <c r="J111" s="1">
        <f t="shared" si="15"/>
        <v>1373209.6635030196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42.846766666666667</v>
      </c>
      <c r="D112" s="1">
        <f>((H22+G62)+(8/G2)*(P6+2.5*G3*B9)+2*B16)/1.25</f>
        <v>35.844133333333339</v>
      </c>
      <c r="E112" s="1">
        <f>(2*(H22+G62)+(8/G2)*(P6+2.5*G3*B9)+4*B16)/2</f>
        <v>37.173166666666667</v>
      </c>
      <c r="F112" s="1">
        <f t="shared" si="13"/>
        <v>35.844133333333339</v>
      </c>
      <c r="G112" s="1">
        <f t="shared" si="16"/>
        <v>35.844133333333339</v>
      </c>
      <c r="H112" s="1" t="str">
        <f t="shared" si="14"/>
        <v>增产</v>
      </c>
      <c r="I112" s="1" t="s">
        <v>191</v>
      </c>
      <c r="J112" s="1">
        <f t="shared" si="15"/>
        <v>532823.59549307916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261.50133333333332</v>
      </c>
      <c r="D113" s="1">
        <f>((2*G59+G74)+(10/G2)*(P6+2.5*G3*B9)+3*B16)/1.25</f>
        <v>211.15946666666665</v>
      </c>
      <c r="E113" s="1">
        <f>(2*(2*G59+G74)+(10/G2)*(P6+2.5*G3*B9)+6*B16)/2</f>
        <v>254.40933333333331</v>
      </c>
      <c r="F113" s="1">
        <f t="shared" si="13"/>
        <v>211.15946666666665</v>
      </c>
      <c r="G113" s="1">
        <f t="shared" si="16"/>
        <v>211.15946666666665</v>
      </c>
      <c r="H113" s="1" t="str">
        <f t="shared" si="14"/>
        <v>增产</v>
      </c>
      <c r="I113" s="1" t="s">
        <v>193</v>
      </c>
      <c r="J113" s="1">
        <f t="shared" si="15"/>
        <v>90446.335660379278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314.2844266666666</v>
      </c>
      <c r="D114" s="1">
        <f>((G93+G92)+(24/G2)*(P6+2.5*G3*B9)+2*B16)/2.5</f>
        <v>253.77762133333331</v>
      </c>
      <c r="E114" s="1">
        <f>(2*(G93+G92)+(24/G2)*(P6+2.5*G3*B9)+4*B16)/4</f>
        <v>305.7740266666666</v>
      </c>
      <c r="F114" s="1">
        <f t="shared" si="13"/>
        <v>253.77762133333331</v>
      </c>
      <c r="G114" s="1">
        <f t="shared" si="16"/>
        <v>253.77762133333331</v>
      </c>
      <c r="H114" s="1" t="str">
        <f t="shared" si="14"/>
        <v>增产</v>
      </c>
      <c r="I114" s="1" t="s">
        <v>195</v>
      </c>
      <c r="J114" s="1">
        <f t="shared" si="15"/>
        <v>75257.226778535609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584.3163546666666</v>
      </c>
      <c r="D115" s="1">
        <f>((G110+G111+G112+G113+G114+G72)+(15/G2)*(Q6+2.5*G3*B9)+6*B16)/1.25</f>
        <v>470.39068373333328</v>
      </c>
      <c r="E115" s="1">
        <f>(2*(G110+G111+G112+G113+G114+G72)+(15/G2)*(Q6+2.5*G3*B9)+12*B16)/2</f>
        <v>573.67835466666656</v>
      </c>
      <c r="F115" s="1">
        <f t="shared" si="13"/>
        <v>470.39068373333328</v>
      </c>
      <c r="G115" s="1">
        <f t="shared" si="16"/>
        <v>470.39068373333328</v>
      </c>
      <c r="H115" s="1" t="str">
        <f t="shared" si="14"/>
        <v>增产</v>
      </c>
      <c r="I115" s="1" t="s">
        <v>197</v>
      </c>
      <c r="J115" s="1">
        <f t="shared" si="15"/>
        <v>40601.569419744475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215" priority="34" operator="equal">
      <formula>"不使用增产剂"</formula>
    </cfRule>
    <cfRule type="cellIs" dxfId="214" priority="35" operator="equal">
      <formula>"加速"</formula>
    </cfRule>
    <cfRule type="cellIs" dxfId="213" priority="36" operator="equal">
      <formula>"增产"</formula>
    </cfRule>
  </conditionalFormatting>
  <conditionalFormatting sqref="A49:F49">
    <cfRule type="cellIs" dxfId="212" priority="31" operator="equal">
      <formula>"不使用增产剂"</formula>
    </cfRule>
    <cfRule type="cellIs" dxfId="211" priority="32" operator="equal">
      <formula>"加速"</formula>
    </cfRule>
    <cfRule type="cellIs" dxfId="210" priority="33" operator="equal">
      <formula>"增产"</formula>
    </cfRule>
  </conditionalFormatting>
  <conditionalFormatting sqref="A90:F90">
    <cfRule type="cellIs" dxfId="209" priority="28" operator="equal">
      <formula>"不使用增产剂"</formula>
    </cfRule>
    <cfRule type="cellIs" dxfId="208" priority="29" operator="equal">
      <formula>"加速"</formula>
    </cfRule>
    <cfRule type="cellIs" dxfId="207" priority="30" operator="equal">
      <formula>"增产"</formula>
    </cfRule>
  </conditionalFormatting>
  <conditionalFormatting sqref="A109:F109">
    <cfRule type="cellIs" dxfId="206" priority="25" operator="equal">
      <formula>"不使用增产剂"</formula>
    </cfRule>
    <cfRule type="cellIs" dxfId="205" priority="26" operator="equal">
      <formula>"加速"</formula>
    </cfRule>
    <cfRule type="cellIs" dxfId="204" priority="27" operator="equal">
      <formula>"增产"</formula>
    </cfRule>
  </conditionalFormatting>
  <conditionalFormatting sqref="I30:I45">
    <cfRule type="cellIs" dxfId="203" priority="22" operator="equal">
      <formula>"不使用增产剂"</formula>
    </cfRule>
    <cfRule type="cellIs" dxfId="202" priority="23" operator="equal">
      <formula>"加速"</formula>
    </cfRule>
    <cfRule type="cellIs" dxfId="201" priority="24" operator="equal">
      <formula>"增产"</formula>
    </cfRule>
  </conditionalFormatting>
  <conditionalFormatting sqref="I50:I74">
    <cfRule type="cellIs" dxfId="200" priority="19" operator="equal">
      <formula>"不使用增产剂"</formula>
    </cfRule>
    <cfRule type="cellIs" dxfId="199" priority="20" operator="equal">
      <formula>"加速"</formula>
    </cfRule>
    <cfRule type="cellIs" dxfId="198" priority="21" operator="equal">
      <formula>"增产"</formula>
    </cfRule>
  </conditionalFormatting>
  <conditionalFormatting sqref="I91:I106">
    <cfRule type="cellIs" dxfId="197" priority="16" operator="equal">
      <formula>"不使用增产剂"</formula>
    </cfRule>
    <cfRule type="cellIs" dxfId="196" priority="17" operator="equal">
      <formula>"加速"</formula>
    </cfRule>
    <cfRule type="cellIs" dxfId="195" priority="18" operator="equal">
      <formula>"增产"</formula>
    </cfRule>
  </conditionalFormatting>
  <conditionalFormatting sqref="I110:I115">
    <cfRule type="cellIs" dxfId="194" priority="13" operator="equal">
      <formula>"不使用增产剂"</formula>
    </cfRule>
    <cfRule type="cellIs" dxfId="193" priority="14" operator="equal">
      <formula>"加速"</formula>
    </cfRule>
    <cfRule type="cellIs" dxfId="192" priority="15" operator="equal">
      <formula>"增产"</formula>
    </cfRule>
  </conditionalFormatting>
  <conditionalFormatting sqref="A75">
    <cfRule type="cellIs" dxfId="191" priority="10" operator="equal">
      <formula>"不使用增产剂"</formula>
    </cfRule>
    <cfRule type="cellIs" dxfId="190" priority="11" operator="equal">
      <formula>"加速"</formula>
    </cfRule>
    <cfRule type="cellIs" dxfId="189" priority="12" operator="equal">
      <formula>"增产"</formula>
    </cfRule>
  </conditionalFormatting>
  <conditionalFormatting sqref="I75">
    <cfRule type="cellIs" dxfId="188" priority="7" operator="equal">
      <formula>"不使用增产剂"</formula>
    </cfRule>
    <cfRule type="cellIs" dxfId="187" priority="8" operator="equal">
      <formula>"加速"</formula>
    </cfRule>
    <cfRule type="cellIs" dxfId="186" priority="9" operator="equal">
      <formula>"增产"</formula>
    </cfRule>
  </conditionalFormatting>
  <conditionalFormatting sqref="A77">
    <cfRule type="cellIs" dxfId="185" priority="4" operator="equal">
      <formula>"不使用增产剂"</formula>
    </cfRule>
    <cfRule type="cellIs" dxfId="184" priority="5" operator="equal">
      <formula>"加速"</formula>
    </cfRule>
    <cfRule type="cellIs" dxfId="183" priority="6" operator="equal">
      <formula>"增产"</formula>
    </cfRule>
  </conditionalFormatting>
  <conditionalFormatting sqref="I77">
    <cfRule type="cellIs" dxfId="182" priority="1" operator="equal">
      <formula>"不使用增产剂"</formula>
    </cfRule>
    <cfRule type="cellIs" dxfId="181" priority="2" operator="equal">
      <formula>"加速"</formula>
    </cfRule>
    <cfRule type="cellIs" dxfId="180" priority="3" operator="equal">
      <formula>"增产"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E7B0-AC0D-4F8F-833B-AB6E10C8C291}">
  <dimension ref="A1:U115"/>
  <sheetViews>
    <sheetView zoomScaleNormal="100" workbookViewId="0">
      <selection activeCell="G109" sqref="G109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257</v>
      </c>
      <c r="B6" s="1">
        <v>6.96</v>
      </c>
      <c r="C6" s="1">
        <v>8.16</v>
      </c>
      <c r="D6" s="1">
        <v>10.88</v>
      </c>
      <c r="E6" s="1">
        <v>10.88</v>
      </c>
      <c r="F6" s="1">
        <v>11.52</v>
      </c>
      <c r="G6" s="1">
        <v>11.52</v>
      </c>
      <c r="H6" s="1">
        <v>26.4</v>
      </c>
      <c r="I6" s="1">
        <v>26.4</v>
      </c>
      <c r="J6" s="1">
        <v>47.5</v>
      </c>
      <c r="K6" s="1">
        <v>47.5</v>
      </c>
      <c r="L6" s="1">
        <v>52.25</v>
      </c>
      <c r="M6" s="1">
        <v>19.5</v>
      </c>
      <c r="N6" s="1">
        <v>19.5</v>
      </c>
      <c r="O6" s="1">
        <v>22.5</v>
      </c>
      <c r="P6" s="1">
        <v>22.5</v>
      </c>
      <c r="Q6" s="1">
        <v>22.5</v>
      </c>
      <c r="R6" s="1">
        <v>48.96</v>
      </c>
      <c r="S6" s="1">
        <v>54.824300000000001</v>
      </c>
      <c r="T6" s="1">
        <v>16.670000000000002</v>
      </c>
      <c r="U6" s="1">
        <v>10.5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0.39012999999999998</v>
      </c>
      <c r="C9" s="1">
        <f>(F104+F101/74+50*R6)/7200</f>
        <v>0.39013117991789309</v>
      </c>
      <c r="D9" s="1">
        <f>50*R6/7200</f>
        <v>0.34</v>
      </c>
      <c r="E9" s="1">
        <v>0.34</v>
      </c>
      <c r="F9" s="1">
        <v>0.38934090003248278</v>
      </c>
      <c r="G9" s="1">
        <v>0.38934090003248278</v>
      </c>
      <c r="H9" s="1">
        <v>0.39020643276670125</v>
      </c>
      <c r="I9" s="1">
        <f>(H9-G9)/(1-(F9-H9)/(E9-G9))+G9</f>
        <v>0.39022188694385879</v>
      </c>
    </row>
    <row r="10" spans="1:21" x14ac:dyDescent="0.2">
      <c r="A10" s="1" t="s">
        <v>36</v>
      </c>
      <c r="C10" s="1">
        <f>(F104+100*R6)/7200</f>
        <v>0.73004064957235715</v>
      </c>
      <c r="D10" s="1">
        <f>100*R6/7200</f>
        <v>0.68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0.65181848785871965</v>
      </c>
      <c r="C16" s="1">
        <f>F101/74</f>
        <v>0.65181848785871965</v>
      </c>
      <c r="D16" s="1">
        <v>0.65183217962187745</v>
      </c>
      <c r="E16" s="1">
        <v>0.65182100418275957</v>
      </c>
      <c r="F16" s="1">
        <v>0.65182100418275957</v>
      </c>
      <c r="G16" s="1">
        <v>0.65181895031827297</v>
      </c>
      <c r="H16" s="1">
        <f>(G16-F16)/(1-(E16-G16)/(D16-F16))+F16</f>
        <v>0.65181848785871965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172.97337209352756</v>
      </c>
      <c r="C20" s="1">
        <f>G43</f>
        <v>9.6163468969591754</v>
      </c>
      <c r="D20" s="1">
        <f>G64</f>
        <v>76.635742641942585</v>
      </c>
      <c r="E20" s="1">
        <f>G69</f>
        <v>47.338464984547464</v>
      </c>
      <c r="F20" s="1">
        <f>10*S6</f>
        <v>548.24300000000005</v>
      </c>
      <c r="G20" s="1">
        <f>G75</f>
        <v>29.967664445364235</v>
      </c>
      <c r="H20" s="1">
        <f>G76</f>
        <v>10.31992346357616</v>
      </c>
      <c r="I20" s="1">
        <f>G77</f>
        <v>10.31992346357616</v>
      </c>
      <c r="J20" s="1">
        <f>G78</f>
        <v>197.93493973545256</v>
      </c>
    </row>
    <row r="21" spans="1:11" x14ac:dyDescent="0.2">
      <c r="A21" s="1" t="s">
        <v>52</v>
      </c>
      <c r="B21" s="1">
        <f>G66</f>
        <v>29.218827496688739</v>
      </c>
      <c r="C21" s="1">
        <f>G44</f>
        <v>16.10461197571744</v>
      </c>
      <c r="D21" s="1">
        <f>G63</f>
        <v>46.661462708609264</v>
      </c>
      <c r="E21" s="1">
        <f>G70</f>
        <v>20.318010772626931</v>
      </c>
      <c r="F21" s="1">
        <f>G45</f>
        <v>138.3549128077465</v>
      </c>
      <c r="G21" s="1">
        <f>G41</f>
        <v>16.208806463576156</v>
      </c>
      <c r="H21" s="1">
        <f>G38</f>
        <v>1.8942469939293598</v>
      </c>
      <c r="I21" s="1">
        <f>G37</f>
        <v>3.3092469939293601</v>
      </c>
      <c r="J21" s="1" t="s">
        <v>234</v>
      </c>
    </row>
    <row r="22" spans="1:11" x14ac:dyDescent="0.2">
      <c r="A22" s="1" t="s">
        <v>53</v>
      </c>
      <c r="B22" s="1">
        <f>B21</f>
        <v>29.218827496688739</v>
      </c>
      <c r="C22" s="1">
        <f>C19</f>
        <v>0</v>
      </c>
      <c r="D22" s="1">
        <f>D21</f>
        <v>46.661462708609264</v>
      </c>
      <c r="E22" s="1">
        <f>E21</f>
        <v>20.318010772626931</v>
      </c>
      <c r="F22" s="1">
        <f>F19</f>
        <v>0</v>
      </c>
      <c r="G22" s="1">
        <f>G21</f>
        <v>16.208806463576156</v>
      </c>
      <c r="H22" s="1">
        <f>H21</f>
        <v>1.8942469939293598</v>
      </c>
      <c r="I22" s="1">
        <f>I21</f>
        <v>3.3092469939293601</v>
      </c>
      <c r="J22" s="1">
        <f>J19</f>
        <v>0</v>
      </c>
    </row>
    <row r="25" spans="1:11" x14ac:dyDescent="0.2">
      <c r="C25" s="1" t="s">
        <v>256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64</v>
      </c>
    </row>
    <row r="29" spans="1:11" ht="19.5" x14ac:dyDescent="0.2">
      <c r="A29" s="2" t="s">
        <v>65</v>
      </c>
      <c r="B29" s="2"/>
      <c r="C29" s="2"/>
      <c r="D29" s="2"/>
      <c r="E29" s="2"/>
      <c r="F29" s="2"/>
    </row>
    <row r="30" spans="1:11" x14ac:dyDescent="0.2">
      <c r="A30" s="1" t="s">
        <v>66</v>
      </c>
      <c r="B30" s="1" t="s">
        <v>67</v>
      </c>
      <c r="C30" s="1">
        <f>(B6+C3*B9)/C2</f>
        <v>3.7608936000000002</v>
      </c>
      <c r="D30" s="1">
        <f>((B6+C3*B9*2.5)/C2+B16)/1.25</f>
        <v>3.8672419902869763</v>
      </c>
      <c r="E30" s="1">
        <f>((B6+C3*B9*2.5)/C2+2*B16)/2</f>
        <v>2.7429354878587198</v>
      </c>
      <c r="F30" s="1">
        <f>MIN(C30:E30)</f>
        <v>2.7429354878587198</v>
      </c>
      <c r="G30" s="1">
        <f>F30</f>
        <v>2.7429354878587198</v>
      </c>
      <c r="H30" s="1" t="str">
        <f t="shared" ref="H30:H37" si="0">IF(C30=G30,"不使用增产剂","")&amp;IF(D30=G30,"增产","")&amp;IF(E30=G30,"加速","")</f>
        <v>加速</v>
      </c>
      <c r="I30" s="1" t="s">
        <v>66</v>
      </c>
      <c r="J30" s="1">
        <f t="shared" ref="J30:J45" si="1">60*318310/G30</f>
        <v>6962832.3686567545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3.7608936000000002</v>
      </c>
      <c r="D31" s="1">
        <f>((B6+C3*B9*2.5)/C2+B16)/1.25</f>
        <v>3.8672419902869763</v>
      </c>
      <c r="E31" s="1">
        <f>((B6+C3*B9*2.5)/C2+2*B16)/2</f>
        <v>2.7429354878587198</v>
      </c>
      <c r="F31" s="1">
        <f t="shared" ref="F31:F44" si="2">MIN(C31:E31)</f>
        <v>2.7429354878587198</v>
      </c>
      <c r="G31" s="1">
        <f t="shared" ref="G31:G44" si="3">F31</f>
        <v>2.7429354878587198</v>
      </c>
      <c r="H31" s="1" t="str">
        <f t="shared" si="0"/>
        <v>加速</v>
      </c>
      <c r="I31" s="1" t="s">
        <v>69</v>
      </c>
      <c r="J31" s="1">
        <f t="shared" si="1"/>
        <v>6962832.3686567545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7.5217872000000003</v>
      </c>
      <c r="D32" s="1">
        <f>(2*(B6+C3*B9*2.5)/C2+2*B16)/1.25</f>
        <v>7.7344839805739527</v>
      </c>
      <c r="E32" s="1">
        <f>(2*(B6+C3*B9*2.5)/C2+4*B16)/2</f>
        <v>5.4858709757174395</v>
      </c>
      <c r="F32" s="1">
        <f t="shared" si="2"/>
        <v>5.4858709757174395</v>
      </c>
      <c r="G32" s="1">
        <f t="shared" si="3"/>
        <v>5.4858709757174395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1"/>
        <v>3481416.1843283772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7.5217872000000003</v>
      </c>
      <c r="D33" s="1">
        <f>(2*(B6+C3*B9*2.5)/C2+2*B16)/1.25</f>
        <v>7.7344839805739527</v>
      </c>
      <c r="E33" s="1">
        <f>(2*(B6+C3*B9*2.5)/C2+4*B16)/2</f>
        <v>5.4858709757174395</v>
      </c>
      <c r="F33" s="1">
        <f t="shared" si="2"/>
        <v>5.4858709757174395</v>
      </c>
      <c r="G33" s="1">
        <f t="shared" si="3"/>
        <v>5.4858709757174395</v>
      </c>
      <c r="H33" s="1" t="str">
        <f t="shared" si="0"/>
        <v>加速</v>
      </c>
      <c r="I33" s="1" t="s">
        <v>73</v>
      </c>
      <c r="J33" s="1">
        <f t="shared" si="1"/>
        <v>3481416.1843283772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3.7608936000000002</v>
      </c>
      <c r="D34" s="1">
        <f>((B6+C3*B9*2.5)/C2+B16)/1.25</f>
        <v>3.8672419902869763</v>
      </c>
      <c r="E34" s="1">
        <f>((B6+C3*B9*2.5)/C2+2*B16)/2</f>
        <v>2.7429354878587198</v>
      </c>
      <c r="F34" s="1">
        <f t="shared" si="2"/>
        <v>2.7429354878587198</v>
      </c>
      <c r="G34" s="1">
        <f t="shared" si="3"/>
        <v>2.7429354878587198</v>
      </c>
      <c r="H34" s="1" t="str">
        <f t="shared" si="0"/>
        <v>加速</v>
      </c>
      <c r="I34" s="1" t="s">
        <v>75</v>
      </c>
      <c r="J34" s="1">
        <f t="shared" si="1"/>
        <v>6962832.3686567545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7.5217872000000003</v>
      </c>
      <c r="D35" s="1">
        <f>(2*(B6+C3*B9*2.5)/C2+2*B16)/1.25</f>
        <v>7.7344839805739527</v>
      </c>
      <c r="E35" s="1">
        <f>(2*(B6+C3*B9*2.5)/C2+4*B16)/2</f>
        <v>5.4858709757174395</v>
      </c>
      <c r="F35" s="1">
        <f t="shared" si="2"/>
        <v>5.4858709757174395</v>
      </c>
      <c r="G35" s="1">
        <f t="shared" si="3"/>
        <v>5.4858709757174395</v>
      </c>
      <c r="H35" s="1" t="str">
        <f t="shared" si="0"/>
        <v>加速</v>
      </c>
      <c r="I35" s="1" t="s">
        <v>77</v>
      </c>
      <c r="J35" s="1">
        <f t="shared" si="1"/>
        <v>3481416.1843283772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7.5217872000000003</v>
      </c>
      <c r="D36" s="1">
        <f>(2*(B6+C3*B9*2.5)/C2+2*B16)/1.25</f>
        <v>7.7344839805739527</v>
      </c>
      <c r="E36" s="1">
        <f>(2*(B6+C3*B9*2.5)/C2+4*B16)/2</f>
        <v>5.4858709757174395</v>
      </c>
      <c r="F36" s="1">
        <f t="shared" si="2"/>
        <v>5.4858709757174395</v>
      </c>
      <c r="G36" s="1">
        <f t="shared" si="3"/>
        <v>5.4858709757174395</v>
      </c>
      <c r="H36" s="1" t="str">
        <f t="shared" si="0"/>
        <v>加速</v>
      </c>
      <c r="I36" s="1" t="s">
        <v>79</v>
      </c>
      <c r="J36" s="1">
        <f t="shared" si="1"/>
        <v>3481416.1843283772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5.6506702000000004</v>
      </c>
      <c r="D37" s="1">
        <f>(1.5*(D6+B3*B9*2.5)/B2+B16)/2.5</f>
        <v>5.0340677951434873</v>
      </c>
      <c r="E37" s="1">
        <f>(1.5*(D6+B3*B9*2.5)/B2+2*B16)/4</f>
        <v>3.3092469939293601</v>
      </c>
      <c r="F37" s="1">
        <f t="shared" si="2"/>
        <v>3.3092469939293601</v>
      </c>
      <c r="G37" s="1">
        <f t="shared" si="3"/>
        <v>3.3092469939293601</v>
      </c>
      <c r="H37" s="1" t="str">
        <f t="shared" si="0"/>
        <v>加速</v>
      </c>
      <c r="I37" s="1" t="s">
        <v>81</v>
      </c>
      <c r="J37" s="1">
        <f t="shared" si="1"/>
        <v>5771282.7223339267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2.8206702000000003</v>
      </c>
      <c r="D38" s="1">
        <f>(1.5*(B6+C3*B9*2.5)/C2+B16)/2.5</f>
        <v>2.7700677951434876</v>
      </c>
      <c r="E38" s="1">
        <f>(1.5*(B6+C3*B9*2.5)/C2+2*B16)/4</f>
        <v>1.8942469939293598</v>
      </c>
      <c r="F38" s="1">
        <f t="shared" si="2"/>
        <v>1.8942469939293598</v>
      </c>
      <c r="G38" s="1">
        <f t="shared" si="3"/>
        <v>1.8942469939293598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1"/>
        <v>10082423.28545684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13.621340399999999</v>
      </c>
      <c r="D39" s="1">
        <f>(2*(I6+D3*B9*2.5)/D2+2*B16)/2.5</f>
        <v>11.924135590286975</v>
      </c>
      <c r="E39" s="1">
        <f>(2*(I6+D3*B9*2.5)/D2+4*B16)/4</f>
        <v>7.7784939878587185</v>
      </c>
      <c r="F39" s="1">
        <f t="shared" si="2"/>
        <v>7.7784939878587185</v>
      </c>
      <c r="G39" s="1">
        <f t="shared" si="3"/>
        <v>7.7784939878587185</v>
      </c>
      <c r="H39" s="1" t="str">
        <f t="shared" ref="H39:H45" si="4">IF(C39=G39,"不使用增产剂","")&amp;IF(D39=G39,"增产","")&amp;IF(E39=G39,"加速","")</f>
        <v>加速</v>
      </c>
      <c r="I39" s="1" t="s">
        <v>85</v>
      </c>
      <c r="J39" s="1">
        <f t="shared" si="1"/>
        <v>2455308.1907385397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39.749049599999999</v>
      </c>
      <c r="D40" s="1">
        <f>((4/E2)*(N6+B9*E3*2.5)+2*B16)/2.5</f>
        <v>33.219553990286975</v>
      </c>
      <c r="E40" s="1">
        <f>((4/E2)*(N6+B9*E3*2.5)+4*B16)/4</f>
        <v>21.08813048785872</v>
      </c>
      <c r="F40" s="1">
        <f t="shared" si="2"/>
        <v>21.08813048785872</v>
      </c>
      <c r="G40" s="1">
        <f t="shared" si="3"/>
        <v>21.08813048785872</v>
      </c>
      <c r="H40" s="1" t="str">
        <f t="shared" si="4"/>
        <v>加速</v>
      </c>
      <c r="I40" s="1" t="s">
        <v>87</v>
      </c>
      <c r="J40" s="1">
        <f t="shared" si="1"/>
        <v>905656.38385990774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27.242680799999999</v>
      </c>
      <c r="D41" s="1">
        <f>(4*(I6+D3*B9*2.5)/D2+6*B16)/2.5</f>
        <v>24.369725970860923</v>
      </c>
      <c r="E41" s="1">
        <f>(4*(I6+D3*B9*2.5)/D2+12*B16)/4</f>
        <v>16.208806463576156</v>
      </c>
      <c r="F41" s="1">
        <f t="shared" si="2"/>
        <v>16.208806463576156</v>
      </c>
      <c r="G41" s="1">
        <f t="shared" si="3"/>
        <v>16.208806463576156</v>
      </c>
      <c r="H41" s="1" t="str">
        <f t="shared" si="4"/>
        <v>加速</v>
      </c>
      <c r="I41" s="1" t="s">
        <v>89</v>
      </c>
      <c r="J41" s="1">
        <f t="shared" si="1"/>
        <v>1178285.3995399158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5.6413404000000007</v>
      </c>
      <c r="D42" s="1">
        <f>(1.5*(B6+C3*B9*2.5)/C2+B16)/1.25</f>
        <v>5.5401355902869751</v>
      </c>
      <c r="E42" s="1">
        <f>(1.5*(B6+C3*B9*2.5)/C2+2*B16)/2</f>
        <v>3.7884939878587196</v>
      </c>
      <c r="F42" s="1">
        <f t="shared" si="2"/>
        <v>3.7884939878587196</v>
      </c>
      <c r="G42" s="1">
        <f t="shared" si="3"/>
        <v>3.7884939878587196</v>
      </c>
      <c r="H42" s="1" t="str">
        <f t="shared" si="4"/>
        <v>加速</v>
      </c>
      <c r="I42" s="1" t="s">
        <v>91</v>
      </c>
      <c r="J42" s="1">
        <f t="shared" si="1"/>
        <v>5041211.64272842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9.6163468969591754</v>
      </c>
      <c r="F43" s="1">
        <f t="shared" si="2"/>
        <v>9.6163468969591754</v>
      </c>
      <c r="G43" s="1">
        <f t="shared" si="3"/>
        <v>9.6163468969591754</v>
      </c>
      <c r="H43" s="1" t="str">
        <f t="shared" si="4"/>
        <v>加速</v>
      </c>
      <c r="I43" s="1" t="s">
        <v>93</v>
      </c>
      <c r="J43" s="1">
        <f t="shared" si="1"/>
        <v>1986055.6409460693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26.090780000000002</v>
      </c>
      <c r="D44" s="1">
        <f>(2.5*(J6+F3*B9*2.5)/F2+10*B16)/6.25</f>
        <v>24.724469580573949</v>
      </c>
      <c r="E44" s="1">
        <f>(2.5*(J6+F3*B9*2.5)/F2+20*B16)/10</f>
        <v>16.10461197571744</v>
      </c>
      <c r="F44" s="1">
        <f t="shared" si="2"/>
        <v>16.10461197571744</v>
      </c>
      <c r="G44" s="1">
        <f t="shared" si="3"/>
        <v>16.10461197571744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1"/>
        <v>1185908.7340196026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276.70439379476085</v>
      </c>
      <c r="D45" s="1" t="s">
        <v>96</v>
      </c>
      <c r="E45" s="1">
        <f>((0.1*G92)+60*S6+0.1*B16)/24</f>
        <v>138.3549128077465</v>
      </c>
      <c r="F45" s="1">
        <f>MIN(C45:E45)</f>
        <v>138.3549128077465</v>
      </c>
      <c r="G45" s="1">
        <f>F45</f>
        <v>138.3549128077465</v>
      </c>
      <c r="H45" s="1" t="str">
        <f t="shared" si="4"/>
        <v>加速</v>
      </c>
      <c r="I45" s="1" t="s">
        <v>101</v>
      </c>
      <c r="J45" s="1">
        <f t="shared" si="1"/>
        <v>138040.63486013535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8.9270751984547463</v>
      </c>
      <c r="D50" s="1">
        <f>((2*G42+G31)+(E6+B3*B9*2.5)/B2+3*B16)/2.5</f>
        <v>8.0923785041942615</v>
      </c>
      <c r="E50" s="1">
        <f>(2*(2*G42+G31)+(E6+2.5*B3*B9)/B2+6*B16)/4</f>
        <v>8.1265812969094924</v>
      </c>
      <c r="F50" s="1">
        <f t="shared" ref="F50:F78" si="5">MIN(C50:E50)</f>
        <v>8.0923785041942615</v>
      </c>
      <c r="G50" s="1">
        <f t="shared" ref="G50:G78" si="6">F50</f>
        <v>8.0923785041942615</v>
      </c>
      <c r="H50" s="1" t="str">
        <f t="shared" ref="H50:H78" si="7">IF(C50=G50,"不使用增产剂","")&amp;IF(D50=G50,"增产","")&amp;IF(E50=G50,"加速","")</f>
        <v>增产</v>
      </c>
      <c r="I50" s="1" t="s">
        <v>103</v>
      </c>
      <c r="J50" s="1">
        <f t="shared" ref="J50:J78" si="8">60*318310/G50</f>
        <v>2360072.5040358948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19.511487263576161</v>
      </c>
      <c r="D51" s="1">
        <f>((3*G30)+3*(B6+C3*B9*2.5)/C2+3*B16)/1.25</f>
        <v>18.184771141721853</v>
      </c>
      <c r="E51" s="1">
        <f>(2*(3*G30)+3*(B6+C3*B9*2.5)/C2+6*B16)/2</f>
        <v>16.457612927152319</v>
      </c>
      <c r="F51" s="1">
        <f t="shared" si="5"/>
        <v>16.457612927152319</v>
      </c>
      <c r="G51" s="1">
        <f t="shared" si="6"/>
        <v>16.457612927152319</v>
      </c>
      <c r="H51" s="1" t="str">
        <f t="shared" si="7"/>
        <v>加速</v>
      </c>
      <c r="I51" s="1" t="s">
        <v>105</v>
      </c>
      <c r="J51" s="1">
        <f t="shared" si="8"/>
        <v>1160472.0614427924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35.026164702869757</v>
      </c>
      <c r="D52" s="1">
        <f>((4*G33+4*G51)+(12/C2)*(C6+C3*B9*2.5)+16*B16)/5</f>
        <v>31.117967883443708</v>
      </c>
      <c r="E52" s="1">
        <f>(2*(4*G33+4*G51)+(12/C2)*(C6+C3*B9*2.5)+32*B16)/8</f>
        <v>31.724108854304639</v>
      </c>
      <c r="F52" s="1">
        <f t="shared" si="5"/>
        <v>31.117967883443708</v>
      </c>
      <c r="G52" s="1">
        <f t="shared" si="6"/>
        <v>31.117967883443708</v>
      </c>
      <c r="H52" s="1" t="str">
        <f t="shared" si="7"/>
        <v>增产</v>
      </c>
      <c r="I52" s="1" t="s">
        <v>107</v>
      </c>
      <c r="J52" s="1">
        <f t="shared" si="8"/>
        <v>613748.30360183632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30.873975951434879</v>
      </c>
      <c r="D53" s="1">
        <f>((2*G36+2*G33)+(5/B2)*(F6+2.5*B3*B9)+6*B16)/2.5</f>
        <v>27.106225932008829</v>
      </c>
      <c r="E53" s="1">
        <f>(2*(2*G36+2*G33)+(5/B2)*(F6+2.5*B3*B9)+12*B16)/4</f>
        <v>23.404989915011036</v>
      </c>
      <c r="F53" s="1">
        <f t="shared" si="5"/>
        <v>23.404989915011036</v>
      </c>
      <c r="G53" s="1">
        <f t="shared" si="6"/>
        <v>23.404989915011036</v>
      </c>
      <c r="H53" s="1" t="str">
        <f t="shared" si="7"/>
        <v>加速</v>
      </c>
      <c r="I53" s="1" t="s">
        <v>109</v>
      </c>
      <c r="J53" s="1">
        <f t="shared" si="8"/>
        <v>816005.47871848952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15.763033396909492</v>
      </c>
      <c r="D54" s="1">
        <f>((3*G36)+(2/B2)*(D6+B3*B9*2.5)+3*B16)/2.5</f>
        <v>13.729681222958055</v>
      </c>
      <c r="E54" s="1">
        <f>((6*G36)+(2/B2)*(D6+B3*B9*2.5)+6*B16)/4</f>
        <v>13.184317862030905</v>
      </c>
      <c r="F54" s="1">
        <f t="shared" si="5"/>
        <v>13.184317862030905</v>
      </c>
      <c r="G54" s="1">
        <f t="shared" si="6"/>
        <v>13.184317862030905</v>
      </c>
      <c r="H54" s="1" t="str">
        <f t="shared" si="7"/>
        <v>加速</v>
      </c>
      <c r="I54" s="1" t="s">
        <v>111</v>
      </c>
      <c r="J54" s="1">
        <f t="shared" si="8"/>
        <v>1448584.6139223818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73.806603607505522</v>
      </c>
      <c r="D55" s="1">
        <f>((4*G50+2*G54)+(2/B2)*(E6+2.5*B3*B9)+6*B16)/1.25</f>
        <v>62.848156267726267</v>
      </c>
      <c r="E55" s="1">
        <f>(2*(4*G50+2*G54)+(2/B2)*(E6+2.5*B3*B9)+12*B16)/2</f>
        <v>70.6046280013245</v>
      </c>
      <c r="F55" s="1">
        <f t="shared" si="5"/>
        <v>62.848156267726267</v>
      </c>
      <c r="G55" s="1">
        <f t="shared" si="6"/>
        <v>62.848156267726267</v>
      </c>
      <c r="H55" s="1" t="str">
        <f t="shared" si="7"/>
        <v>增产</v>
      </c>
      <c r="I55" s="1" t="s">
        <v>113</v>
      </c>
      <c r="J55" s="1">
        <f t="shared" si="8"/>
        <v>303884.80958203541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10.277162421192052</v>
      </c>
      <c r="D56" s="1">
        <f>(G30+(1/B2)*(D6+2.5*B3*B9)+B16)/1.25</f>
        <v>9.0802570472406181</v>
      </c>
      <c r="E56" s="1">
        <f>(2*G30+(1/B2)*(D6+2.5*B3*B9)+2*B16)/2</f>
        <v>7.3725376423841062</v>
      </c>
      <c r="F56" s="1">
        <f t="shared" si="5"/>
        <v>7.3725376423841062</v>
      </c>
      <c r="G56" s="1">
        <f t="shared" si="6"/>
        <v>7.3725376423841062</v>
      </c>
      <c r="H56" s="1" t="str">
        <f t="shared" si="7"/>
        <v>加速</v>
      </c>
      <c r="I56" s="1" t="s">
        <v>115</v>
      </c>
      <c r="J56" s="1">
        <f t="shared" si="8"/>
        <v>2590505.5933799152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7.881516698454746</v>
      </c>
      <c r="D57" s="1">
        <f>((2*G30+G31)+(E6+B3*B9*2.5)/B2+3*B16)/2.5</f>
        <v>7.2559317041942606</v>
      </c>
      <c r="E57" s="1">
        <f>(2*(2*G30+G31)+(E6+B3*B9*2.5)/B2+6*B16)/4</f>
        <v>7.081022796909493</v>
      </c>
      <c r="F57" s="1">
        <f t="shared" si="5"/>
        <v>7.081022796909493</v>
      </c>
      <c r="G57" s="1">
        <f t="shared" si="6"/>
        <v>7.081022796909493</v>
      </c>
      <c r="H57" s="1" t="str">
        <f t="shared" si="7"/>
        <v>加速</v>
      </c>
      <c r="I57" s="1" t="s">
        <v>117</v>
      </c>
      <c r="J57" s="1">
        <f t="shared" si="8"/>
        <v>2697152.7345365374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28.783131305960268</v>
      </c>
      <c r="D58" s="1">
        <f>((2*G32+G31)+2*(E6+B3*B9*2.5)/B2+3*B16)/1.25</f>
        <v>25.265014055629138</v>
      </c>
      <c r="E58" s="1">
        <f>(2*(2*G32+G31)+2*(E6+B3*B9*2.5)/B2+6*B16)/2</f>
        <v>23.625700236203091</v>
      </c>
      <c r="F58" s="1">
        <f t="shared" si="5"/>
        <v>23.625700236203091</v>
      </c>
      <c r="G58" s="1">
        <f t="shared" si="6"/>
        <v>23.625700236203091</v>
      </c>
      <c r="H58" s="1" t="str">
        <f t="shared" si="7"/>
        <v>加速</v>
      </c>
      <c r="I58" s="1" t="s">
        <v>119</v>
      </c>
      <c r="J58" s="1">
        <f t="shared" si="8"/>
        <v>808382.38905334368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84.016126866225164</v>
      </c>
      <c r="D59" s="1">
        <f>((2*G57+2*G58)+(3/B2)*(E6+B3*B9*2.5)+4*B16)/1.25</f>
        <v>70.309937614128032</v>
      </c>
      <c r="E59" s="1">
        <f>(2*(2*G57+2*G58)+(3/B2)*(E6+B3*B9*2.5)+8*B16)/2</f>
        <v>75.954071017660041</v>
      </c>
      <c r="F59" s="1">
        <f t="shared" si="5"/>
        <v>70.309937614128032</v>
      </c>
      <c r="G59" s="1">
        <f t="shared" si="6"/>
        <v>70.309937614128032</v>
      </c>
      <c r="H59" s="1" t="str">
        <f t="shared" si="7"/>
        <v>增产</v>
      </c>
      <c r="I59" s="1" t="s">
        <v>121</v>
      </c>
      <c r="J59" s="1">
        <f t="shared" si="8"/>
        <v>271634.43245841167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36.872574322295804</v>
      </c>
      <c r="D60" s="1">
        <f>((2*G30+G56+G50)+(2/B2)*(F6+2.5*B3*B9)+4*B16)/1.25</f>
        <v>32.258023258984544</v>
      </c>
      <c r="E60" s="1">
        <f>(2*(2*G30+G56+G50)+(2/B2)*(F6+2.5*B3*B9)+8*B16)/2</f>
        <v>31.940295073730681</v>
      </c>
      <c r="F60" s="1">
        <f t="shared" si="5"/>
        <v>31.940295073730681</v>
      </c>
      <c r="G60" s="1">
        <f t="shared" si="6"/>
        <v>31.940295073730681</v>
      </c>
      <c r="H60" s="1" t="str">
        <f t="shared" si="7"/>
        <v>加速</v>
      </c>
      <c r="I60" s="1" t="s">
        <v>123</v>
      </c>
      <c r="J60" s="1">
        <f t="shared" si="8"/>
        <v>597946.88671200338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95.13380102251655</v>
      </c>
      <c r="D61" s="1">
        <f>((2*G60+2*G50)+(2/B2)*(E6+2.5*B3*B9)+4*B16)/1.25</f>
        <v>78.867004619161136</v>
      </c>
      <c r="E61" s="1">
        <f>(2*(2*G60+2*G50)+(2/B2)*(E6+2.5*B3*B9)+8*B16)/2</f>
        <v>90.628188440618089</v>
      </c>
      <c r="F61" s="1">
        <f t="shared" si="5"/>
        <v>78.867004619161136</v>
      </c>
      <c r="G61" s="1">
        <f t="shared" si="6"/>
        <v>78.867004619161136</v>
      </c>
      <c r="H61" s="1" t="str">
        <f t="shared" si="7"/>
        <v>增产</v>
      </c>
      <c r="I61" s="1" t="s">
        <v>125</v>
      </c>
      <c r="J61" s="1">
        <f t="shared" si="8"/>
        <v>242162.10685602605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46.594520660485657</v>
      </c>
      <c r="D62" s="1">
        <f>((J22+3*G33)+(4/B2)*(E6+B3*B9*2.5)+4*B16)/1.25</f>
        <v>40.709724969536424</v>
      </c>
      <c r="E62" s="1">
        <f>(2*(J22+3*G33)+(4/B2)*(E6+B3*B9*2.5)+8*B16)/2</f>
        <v>34.976021545253857</v>
      </c>
      <c r="F62" s="1">
        <f t="shared" si="5"/>
        <v>34.976021545253857</v>
      </c>
      <c r="G62" s="1">
        <f t="shared" si="6"/>
        <v>34.976021545253857</v>
      </c>
      <c r="H62" s="1" t="str">
        <f t="shared" si="7"/>
        <v>加速</v>
      </c>
      <c r="I62" s="1" t="s">
        <v>235</v>
      </c>
      <c r="J62" s="1">
        <f t="shared" si="8"/>
        <v>546048.38275528862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47.400562375717435</v>
      </c>
      <c r="D63" s="1">
        <f>((J22+2*G39)+(4/B2)*(F6+2.5*B3*B9)+22*B16)/1.25</f>
        <v>50.740744566887415</v>
      </c>
      <c r="E63" s="1">
        <f>(2*(J22+2*G39)+(4/B2)*(F6+2.5*B3*B9)+44*B16)/2</f>
        <v>46.661462708609264</v>
      </c>
      <c r="F63" s="1">
        <f t="shared" si="5"/>
        <v>46.661462708609264</v>
      </c>
      <c r="G63" s="1">
        <f t="shared" si="6"/>
        <v>46.661462708609264</v>
      </c>
      <c r="H63" s="1" t="str">
        <f t="shared" si="7"/>
        <v>加速</v>
      </c>
      <c r="I63" s="1" t="s">
        <v>128</v>
      </c>
      <c r="J63" s="1">
        <f t="shared" si="8"/>
        <v>409301.35686629935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82.376583920971285</v>
      </c>
      <c r="D64" s="1">
        <f>((G62+2*G39)+(4/B2)*(F6+2.5*B3*B9)+18*B16)/1.25</f>
        <v>76.635742641942585</v>
      </c>
      <c r="E64" s="1">
        <f>(2*(G62+2*G39)+(4/B2)*(F6+2.5*B3*B9)+36*B16)/2</f>
        <v>79.03021030242823</v>
      </c>
      <c r="F64" s="1">
        <f t="shared" si="5"/>
        <v>76.635742641942585</v>
      </c>
      <c r="G64" s="1">
        <f t="shared" si="6"/>
        <v>76.635742641942585</v>
      </c>
      <c r="H64" s="1" t="str">
        <f t="shared" si="7"/>
        <v>增产</v>
      </c>
      <c r="I64" s="1" t="s">
        <v>130</v>
      </c>
      <c r="J64" s="1">
        <f t="shared" si="8"/>
        <v>249212.69555946568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183.88216573863133</v>
      </c>
      <c r="D65" s="1">
        <f>((D22+2*G53)+(12/B2)*(E6+2.5*B3*B9)+3*B16)/1.25</f>
        <v>152.714964801766</v>
      </c>
      <c r="E65" s="1">
        <f>(2*(D22+2*G53)+(12/B2)*(E6+2.5*B3*B9)+6*B16)/2</f>
        <v>143.16030200220749</v>
      </c>
      <c r="F65" s="1">
        <f t="shared" si="5"/>
        <v>143.16030200220749</v>
      </c>
      <c r="G65" s="1">
        <f t="shared" si="6"/>
        <v>143.16030200220749</v>
      </c>
      <c r="H65" s="1" t="str">
        <f t="shared" si="7"/>
        <v>加速</v>
      </c>
      <c r="I65" s="1" t="s">
        <v>132</v>
      </c>
      <c r="J65" s="1">
        <f t="shared" si="8"/>
        <v>133407.09493407959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35.622778709050777</v>
      </c>
      <c r="D66" s="1">
        <f>((2*G31)+(4/B2)*(E6+2.5*B3*B9)+12*B16)/1.25</f>
        <v>36.103969730684327</v>
      </c>
      <c r="E66" s="1">
        <f>(2*(2*G31)+(4/B2)*(E6+2.5*B3*B9)+24*B16)/2</f>
        <v>29.218827496688739</v>
      </c>
      <c r="F66" s="1">
        <f t="shared" si="5"/>
        <v>29.218827496688739</v>
      </c>
      <c r="G66" s="1">
        <f t="shared" si="6"/>
        <v>29.218827496688739</v>
      </c>
      <c r="H66" s="1" t="str">
        <f t="shared" si="7"/>
        <v>加速</v>
      </c>
      <c r="I66" s="1" t="s">
        <v>134</v>
      </c>
      <c r="J66" s="1">
        <f t="shared" si="8"/>
        <v>653640.19148832629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210.62044258975715</v>
      </c>
      <c r="D67" s="1">
        <f>((2*G61+2*G31+2*G39)+(4/B2)*(F6+2.5*B3*B9)+6*B16)/1.25</f>
        <v>172.97337209352756</v>
      </c>
      <c r="E67" s="1">
        <f>(2*(2*G61+2*G31+2*G39)+(4/B2)*(F6+2.5*B3*B9)+12*B16)/2</f>
        <v>199.45224711690946</v>
      </c>
      <c r="F67" s="1">
        <f t="shared" si="5"/>
        <v>172.97337209352756</v>
      </c>
      <c r="G67" s="1">
        <f t="shared" si="6"/>
        <v>172.97337209352756</v>
      </c>
      <c r="H67" s="1" t="str">
        <f t="shared" si="7"/>
        <v>增产</v>
      </c>
      <c r="I67" s="1" t="s">
        <v>136</v>
      </c>
      <c r="J67" s="1">
        <f t="shared" si="8"/>
        <v>110413.52648009482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519.37600596909488</v>
      </c>
      <c r="D68" s="1">
        <f>((2*B22+2*G30+10*C22)+(8/F2)*(L6+2.5*F3*B9)+14*B16)/1.25</f>
        <v>467.74414783929359</v>
      </c>
      <c r="E68" s="1">
        <f>(2*(2*B22+2*G30+10*C22)+(8/F2)*(L6+2.5*F3*B9)+28*B16)/2</f>
        <v>328.86458479911698</v>
      </c>
      <c r="F68" s="1">
        <f t="shared" si="5"/>
        <v>328.86458479911698</v>
      </c>
      <c r="G68" s="1">
        <f t="shared" si="6"/>
        <v>328.86458479911698</v>
      </c>
      <c r="H68" s="1" t="str">
        <f t="shared" si="7"/>
        <v>加速</v>
      </c>
      <c r="I68" s="1" t="s">
        <v>138</v>
      </c>
      <c r="J68" s="1">
        <f t="shared" si="8"/>
        <v>58074.359121600617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56.052339320971306</v>
      </c>
      <c r="D69" s="1">
        <f>((2*G54+G57)+(3/B2)*(E6+2.5*B3*B9)+3*B16)/1.25</f>
        <v>47.41745278763797</v>
      </c>
      <c r="E69" s="1">
        <f>(2*(2*G54+G57)+(3/B2)*(E6+2.5*B3*B9)+6*B16)/2</f>
        <v>47.338464984547464</v>
      </c>
      <c r="F69" s="1">
        <f t="shared" si="5"/>
        <v>47.338464984547464</v>
      </c>
      <c r="G69" s="1">
        <f t="shared" si="6"/>
        <v>47.338464984547464</v>
      </c>
      <c r="H69" s="1" t="str">
        <f t="shared" si="7"/>
        <v>加速</v>
      </c>
      <c r="I69" s="1" t="s">
        <v>140</v>
      </c>
      <c r="J69" s="1">
        <f t="shared" si="8"/>
        <v>403447.80943434249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29.683703596909496</v>
      </c>
      <c r="D70" s="1">
        <f>((G57)+(3/B2)*(E6+2.5*B3*B9)+2*B16)/1.25</f>
        <v>25.801089418101547</v>
      </c>
      <c r="E70" s="1">
        <f>(2*(G57)+(3/B2)*(E6+2.5*B3*B9)+4*B16)/2</f>
        <v>20.318010772626931</v>
      </c>
      <c r="F70" s="1">
        <f t="shared" si="5"/>
        <v>20.318010772626931</v>
      </c>
      <c r="G70" s="1">
        <f t="shared" si="6"/>
        <v>20.318010772626931</v>
      </c>
      <c r="H70" s="1" t="str">
        <f t="shared" si="7"/>
        <v>加速</v>
      </c>
      <c r="I70" s="1" t="s">
        <v>142</v>
      </c>
      <c r="J70" s="1">
        <f t="shared" si="8"/>
        <v>939983.75203788362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29.116706246909494</v>
      </c>
      <c r="D71" s="1">
        <f>((G39+E22)+(4/B2)*(E6+2.5*B3*B9)+2*B16)/2.5</f>
        <v>24.488964427814569</v>
      </c>
      <c r="E71" s="1">
        <f>(2*(G39+E22)+(4/B2)*(E6+2.5*B3*B9)+4*B16)/4</f>
        <v>22.655638201434876</v>
      </c>
      <c r="F71" s="1">
        <f t="shared" si="5"/>
        <v>22.655638201434876</v>
      </c>
      <c r="G71" s="1">
        <f t="shared" si="6"/>
        <v>22.655638201434876</v>
      </c>
      <c r="H71" s="1" t="str">
        <f t="shared" si="7"/>
        <v>加速</v>
      </c>
      <c r="I71" s="1" t="s">
        <v>144</v>
      </c>
      <c r="J71" s="1">
        <f t="shared" si="8"/>
        <v>842995.45350218413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56.931559999999998</v>
      </c>
      <c r="D72" s="1" t="s">
        <v>96</v>
      </c>
      <c r="E72" s="1">
        <f>(2*(2*F22)+(2/F2)*(L6+2.5*F3*B9)+4*B16)/4</f>
        <v>32.628768487858721</v>
      </c>
      <c r="F72" s="1">
        <f t="shared" si="5"/>
        <v>32.628768487858721</v>
      </c>
      <c r="G72" s="1">
        <f t="shared" si="6"/>
        <v>32.628768487858721</v>
      </c>
      <c r="H72" s="1" t="str">
        <f t="shared" si="7"/>
        <v>加速</v>
      </c>
      <c r="I72" s="1" t="s">
        <v>146</v>
      </c>
      <c r="J72" s="1">
        <f t="shared" si="8"/>
        <v>585330.09013523313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88.526153151434869</v>
      </c>
      <c r="D73" s="1">
        <f>((2*G40+G35)+(3/D2)*(I6+2.5*D3*B9)+3*B16)/1.25</f>
        <v>73.902112332008826</v>
      </c>
      <c r="E73" s="1">
        <f>(2*(2*G40+G35)+(3/D2)*(I6+2.5*D3*B9)+6*B16)/2</f>
        <v>70.997613915011044</v>
      </c>
      <c r="F73" s="1">
        <f t="shared" si="5"/>
        <v>70.997613915011044</v>
      </c>
      <c r="G73" s="1">
        <f t="shared" si="6"/>
        <v>70.997613915011044</v>
      </c>
      <c r="H73" s="1" t="str">
        <f t="shared" si="7"/>
        <v>加速</v>
      </c>
      <c r="I73" s="1" t="s">
        <v>148</v>
      </c>
      <c r="J73" s="1">
        <f t="shared" si="8"/>
        <v>269003.40654915979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173.72086963002207</v>
      </c>
      <c r="D74" s="1">
        <f>((2*G41+2*I22+G73)+(8/B2)*(F6+2.5*B3*B9)+5*B16)/1.25</f>
        <v>144.28054821545254</v>
      </c>
      <c r="E74" s="1">
        <f>(2*(2*G41+2*I22+G73)+(8/B2)*(F6+2.5*B3*B9)+10*B16)/2</f>
        <v>146.82174926931566</v>
      </c>
      <c r="F74" s="1">
        <f t="shared" si="5"/>
        <v>144.28054821545254</v>
      </c>
      <c r="G74" s="1">
        <f t="shared" si="6"/>
        <v>144.28054821545254</v>
      </c>
      <c r="H74" s="1" t="str">
        <f t="shared" si="7"/>
        <v>增产</v>
      </c>
      <c r="I74" s="1" t="s">
        <v>150</v>
      </c>
      <c r="J74" s="1">
        <f t="shared" si="8"/>
        <v>132371.27413378187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41.653357269646797</v>
      </c>
      <c r="D75" s="1">
        <f>((3*G39+G33)+(4/D2)*(I6+2.5*D3*B9)+4*B16)/2.5</f>
        <v>35.376812356291381</v>
      </c>
      <c r="E75" s="1">
        <f>((3*G39+G33)+(2/D2)*(I6+2.5*D3*B9)+4*B16)/2</f>
        <v>29.967664445364235</v>
      </c>
      <c r="F75" s="1">
        <f t="shared" si="5"/>
        <v>29.967664445364235</v>
      </c>
      <c r="G75" s="1">
        <f t="shared" si="6"/>
        <v>29.967664445364235</v>
      </c>
      <c r="H75" s="1" t="str">
        <f t="shared" si="7"/>
        <v>加速</v>
      </c>
      <c r="I75" s="1" t="s">
        <v>152</v>
      </c>
      <c r="J75" s="1">
        <f t="shared" si="8"/>
        <v>637306.92242699629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13.00765817571744</v>
      </c>
      <c r="D76" s="1">
        <f>((G35)+2*(B6+2.5*C3*B9)/C2+B16)/1.25</f>
        <v>11.601725970860928</v>
      </c>
      <c r="E76" s="1">
        <f>((G35)+1*(B6+2.5*C3*B9)/C2+B16)/1</f>
        <v>10.31992346357616</v>
      </c>
      <c r="F76" s="1">
        <f t="shared" si="5"/>
        <v>10.31992346357616</v>
      </c>
      <c r="G76" s="1">
        <f t="shared" si="6"/>
        <v>10.31992346357616</v>
      </c>
      <c r="H76" s="1" t="str">
        <f t="shared" si="7"/>
        <v>加速</v>
      </c>
      <c r="I76" s="1" t="s">
        <v>227</v>
      </c>
      <c r="J76" s="1">
        <f t="shared" si="8"/>
        <v>1850653.2599207638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13.00765817571744</v>
      </c>
      <c r="D77" s="1">
        <f>((G32)+2*(B6+2.5*C3*B9)/C2+B16)/1.25</f>
        <v>11.601725970860928</v>
      </c>
      <c r="E77" s="1">
        <f>((G32)+1*(B6+2.5*C3*B9)/C2+B16)/1</f>
        <v>10.31992346357616</v>
      </c>
      <c r="F77" s="1">
        <f t="shared" si="5"/>
        <v>10.31992346357616</v>
      </c>
      <c r="G77" s="1">
        <f t="shared" si="6"/>
        <v>10.31992346357616</v>
      </c>
      <c r="H77" s="1" t="str">
        <f t="shared" si="7"/>
        <v>加速</v>
      </c>
      <c r="I77" s="1" t="s">
        <v>228</v>
      </c>
      <c r="J77" s="1">
        <f t="shared" si="8"/>
        <v>1850653.2599207638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244.81140071788082</v>
      </c>
      <c r="D78" s="1">
        <f>((2*G73+F40)+(6/D2)*(I6+D3*B9)+4*B16)/1.25</f>
        <v>197.93493973545256</v>
      </c>
      <c r="E78" s="1">
        <f>((2*G73+F40)+(3/D2)*(I6+D3*B9)+4*B16)/1</f>
        <v>206.5546534693157</v>
      </c>
      <c r="F78" s="1">
        <f t="shared" si="5"/>
        <v>197.93493973545256</v>
      </c>
      <c r="G78" s="1">
        <f t="shared" si="6"/>
        <v>197.93493973545256</v>
      </c>
      <c r="H78" s="1" t="str">
        <f t="shared" si="7"/>
        <v>增产</v>
      </c>
      <c r="I78" s="1" t="s">
        <v>236</v>
      </c>
      <c r="J78" s="1">
        <f t="shared" si="8"/>
        <v>96489.280899703677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198.46804297761588</v>
      </c>
      <c r="D91" s="1">
        <f>((2*G61+3*G42+G35)+(3/B2)*(F6+2.5*B3*B9)+6*B16)/1.25</f>
        <v>162.91438008381456</v>
      </c>
      <c r="E91" s="1">
        <f>(2*(2*G61+3*G42+G35)+(3/B2)*(F6+2.5*B3*B9)+12*B16)/2</f>
        <v>191.0696241047682</v>
      </c>
      <c r="F91" s="1">
        <f t="shared" ref="F91:F106" si="9">MIN(C91:E91)</f>
        <v>162.91438008381456</v>
      </c>
      <c r="G91" s="1">
        <f t="shared" ref="G91:G106" si="10">F91</f>
        <v>162.91438008381456</v>
      </c>
      <c r="H91" s="1" t="str">
        <f t="shared" ref="H91:H106" si="11">IF(C91=G91,"不使用增产剂","")&amp;IF(D91=G91,"增产","")&amp;IF(E91=G91,"加速","")</f>
        <v>增产</v>
      </c>
      <c r="I91" s="1" t="s">
        <v>155</v>
      </c>
      <c r="J91" s="1">
        <f t="shared" ref="J91:J106" si="12">60*318310/G91</f>
        <v>117230.90368188704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381.64693437483442</v>
      </c>
      <c r="D92" s="1">
        <f>((4*H22+G68)+(6/B2)*(E6+2.5*B3*B9)+5*B16)/1.25</f>
        <v>309.94725537130245</v>
      </c>
      <c r="E92" s="1">
        <f>(2*(4*H22+G68)+(6/B2)*(E6+2.5*B3*B9)+10*B16)/2</f>
        <v>363.56736721412801</v>
      </c>
      <c r="F92" s="1">
        <f t="shared" si="9"/>
        <v>309.94725537130245</v>
      </c>
      <c r="G92" s="1">
        <f t="shared" si="10"/>
        <v>309.94725537130245</v>
      </c>
      <c r="H92" s="1" t="str">
        <f t="shared" si="11"/>
        <v>增产</v>
      </c>
      <c r="I92" s="1" t="s">
        <v>157</v>
      </c>
      <c r="J92" s="1">
        <f t="shared" si="12"/>
        <v>61618.871175744927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472.14584083267101</v>
      </c>
      <c r="D93" s="1">
        <f>((2*G59+2*G65)+(6/B2)*(E6+2.5*B3*B9)+4*B16)/1.25</f>
        <v>381.82492574728474</v>
      </c>
      <c r="E93" s="1">
        <f>(2*(2*G59+2*G65)+(6/B2)*(E6+2.5*B3*B9)+8*B16)/2</f>
        <v>453.41445518410586</v>
      </c>
      <c r="F93" s="1">
        <f t="shared" si="9"/>
        <v>381.82492574728474</v>
      </c>
      <c r="G93" s="1">
        <f t="shared" si="10"/>
        <v>381.82492574728474</v>
      </c>
      <c r="H93" s="1" t="str">
        <f t="shared" si="11"/>
        <v>增产</v>
      </c>
      <c r="I93" s="1" t="s">
        <v>159</v>
      </c>
      <c r="J93" s="1">
        <f t="shared" si="12"/>
        <v>50019.259383397693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149.20442631346577</v>
      </c>
      <c r="D94" s="1">
        <f>((4*G41+G52+G32)+(6/B2)*(F6+2.5*B3*B9)+6*B16)/1.25</f>
        <v>124.51470371249448</v>
      </c>
      <c r="E94" s="1">
        <f>(2*(4*G41+G52+G32)+(6/B2)*(F6+2.5*B3*B9)+12*B16)/2</f>
        <v>130.49667764061809</v>
      </c>
      <c r="F94" s="1">
        <f t="shared" si="9"/>
        <v>124.51470371249448</v>
      </c>
      <c r="G94" s="1">
        <f t="shared" si="10"/>
        <v>124.51470371249448</v>
      </c>
      <c r="H94" s="1" t="str">
        <f t="shared" si="11"/>
        <v>增产</v>
      </c>
      <c r="I94" s="1" t="s">
        <v>161</v>
      </c>
      <c r="J94" s="1">
        <f t="shared" si="12"/>
        <v>153384.2946299646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716.12798738417223</v>
      </c>
      <c r="D95" s="1">
        <f>((3*G94+3*G71+3*G59)+(8/B2)*(F6+2.5*B3*B9)+9*B16)/1.25</f>
        <v>580.29206157992053</v>
      </c>
      <c r="E95" s="1">
        <f>(2*(3*G94+3*G71+3*G59)+(8/B2)*(F6+2.5*B3*B9)+18*B16)/2</f>
        <v>691.83614097490067</v>
      </c>
      <c r="F95" s="1">
        <f t="shared" si="9"/>
        <v>580.29206157992053</v>
      </c>
      <c r="G95" s="1">
        <f t="shared" si="10"/>
        <v>580.29206157992053</v>
      </c>
      <c r="H95" s="1" t="str">
        <f t="shared" si="11"/>
        <v>增产</v>
      </c>
      <c r="I95" s="1" t="s">
        <v>163</v>
      </c>
      <c r="J95" s="1">
        <f t="shared" si="12"/>
        <v>32912.047681647724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250.21330377748347</v>
      </c>
      <c r="D96" s="1">
        <f>((B22+G59)+(20/B2)*(E6+2.5*B3*B9)+2*B16)/1.25</f>
        <v>207.95499900256067</v>
      </c>
      <c r="E96" s="1">
        <f>(2*(B22+G59)+(20/B2)*(E6+2.5*B3*B9)+4*B16)/2</f>
        <v>180.38807541986756</v>
      </c>
      <c r="F96" s="1">
        <f t="shared" si="9"/>
        <v>180.38807541986756</v>
      </c>
      <c r="G96" s="1">
        <f t="shared" si="10"/>
        <v>180.38807541986756</v>
      </c>
      <c r="H96" s="1" t="str">
        <f t="shared" si="11"/>
        <v>加速</v>
      </c>
      <c r="I96" s="1" t="s">
        <v>165</v>
      </c>
      <c r="J96" s="1">
        <f t="shared" si="12"/>
        <v>105875.06937776509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46.433361771381897</v>
      </c>
      <c r="D97" s="1">
        <f>(G114+(10/B2)*(D6+2.5*B3*B9)+B16)/10</f>
        <v>37.633211665891395</v>
      </c>
      <c r="E97" s="1">
        <f>(2*G114+(10/B2)*(D6+2.5*B3*B9)+2*B16)/16</f>
        <v>42.069284999030906</v>
      </c>
      <c r="F97" s="1">
        <f t="shared" si="9"/>
        <v>37.633211665891395</v>
      </c>
      <c r="G97" s="1">
        <f t="shared" si="10"/>
        <v>37.633211665891395</v>
      </c>
      <c r="H97" s="1" t="str">
        <f t="shared" si="11"/>
        <v>增产</v>
      </c>
      <c r="I97" s="1" t="s">
        <v>167</v>
      </c>
      <c r="J97" s="1">
        <f t="shared" si="12"/>
        <v>507493.22618430376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2466.3339965746504</v>
      </c>
      <c r="D98" s="1">
        <f>((2*G95+4*G103+2*G93)+(6/B2)*(F6+2.5*B3*B9)+8*B16)/1.25</f>
        <v>1979.2612695020166</v>
      </c>
      <c r="E98" s="1">
        <f>(2*(2*G95+4*G103+2*G93)+(6/B2)*(F6+2.5*B3*B9)+16*B16)/2</f>
        <v>2448.9298848775206</v>
      </c>
      <c r="F98" s="1">
        <f t="shared" si="9"/>
        <v>1979.2612695020166</v>
      </c>
      <c r="G98" s="1">
        <f t="shared" si="10"/>
        <v>1979.2612695020166</v>
      </c>
      <c r="H98" s="1" t="str">
        <f t="shared" si="11"/>
        <v>增产</v>
      </c>
      <c r="I98" s="1" t="s">
        <v>169</v>
      </c>
      <c r="J98" s="1">
        <f t="shared" si="12"/>
        <v>9649.3577145604522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3.7671134666666668</v>
      </c>
      <c r="D99" s="1">
        <f>((0.5/B2)*(D6+2.5*B3*B9)+B16)/1.25</f>
        <v>3.703681723620309</v>
      </c>
      <c r="E99" s="1">
        <f>((0.5/B2)*(D6+2.5*B3*B9)+2*B16)/2</f>
        <v>2.6407103211920528</v>
      </c>
      <c r="F99" s="1">
        <f t="shared" si="9"/>
        <v>2.6407103211920528</v>
      </c>
      <c r="G99" s="1">
        <f t="shared" si="10"/>
        <v>2.6407103211920528</v>
      </c>
      <c r="H99" s="1" t="str">
        <f t="shared" si="11"/>
        <v>加速</v>
      </c>
      <c r="I99" s="1" t="s">
        <v>171</v>
      </c>
      <c r="J99" s="1">
        <f t="shared" si="12"/>
        <v>7232372.2320964877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14.709894569646799</v>
      </c>
      <c r="D100" s="1">
        <f>((2*G99+H22)+(1/B2)*(E6+2.5*B3*B9)+3*B16)/1.25</f>
        <v>13.669352346578364</v>
      </c>
      <c r="E100" s="1">
        <f>(2*(2*G99+H22)+(1/B2)*(E6+2.5*B3*B9)+6*B16)/2</f>
        <v>13.108906766556292</v>
      </c>
      <c r="F100" s="1">
        <f t="shared" si="9"/>
        <v>13.108906766556292</v>
      </c>
      <c r="G100" s="1">
        <f t="shared" si="10"/>
        <v>13.108906766556292</v>
      </c>
      <c r="H100" s="1" t="str">
        <f t="shared" si="11"/>
        <v>加速</v>
      </c>
      <c r="I100" s="1" t="s">
        <v>173</v>
      </c>
      <c r="J100" s="1">
        <f t="shared" si="12"/>
        <v>1456917.8299997323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57.495073863355408</v>
      </c>
      <c r="D101" s="1">
        <f>((2*G100+G22)+(2/B2)*(E6+2.5*B3*B9)+3*B16)/1.25</f>
        <v>48.234568101545257</v>
      </c>
      <c r="E101" s="1">
        <f>(2*(2*G100+G22)+(2/B2)*(E6+2.5*B3*B9)+6*B16)/2</f>
        <v>52.337642793598235</v>
      </c>
      <c r="F101" s="1">
        <f t="shared" si="9"/>
        <v>48.234568101545257</v>
      </c>
      <c r="G101" s="1">
        <f t="shared" si="10"/>
        <v>48.234568101545257</v>
      </c>
      <c r="H101" s="1" t="str">
        <f t="shared" si="11"/>
        <v>增产</v>
      </c>
      <c r="I101" s="1" t="s">
        <v>40</v>
      </c>
      <c r="J101" s="1">
        <f t="shared" si="12"/>
        <v>395952.54506670189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25.345616287858721</v>
      </c>
      <c r="D102" s="1">
        <f>(G33+(6/B2)*(E6+2.5*B3*B9)+11*B16)/2.5</f>
        <v>24.155711336865345</v>
      </c>
      <c r="E102" s="1">
        <f>(2*G33+(6/B2)*(E6+2.5*B3*B9)+22*B16)/4</f>
        <v>18.261288171081677</v>
      </c>
      <c r="F102" s="1">
        <f t="shared" si="9"/>
        <v>18.261288171081677</v>
      </c>
      <c r="G102" s="1">
        <f t="shared" si="10"/>
        <v>18.261288171081677</v>
      </c>
      <c r="H102" s="1" t="str">
        <f t="shared" si="11"/>
        <v>加速</v>
      </c>
      <c r="I102" s="1" t="s">
        <v>176</v>
      </c>
      <c r="J102" s="1">
        <f t="shared" si="12"/>
        <v>1045851.7395418072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144.78153558362914</v>
      </c>
      <c r="D103" s="1">
        <f>((G52+20*C22+G91)+(12/B2)*(F6+2.5*B3*B9)+22*B16)/2.5</f>
        <v>123.58366508006004</v>
      </c>
      <c r="E103" s="1">
        <f>(2*(G52+20*C22+G91)+(12/B2)*(F6+2.5*B3*B9)+44*B16)/4</f>
        <v>129.33287935007505</v>
      </c>
      <c r="F103" s="1">
        <f t="shared" si="9"/>
        <v>123.58366508006004</v>
      </c>
      <c r="G103" s="1">
        <f t="shared" si="10"/>
        <v>123.58366508006004</v>
      </c>
      <c r="H103" s="1" t="str">
        <f t="shared" si="11"/>
        <v>增产</v>
      </c>
      <c r="I103" s="1" t="s">
        <v>178</v>
      </c>
      <c r="J103" s="1">
        <f t="shared" si="12"/>
        <v>154539.84139107328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397.05635577880798</v>
      </c>
      <c r="D104" s="1" t="s">
        <v>96</v>
      </c>
      <c r="E104" s="1">
        <f>(2*(12*G72+G96+G52)+(24/B2)*(G6+2.5*B3*B9)+52*B16)/4</f>
        <v>360.29267692097136</v>
      </c>
      <c r="F104" s="1">
        <f t="shared" si="9"/>
        <v>360.29267692097136</v>
      </c>
      <c r="G104" s="1">
        <f t="shared" si="10"/>
        <v>360.29267692097136</v>
      </c>
      <c r="H104" s="1" t="str">
        <f t="shared" si="11"/>
        <v>加速</v>
      </c>
      <c r="I104" s="1" t="s">
        <v>180</v>
      </c>
      <c r="J104" s="1">
        <f t="shared" si="12"/>
        <v>53008.571151695083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71.280940051214131</v>
      </c>
      <c r="D105" s="1">
        <f>((2*G51+3*G31)+(4/B2)*(E6+2.5*B3*B9)+5*B16)/1.25</f>
        <v>60.980315272406187</v>
      </c>
      <c r="E105" s="1">
        <f>(2*(2*G51+3*G31)+(4/B2)*(E6+2.5*B3*B9)+10*B16)/2</f>
        <v>60.314259423841065</v>
      </c>
      <c r="F105" s="1">
        <f t="shared" si="9"/>
        <v>60.314259423841065</v>
      </c>
      <c r="G105" s="1">
        <f t="shared" si="10"/>
        <v>60.314259423841065</v>
      </c>
      <c r="H105" s="1" t="str">
        <f t="shared" si="11"/>
        <v>加速</v>
      </c>
      <c r="I105" s="1" t="s">
        <v>182</v>
      </c>
      <c r="J105" s="1">
        <f t="shared" si="12"/>
        <v>316651.48809653946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595.13022411302427</v>
      </c>
      <c r="D106" s="1">
        <f>((5*G52+5*G61)+(6/B2)*(E6+2.5*B3*B9)+10*B16)/1.25</f>
        <v>483.3411611132891</v>
      </c>
      <c r="E106" s="1">
        <f>(2*(5*G52+5*G61)+(6/B2)*(E6+2.5*B3*B9)+20*B16)/2</f>
        <v>580.30974939161149</v>
      </c>
      <c r="F106" s="1">
        <f t="shared" si="9"/>
        <v>483.3411611132891</v>
      </c>
      <c r="G106" s="1">
        <f t="shared" si="10"/>
        <v>483.3411611132891</v>
      </c>
      <c r="H106" s="1" t="str">
        <f t="shared" si="11"/>
        <v>增产</v>
      </c>
      <c r="I106" s="1" t="s">
        <v>184</v>
      </c>
      <c r="J106" s="1">
        <f t="shared" si="12"/>
        <v>39513.704887061183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20.235188501103757</v>
      </c>
      <c r="D110" s="1">
        <f>((G50+G57)+(3/G2)*(P6+2.5*G3*B9)+2*B16)/1.25</f>
        <v>17.905205021456958</v>
      </c>
      <c r="E110" s="1">
        <f>(2*(G50+G57)+(3/G2)*(P6+2.5*G3*B9)+4*B16)/2</f>
        <v>19.429272276821195</v>
      </c>
      <c r="F110" s="1">
        <f t="shared" ref="F110:F115" si="13">MIN(C110:E110)</f>
        <v>17.905205021456958</v>
      </c>
      <c r="G110" s="1">
        <f t="shared" ref="G110:G115" si="14">F110</f>
        <v>17.905205021456958</v>
      </c>
      <c r="H110" s="1" t="str">
        <f t="shared" ref="H110:H115" si="15">IF(C110=G110,"不使用增产剂","")&amp;IF(D110=G110,"增产","")&amp;IF(E110=G110,"加速","")</f>
        <v>增产</v>
      </c>
      <c r="I110" s="1" t="s">
        <v>187</v>
      </c>
      <c r="J110" s="1">
        <f t="shared" ref="J110:J115" si="16">60*318310/G110</f>
        <v>1066650.7296125859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21.095316351434882</v>
      </c>
      <c r="D111" s="1">
        <f>((2*G35)+(6/G2)*(P6+2.5*G3*B9)+4*B16)/1.25</f>
        <v>20.310361522295807</v>
      </c>
      <c r="E111" s="1">
        <f>(2*(2*G35)+(6/G2)*(P6+2.5*G3*B9)+8*B16)/2</f>
        <v>19.483483902869757</v>
      </c>
      <c r="F111" s="1">
        <f t="shared" si="13"/>
        <v>19.483483902869757</v>
      </c>
      <c r="G111" s="1">
        <f t="shared" si="14"/>
        <v>19.483483902869757</v>
      </c>
      <c r="H111" s="1" t="str">
        <f t="shared" si="15"/>
        <v>加速</v>
      </c>
      <c r="I111" s="1" t="s">
        <v>189</v>
      </c>
      <c r="J111" s="1">
        <f t="shared" si="16"/>
        <v>980245.63241417683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50.368367739183213</v>
      </c>
      <c r="D112" s="1">
        <f>((H22+G62)+(8/G2)*(P6+2.5*G3*B9)+2*B16)/1.25</f>
        <v>43.135322811920524</v>
      </c>
      <c r="E112" s="1">
        <f>(2*(H22+G62)+(8/G2)*(P6+2.5*G3*B9)+4*B16)/2</f>
        <v>46.046529514900655</v>
      </c>
      <c r="F112" s="1">
        <f t="shared" si="13"/>
        <v>43.135322811920524</v>
      </c>
      <c r="G112" s="1">
        <f t="shared" si="14"/>
        <v>43.135322811920524</v>
      </c>
      <c r="H112" s="1" t="str">
        <f t="shared" si="15"/>
        <v>增产</v>
      </c>
      <c r="I112" s="1" t="s">
        <v>191</v>
      </c>
      <c r="J112" s="1">
        <f t="shared" si="16"/>
        <v>442760.10366896034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301.77304744370861</v>
      </c>
      <c r="D113" s="1">
        <f>((2*G59+G74)+(10/G2)*(P6+2.5*G3*B9)+3*B16)/1.25</f>
        <v>245.22995112582785</v>
      </c>
      <c r="E113" s="1">
        <f>(2*(2*G59+G74)+(10/G2)*(P6+2.5*G3*B9)+6*B16)/2</f>
        <v>296.69665890728481</v>
      </c>
      <c r="F113" s="1">
        <f t="shared" si="13"/>
        <v>245.22995112582785</v>
      </c>
      <c r="G113" s="1">
        <f t="shared" si="14"/>
        <v>245.22995112582785</v>
      </c>
      <c r="H113" s="1" t="str">
        <f t="shared" si="15"/>
        <v>增产</v>
      </c>
      <c r="I113" s="1" t="s">
        <v>193</v>
      </c>
      <c r="J113" s="1">
        <f t="shared" si="16"/>
        <v>77880.372737180383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366.13323935929361</v>
      </c>
      <c r="D114" s="1">
        <f>((G93+G92)+(24/G2)*(P6+2.5*G3*B9)+2*B16)/2.5</f>
        <v>296.12462483772185</v>
      </c>
      <c r="E114" s="1">
        <f>(2*(G93+G92)+(24/G2)*(P6+2.5*G3*B9)+4*B16)/4</f>
        <v>358.34684504715239</v>
      </c>
      <c r="F114" s="1">
        <f t="shared" si="13"/>
        <v>296.12462483772185</v>
      </c>
      <c r="G114" s="1">
        <f t="shared" si="14"/>
        <v>296.12462483772185</v>
      </c>
      <c r="H114" s="1" t="str">
        <f t="shared" si="15"/>
        <v>增产</v>
      </c>
      <c r="I114" s="1" t="s">
        <v>195</v>
      </c>
      <c r="J114" s="1">
        <f t="shared" si="16"/>
        <v>64495.142916487115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679.81629218765568</v>
      </c>
      <c r="D115" s="1">
        <f>((G110+G111+G112+G113+G114+G72)+(15/G2)*(Q6+2.5*G3*B9)+6*B16)/1.25</f>
        <v>550.35248569184637</v>
      </c>
      <c r="E115" s="1">
        <f>(2*(G110+G111+G112+G113+G114+G72)+(15/G2)*(Q6+2.5*G3*B9)+12*B16)/2</f>
        <v>673.17943711480802</v>
      </c>
      <c r="F115" s="1">
        <f t="shared" si="13"/>
        <v>550.35248569184637</v>
      </c>
      <c r="G115" s="1">
        <f t="shared" si="14"/>
        <v>550.35248569184637</v>
      </c>
      <c r="H115" s="1" t="str">
        <f t="shared" si="15"/>
        <v>增产</v>
      </c>
      <c r="I115" s="1" t="s">
        <v>197</v>
      </c>
      <c r="J115" s="1">
        <f t="shared" si="16"/>
        <v>34702.487036087812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179" priority="34" operator="equal">
      <formula>"不使用增产剂"</formula>
    </cfRule>
    <cfRule type="cellIs" dxfId="178" priority="35" operator="equal">
      <formula>"加速"</formula>
    </cfRule>
    <cfRule type="cellIs" dxfId="177" priority="36" operator="equal">
      <formula>"增产"</formula>
    </cfRule>
  </conditionalFormatting>
  <conditionalFormatting sqref="A49:F49">
    <cfRule type="cellIs" dxfId="176" priority="31" operator="equal">
      <formula>"不使用增产剂"</formula>
    </cfRule>
    <cfRule type="cellIs" dxfId="175" priority="32" operator="equal">
      <formula>"加速"</formula>
    </cfRule>
    <cfRule type="cellIs" dxfId="174" priority="33" operator="equal">
      <formula>"增产"</formula>
    </cfRule>
  </conditionalFormatting>
  <conditionalFormatting sqref="A90:F90">
    <cfRule type="cellIs" dxfId="173" priority="28" operator="equal">
      <formula>"不使用增产剂"</formula>
    </cfRule>
    <cfRule type="cellIs" dxfId="172" priority="29" operator="equal">
      <formula>"加速"</formula>
    </cfRule>
    <cfRule type="cellIs" dxfId="171" priority="30" operator="equal">
      <formula>"增产"</formula>
    </cfRule>
  </conditionalFormatting>
  <conditionalFormatting sqref="A109:F109">
    <cfRule type="cellIs" dxfId="170" priority="25" operator="equal">
      <formula>"不使用增产剂"</formula>
    </cfRule>
    <cfRule type="cellIs" dxfId="169" priority="26" operator="equal">
      <formula>"加速"</formula>
    </cfRule>
    <cfRule type="cellIs" dxfId="168" priority="27" operator="equal">
      <formula>"增产"</formula>
    </cfRule>
  </conditionalFormatting>
  <conditionalFormatting sqref="I30:I45">
    <cfRule type="cellIs" dxfId="167" priority="22" operator="equal">
      <formula>"不使用增产剂"</formula>
    </cfRule>
    <cfRule type="cellIs" dxfId="166" priority="23" operator="equal">
      <formula>"加速"</formula>
    </cfRule>
    <cfRule type="cellIs" dxfId="165" priority="24" operator="equal">
      <formula>"增产"</formula>
    </cfRule>
  </conditionalFormatting>
  <conditionalFormatting sqref="I50:I74">
    <cfRule type="cellIs" dxfId="164" priority="19" operator="equal">
      <formula>"不使用增产剂"</formula>
    </cfRule>
    <cfRule type="cellIs" dxfId="163" priority="20" operator="equal">
      <formula>"加速"</formula>
    </cfRule>
    <cfRule type="cellIs" dxfId="162" priority="21" operator="equal">
      <formula>"增产"</formula>
    </cfRule>
  </conditionalFormatting>
  <conditionalFormatting sqref="I91:I106">
    <cfRule type="cellIs" dxfId="161" priority="16" operator="equal">
      <formula>"不使用增产剂"</formula>
    </cfRule>
    <cfRule type="cellIs" dxfId="160" priority="17" operator="equal">
      <formula>"加速"</formula>
    </cfRule>
    <cfRule type="cellIs" dxfId="159" priority="18" operator="equal">
      <formula>"增产"</formula>
    </cfRule>
  </conditionalFormatting>
  <conditionalFormatting sqref="I110:I115">
    <cfRule type="cellIs" dxfId="158" priority="13" operator="equal">
      <formula>"不使用增产剂"</formula>
    </cfRule>
    <cfRule type="cellIs" dxfId="157" priority="14" operator="equal">
      <formula>"加速"</formula>
    </cfRule>
    <cfRule type="cellIs" dxfId="156" priority="15" operator="equal">
      <formula>"增产"</formula>
    </cfRule>
  </conditionalFormatting>
  <conditionalFormatting sqref="A75">
    <cfRule type="cellIs" dxfId="155" priority="10" operator="equal">
      <formula>"不使用增产剂"</formula>
    </cfRule>
    <cfRule type="cellIs" dxfId="154" priority="11" operator="equal">
      <formula>"加速"</formula>
    </cfRule>
    <cfRule type="cellIs" dxfId="153" priority="12" operator="equal">
      <formula>"增产"</formula>
    </cfRule>
  </conditionalFormatting>
  <conditionalFormatting sqref="I75">
    <cfRule type="cellIs" dxfId="152" priority="7" operator="equal">
      <formula>"不使用增产剂"</formula>
    </cfRule>
    <cfRule type="cellIs" dxfId="151" priority="8" operator="equal">
      <formula>"加速"</formula>
    </cfRule>
    <cfRule type="cellIs" dxfId="150" priority="9" operator="equal">
      <formula>"增产"</formula>
    </cfRule>
  </conditionalFormatting>
  <conditionalFormatting sqref="A77">
    <cfRule type="cellIs" dxfId="149" priority="4" operator="equal">
      <formula>"不使用增产剂"</formula>
    </cfRule>
    <cfRule type="cellIs" dxfId="148" priority="5" operator="equal">
      <formula>"加速"</formula>
    </cfRule>
    <cfRule type="cellIs" dxfId="147" priority="6" operator="equal">
      <formula>"增产"</formula>
    </cfRule>
  </conditionalFormatting>
  <conditionalFormatting sqref="I77">
    <cfRule type="cellIs" dxfId="146" priority="1" operator="equal">
      <formula>"不使用增产剂"</formula>
    </cfRule>
    <cfRule type="cellIs" dxfId="145" priority="2" operator="equal">
      <formula>"加速"</formula>
    </cfRule>
    <cfRule type="cellIs" dxfId="144" priority="3" operator="equal">
      <formula>"增产"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EA3A-EFDA-42DD-8F65-17001B066866}">
  <dimension ref="A1:U115"/>
  <sheetViews>
    <sheetView tabSelected="1" topLeftCell="A52" zoomScaleNormal="100" workbookViewId="0">
      <selection activeCell="F82" sqref="F82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6.12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199</v>
      </c>
      <c r="B6" s="1">
        <v>10.5</v>
      </c>
      <c r="C6" s="1">
        <v>12</v>
      </c>
      <c r="D6" s="1">
        <v>16</v>
      </c>
      <c r="E6" s="1">
        <v>16</v>
      </c>
      <c r="F6" s="1">
        <v>16</v>
      </c>
      <c r="G6" s="1">
        <v>16</v>
      </c>
      <c r="H6" s="1">
        <v>35</v>
      </c>
      <c r="I6" s="1">
        <v>35</v>
      </c>
      <c r="J6" s="1">
        <v>55</v>
      </c>
      <c r="K6" s="1">
        <v>55</v>
      </c>
      <c r="L6" s="1">
        <v>55</v>
      </c>
      <c r="M6" s="1">
        <v>21</v>
      </c>
      <c r="N6" s="1">
        <v>21</v>
      </c>
      <c r="O6" s="1">
        <v>30</v>
      </c>
      <c r="P6" s="1">
        <v>30</v>
      </c>
      <c r="Q6" s="1">
        <v>38.5</v>
      </c>
      <c r="R6" s="1">
        <v>60</v>
      </c>
      <c r="S6" s="1">
        <v>63.92</v>
      </c>
      <c r="T6" s="1">
        <v>24</v>
      </c>
      <c r="U6" s="1">
        <v>12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0.47896</v>
      </c>
      <c r="C9" s="1">
        <f>(F104+F101/74+50*R6)/7200</f>
        <v>0.478963807836154</v>
      </c>
      <c r="D9" s="1">
        <f>50*R6/7200</f>
        <v>0.41666666666666669</v>
      </c>
      <c r="E9" s="1">
        <v>0.41666700000000001</v>
      </c>
      <c r="F9" s="1">
        <v>0.47803776394065556</v>
      </c>
      <c r="G9" s="1">
        <v>0.47803776394065556</v>
      </c>
      <c r="H9" s="1">
        <v>0.47911432324702535</v>
      </c>
      <c r="I9" s="1">
        <f>(H9-G9)/(1-(F9-H9)/(E9-G9))+G9</f>
        <v>0.47913354532561753</v>
      </c>
    </row>
    <row r="10" spans="1:21" x14ac:dyDescent="0.2">
      <c r="A10" s="1" t="s">
        <v>36</v>
      </c>
      <c r="C10" s="1">
        <f>(F104+100*R6)/7200</f>
        <v>0.89550263699975474</v>
      </c>
      <c r="D10" s="1">
        <f>100*R6/7200</f>
        <v>0.83333333333333337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0.92043002207505531</v>
      </c>
      <c r="C16" s="1">
        <f>F101/74</f>
        <v>0.9204300220750552</v>
      </c>
      <c r="D16" s="1">
        <v>0.92040618101545257</v>
      </c>
      <c r="E16" s="1">
        <v>0.92042564047491204</v>
      </c>
      <c r="F16" s="1">
        <v>0.92042564047491204</v>
      </c>
      <c r="G16" s="1">
        <v>0.92042921680800194</v>
      </c>
      <c r="H16" s="1">
        <f>(G16-F16)/(1-(E16-G16)/(D16-F16))+F16</f>
        <v>0.92043002207505531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244.95419693831349</v>
      </c>
      <c r="C20" s="1">
        <f>G43</f>
        <v>13.474135908612372</v>
      </c>
      <c r="D20" s="1">
        <f>G64</f>
        <v>107.13219572980134</v>
      </c>
      <c r="E20" s="1">
        <f>G69</f>
        <v>68.43111566445917</v>
      </c>
      <c r="F20" s="1">
        <f>10*S6</f>
        <v>639.20000000000005</v>
      </c>
      <c r="G20" s="1">
        <f>G75</f>
        <v>40.086085099337758</v>
      </c>
      <c r="H20" s="1">
        <f>G76</f>
        <v>14.985546066225167</v>
      </c>
      <c r="I20" s="1">
        <f>G77</f>
        <v>14.985546066225167</v>
      </c>
      <c r="J20" s="1">
        <f>G78</f>
        <v>243.95454657554086</v>
      </c>
    </row>
    <row r="21" spans="1:11" x14ac:dyDescent="0.2">
      <c r="A21" s="1" t="s">
        <v>52</v>
      </c>
      <c r="B21" s="1">
        <f>G66</f>
        <v>42.055737642384109</v>
      </c>
      <c r="C21" s="1">
        <f>G44</f>
        <v>19.183060044150107</v>
      </c>
      <c r="D21" s="1">
        <f>G63</f>
        <v>63.941101863134662</v>
      </c>
      <c r="E21" s="1">
        <f>G70</f>
        <v>29.361636777041944</v>
      </c>
      <c r="F21" s="1">
        <f>G45</f>
        <v>161.36120063773365</v>
      </c>
      <c r="G21" s="1">
        <f>G41</f>
        <v>21.554482066225166</v>
      </c>
      <c r="H21" s="1">
        <f>G38</f>
        <v>2.7522630110375279</v>
      </c>
      <c r="I21" s="1">
        <f>G37</f>
        <v>4.7835130110375284</v>
      </c>
      <c r="J21" s="1" t="s">
        <v>234</v>
      </c>
    </row>
    <row r="22" spans="1:11" x14ac:dyDescent="0.2">
      <c r="A22" s="1" t="s">
        <v>53</v>
      </c>
      <c r="B22" s="1">
        <f>B21</f>
        <v>42.055737642384109</v>
      </c>
      <c r="C22" s="1">
        <f>C19</f>
        <v>0</v>
      </c>
      <c r="D22" s="1">
        <f t="shared" ref="D22:I22" si="0">D21</f>
        <v>63.941101863134662</v>
      </c>
      <c r="E22" s="1">
        <f t="shared" si="0"/>
        <v>29.361636777041944</v>
      </c>
      <c r="F22" s="1">
        <f>0</f>
        <v>0</v>
      </c>
      <c r="G22" s="1">
        <f t="shared" si="0"/>
        <v>21.554482066225166</v>
      </c>
      <c r="H22" s="1">
        <f t="shared" si="0"/>
        <v>2.7522630110375279</v>
      </c>
      <c r="I22" s="1">
        <f t="shared" si="0"/>
        <v>4.7835130110375284</v>
      </c>
      <c r="J22" s="1">
        <f>J19</f>
        <v>0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</row>
    <row r="29" spans="1:11" ht="19.5" x14ac:dyDescent="0.2">
      <c r="A29" s="2" t="s">
        <v>65</v>
      </c>
      <c r="B29" s="2"/>
      <c r="C29" s="2"/>
      <c r="D29" s="2"/>
      <c r="E29" s="2"/>
      <c r="F29" s="2"/>
      <c r="J29" s="1" t="s">
        <v>64</v>
      </c>
    </row>
    <row r="30" spans="1:11" x14ac:dyDescent="0.2">
      <c r="A30" s="1" t="s">
        <v>66</v>
      </c>
      <c r="B30" s="1" t="s">
        <v>67</v>
      </c>
      <c r="C30" s="1">
        <f>(B6+C3*B9)/C2</f>
        <v>5.5948511999999999</v>
      </c>
      <c r="D30" s="1">
        <f>((B6+C3*B9*2.5)/C2+B16)/1.25</f>
        <v>5.626046417660044</v>
      </c>
      <c r="E30" s="1">
        <f>((B6+C3*B9*2.5)/C2+2*B16)/2</f>
        <v>3.9764940220750553</v>
      </c>
      <c r="F30" s="1">
        <f>MIN(C30:E30)</f>
        <v>3.9764940220750553</v>
      </c>
      <c r="G30" s="1">
        <f>F30</f>
        <v>3.9764940220750553</v>
      </c>
      <c r="H30" s="1" t="str">
        <f t="shared" ref="H30:H37" si="1">IF(C30=G30,"不使用增产剂","")&amp;IF(D30=G30,"增产","")&amp;IF(E30=G30,"加速","")</f>
        <v>加速</v>
      </c>
      <c r="I30" s="1" t="s">
        <v>66</v>
      </c>
      <c r="J30" s="1">
        <f t="shared" ref="J30:J45" si="2">60*318310/G30</f>
        <v>4802874.0629248498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5.5948511999999999</v>
      </c>
      <c r="D31" s="1">
        <f>((B6+C3*B9*2.5)/C2+B16)/1.25</f>
        <v>5.626046417660044</v>
      </c>
      <c r="E31" s="1">
        <f>((B6+C3*B9*2.5)/C2+2*B16)/2</f>
        <v>3.9764940220750553</v>
      </c>
      <c r="F31" s="1">
        <f t="shared" ref="F31:F44" si="3">MIN(C31:E31)</f>
        <v>3.9764940220750553</v>
      </c>
      <c r="G31" s="1">
        <f t="shared" ref="G31:G44" si="4">F31</f>
        <v>3.9764940220750553</v>
      </c>
      <c r="H31" s="1" t="str">
        <f t="shared" si="1"/>
        <v>加速</v>
      </c>
      <c r="I31" s="1" t="s">
        <v>69</v>
      </c>
      <c r="J31" s="1">
        <f t="shared" si="2"/>
        <v>4802874.0629248498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11.1897024</v>
      </c>
      <c r="D32" s="1">
        <f>(2*(B6+C3*B9*2.5)/C2+2*B16)/1.25</f>
        <v>11.252092835320088</v>
      </c>
      <c r="E32" s="1">
        <f>(2*(B6+C3*B9*2.5)/C2+4*B16)/2</f>
        <v>7.9529880441501106</v>
      </c>
      <c r="F32" s="1">
        <f t="shared" si="3"/>
        <v>7.9529880441501106</v>
      </c>
      <c r="G32" s="1">
        <f t="shared" si="4"/>
        <v>7.9529880441501106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2"/>
        <v>2401437.0314624249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11.1897024</v>
      </c>
      <c r="D33" s="1">
        <f>(2*(B6+C3*B9*2.5)/C2+2*B16)/1.25</f>
        <v>11.252092835320088</v>
      </c>
      <c r="E33" s="1">
        <f>(2*(B6+C3*B9*2.5)/C2+4*B16)/2</f>
        <v>7.9529880441501106</v>
      </c>
      <c r="F33" s="1">
        <f t="shared" si="3"/>
        <v>7.9529880441501106</v>
      </c>
      <c r="G33" s="1">
        <f t="shared" si="4"/>
        <v>7.9529880441501106</v>
      </c>
      <c r="H33" s="1" t="str">
        <f t="shared" si="1"/>
        <v>加速</v>
      </c>
      <c r="I33" s="1" t="s">
        <v>73</v>
      </c>
      <c r="J33" s="1">
        <f t="shared" si="2"/>
        <v>2401437.0314624249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5.5948511999999999</v>
      </c>
      <c r="D34" s="1">
        <f>((B6+C3*B9*2.5)/C2+B16)/1.25</f>
        <v>5.626046417660044</v>
      </c>
      <c r="E34" s="1">
        <f>((B6+C3*B9*2.5)/C2+2*B16)/2</f>
        <v>3.9764940220750553</v>
      </c>
      <c r="F34" s="1">
        <f t="shared" si="3"/>
        <v>3.9764940220750553</v>
      </c>
      <c r="G34" s="1">
        <f t="shared" si="4"/>
        <v>3.9764940220750553</v>
      </c>
      <c r="H34" s="1" t="str">
        <f t="shared" si="1"/>
        <v>加速</v>
      </c>
      <c r="I34" s="1" t="s">
        <v>75</v>
      </c>
      <c r="J34" s="1">
        <f t="shared" si="2"/>
        <v>4802874.0629248498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11.1897024</v>
      </c>
      <c r="D35" s="1">
        <f>(2*(B6+C3*B9*2.5)/C2+2*B16)/1.25</f>
        <v>11.252092835320088</v>
      </c>
      <c r="E35" s="1">
        <f>(2*(B6+C3*B9*2.5)/C2+4*B16)/2</f>
        <v>7.9529880441501106</v>
      </c>
      <c r="F35" s="1">
        <f t="shared" si="3"/>
        <v>7.9529880441501106</v>
      </c>
      <c r="G35" s="1">
        <f t="shared" si="4"/>
        <v>7.9529880441501106</v>
      </c>
      <c r="H35" s="1" t="str">
        <f t="shared" si="1"/>
        <v>加速</v>
      </c>
      <c r="I35" s="1" t="s">
        <v>77</v>
      </c>
      <c r="J35" s="1">
        <f t="shared" si="2"/>
        <v>2401437.0314624249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11.1897024</v>
      </c>
      <c r="D36" s="1">
        <f>(2*(B6+C3*B9*2.5)/C2+2*B16)/1.25</f>
        <v>11.252092835320088</v>
      </c>
      <c r="E36" s="1">
        <f>(2*(B6+C3*B9*2.5)/C2+4*B16)/2</f>
        <v>7.9529880441501106</v>
      </c>
      <c r="F36" s="1">
        <f t="shared" si="3"/>
        <v>7.9529880441501106</v>
      </c>
      <c r="G36" s="1">
        <f t="shared" si="4"/>
        <v>7.9529880441501106</v>
      </c>
      <c r="H36" s="1" t="str">
        <f t="shared" si="1"/>
        <v>加速</v>
      </c>
      <c r="I36" s="1" t="s">
        <v>79</v>
      </c>
      <c r="J36" s="1">
        <f t="shared" si="2"/>
        <v>2401437.0314624249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8.2586384000000006</v>
      </c>
      <c r="D37" s="1">
        <f>(1.5*(D6+B3*B9*2.5)/B2+B16)/2.5</f>
        <v>7.2854488088300231</v>
      </c>
      <c r="E37" s="1">
        <f>(1.5*(D6+B3*B9*2.5)/B2+2*B16)/4</f>
        <v>4.7835130110375284</v>
      </c>
      <c r="F37" s="1">
        <f t="shared" si="3"/>
        <v>4.7835130110375284</v>
      </c>
      <c r="G37" s="1">
        <f t="shared" si="4"/>
        <v>4.7835130110375284</v>
      </c>
      <c r="H37" s="1" t="str">
        <f t="shared" si="1"/>
        <v>加速</v>
      </c>
      <c r="I37" s="1" t="s">
        <v>81</v>
      </c>
      <c r="J37" s="1">
        <f t="shared" si="2"/>
        <v>3992588.7012184747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4.1961383999999997</v>
      </c>
      <c r="D38" s="1">
        <f>(1.5*(B6+C3*B9*2.5)/C2+B16)/2.5</f>
        <v>4.0354488088300231</v>
      </c>
      <c r="E38" s="1">
        <f>(1.5*(B6+C3*B9*2.5)/C2+2*B16)/4</f>
        <v>2.7522630110375279</v>
      </c>
      <c r="F38" s="1">
        <f t="shared" si="3"/>
        <v>2.7522630110375279</v>
      </c>
      <c r="G38" s="1">
        <f t="shared" si="4"/>
        <v>2.7522630110375279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2"/>
        <v>6939235.0670731682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18.017276800000001</v>
      </c>
      <c r="D39" s="1">
        <f>(2*(I6+D3*B9*2.5)/D2+2*B16)/2.5</f>
        <v>15.770897617660045</v>
      </c>
      <c r="E39" s="1">
        <f>(2*(I6+D3*B9*2.5)/D2+4*B16)/4</f>
        <v>10.317026022075057</v>
      </c>
      <c r="F39" s="1">
        <f t="shared" si="3"/>
        <v>10.317026022075057</v>
      </c>
      <c r="G39" s="1">
        <f t="shared" si="4"/>
        <v>10.317026022075057</v>
      </c>
      <c r="H39" s="1" t="str">
        <f t="shared" ref="H39:H45" si="5">IF(C39=G39,"不使用增产剂","")&amp;IF(D39=G39,"增产","")&amp;IF(E39=G39,"加速","")</f>
        <v>加速</v>
      </c>
      <c r="I39" s="1" t="s">
        <v>85</v>
      </c>
      <c r="J39" s="1">
        <f t="shared" si="2"/>
        <v>1851172.9988017138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42.919603199999997</v>
      </c>
      <c r="D40" s="1">
        <f>((4/E2)*(N6+B9*E3*2.5)+2*B16)/2.5</f>
        <v>36.175550417660041</v>
      </c>
      <c r="E40" s="1">
        <f>((4/E2)*(N6+B9*E3*2.5)+4*B16)/4</f>
        <v>23.069934022075056</v>
      </c>
      <c r="F40" s="1">
        <f t="shared" si="3"/>
        <v>23.069934022075056</v>
      </c>
      <c r="G40" s="1">
        <f>F40</f>
        <v>23.069934022075056</v>
      </c>
      <c r="H40" s="1" t="str">
        <f t="shared" si="5"/>
        <v>加速</v>
      </c>
      <c r="I40" s="1" t="s">
        <v>87</v>
      </c>
      <c r="J40" s="1">
        <f t="shared" si="2"/>
        <v>827856.72389548307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36.034553600000002</v>
      </c>
      <c r="D41" s="1">
        <f>(4*(I6+D3*B9*2.5)/D2+6*B16)/2.5</f>
        <v>32.278139252980132</v>
      </c>
      <c r="E41" s="1">
        <f>(4*(I6+D3*B9*2.5)/D2+12*B16)/4</f>
        <v>21.554482066225166</v>
      </c>
      <c r="F41" s="1">
        <f t="shared" si="3"/>
        <v>21.554482066225166</v>
      </c>
      <c r="G41" s="1">
        <f t="shared" si="4"/>
        <v>21.554482066225166</v>
      </c>
      <c r="H41" s="1" t="str">
        <f t="shared" si="5"/>
        <v>加速</v>
      </c>
      <c r="I41" s="1" t="s">
        <v>89</v>
      </c>
      <c r="J41" s="1">
        <f t="shared" si="2"/>
        <v>886061.65257510799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8.3922767999999994</v>
      </c>
      <c r="D42" s="1">
        <f>(1.5*(B6+C3*B9*2.5)/C2+B16)/1.25</f>
        <v>8.0708976176600462</v>
      </c>
      <c r="E42" s="1">
        <f>(1.5*(B6+C3*B9*2.5)/C2+2*B16)/2</f>
        <v>5.5045260220750558</v>
      </c>
      <c r="F42" s="1">
        <f t="shared" si="3"/>
        <v>5.5045260220750558</v>
      </c>
      <c r="G42" s="1">
        <f t="shared" si="4"/>
        <v>5.5045260220750558</v>
      </c>
      <c r="H42" s="1" t="str">
        <f t="shared" si="5"/>
        <v>加速</v>
      </c>
      <c r="I42" s="1" t="s">
        <v>91</v>
      </c>
      <c r="J42" s="1">
        <f t="shared" si="2"/>
        <v>3469617.5335365841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13.474135908612372</v>
      </c>
      <c r="F43" s="1">
        <f t="shared" si="3"/>
        <v>13.474135908612372</v>
      </c>
      <c r="G43" s="1">
        <f t="shared" si="4"/>
        <v>13.474135908612372</v>
      </c>
      <c r="H43" s="1" t="str">
        <f t="shared" si="5"/>
        <v>加速</v>
      </c>
      <c r="I43" s="1" t="s">
        <v>93</v>
      </c>
      <c r="J43" s="1">
        <f t="shared" si="2"/>
        <v>1417426.7002749019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30.373759999999997</v>
      </c>
      <c r="D44" s="1">
        <f>(2.5*(J6+F3*B9*2.5)/F2+10*B16)/6.25</f>
        <v>29.220208035320084</v>
      </c>
      <c r="E44" s="1">
        <f>(2.5*(J6+F3*B9*2.5)/F2+20*B16)/10</f>
        <v>19.183060044150107</v>
      </c>
      <c r="F44" s="1">
        <f t="shared" si="3"/>
        <v>19.183060044150107</v>
      </c>
      <c r="G44" s="1">
        <f t="shared" si="4"/>
        <v>19.183060044150107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2"/>
        <v>995597.15478366218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322.71473102528336</v>
      </c>
      <c r="D45" s="1" t="s">
        <v>96</v>
      </c>
      <c r="E45" s="1">
        <f>((0.1*G92)+60*S6+0.1*B16)/24</f>
        <v>161.36120063773365</v>
      </c>
      <c r="F45" s="1">
        <f>MIN(C45:E45)</f>
        <v>161.36120063773365</v>
      </c>
      <c r="G45" s="1">
        <f>F45</f>
        <v>161.36120063773365</v>
      </c>
      <c r="H45" s="1" t="str">
        <f t="shared" si="5"/>
        <v>加速</v>
      </c>
      <c r="I45" s="1" t="s">
        <v>101</v>
      </c>
      <c r="J45" s="1">
        <f t="shared" si="2"/>
        <v>118359.30771782986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12.998531966445917</v>
      </c>
      <c r="D50" s="1">
        <f>((2*G42+G31)+(E6+B3*B9*2.5)/B2+3*B16)/2.5</f>
        <v>11.7102523196468</v>
      </c>
      <c r="E50" s="1">
        <f>(2*(2*G42+G31)+(E6+2.5*B3*B9)/B2+6*B16)/4</f>
        <v>11.755616732891832</v>
      </c>
      <c r="F50" s="1">
        <f t="shared" ref="F50:F78" si="6">MIN(C50:E50)</f>
        <v>11.7102523196468</v>
      </c>
      <c r="G50" s="1">
        <f t="shared" ref="G50:G78" si="7">F50</f>
        <v>11.7102523196468</v>
      </c>
      <c r="H50" s="1" t="str">
        <f t="shared" ref="H50:H78" si="8">IF(C50=G50,"不使用增产剂","")&amp;IF(D50=G50,"增产","")&amp;IF(E50=G50,"加速","")</f>
        <v>增产</v>
      </c>
      <c r="I50" s="1" t="s">
        <v>103</v>
      </c>
      <c r="J50" s="1">
        <f t="shared" ref="J50:J78" si="9">60*318310/G50</f>
        <v>1630929.844949408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28.714035666225165</v>
      </c>
      <c r="D51" s="1">
        <f>((3*G30)+3*(B6+C3*B9*2.5)/C2+3*B16)/1.25</f>
        <v>26.421724905960268</v>
      </c>
      <c r="E51" s="1">
        <f>(2*(3*G30)+3*(B6+C3*B9*2.5)/C2+6*B16)/2</f>
        <v>23.858964132450332</v>
      </c>
      <c r="F51" s="1">
        <f t="shared" si="6"/>
        <v>23.858964132450332</v>
      </c>
      <c r="G51" s="1">
        <f t="shared" si="7"/>
        <v>23.858964132450332</v>
      </c>
      <c r="H51" s="1" t="str">
        <f t="shared" si="8"/>
        <v>加速</v>
      </c>
      <c r="I51" s="1" t="s">
        <v>105</v>
      </c>
      <c r="J51" s="1">
        <f t="shared" si="9"/>
        <v>800479.01048747508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50.846505776600438</v>
      </c>
      <c r="D52" s="1">
        <f>((4*G33+4*G51)+(12/C2)*(C6+C3*B9*2.5)+16*B16)/5</f>
        <v>44.864045011920538</v>
      </c>
      <c r="E52" s="1">
        <f>(2*(4*G33+4*G51)+(12/C2)*(C6+C3*B9*2.5)+32*B16)/8</f>
        <v>45.786864264900672</v>
      </c>
      <c r="F52" s="1">
        <f t="shared" si="6"/>
        <v>44.864045011920538</v>
      </c>
      <c r="G52" s="1">
        <f t="shared" si="7"/>
        <v>44.864045011920538</v>
      </c>
      <c r="H52" s="1" t="str">
        <f t="shared" si="8"/>
        <v>增产</v>
      </c>
      <c r="I52" s="1" t="s">
        <v>107</v>
      </c>
      <c r="J52" s="1">
        <f t="shared" si="9"/>
        <v>425699.4659069514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43.434770754966891</v>
      </c>
      <c r="D53" s="1">
        <f>((2*G36+2*G33)+(5/B2)*(F6+2.5*B3*B9)+6*B16)/2.5</f>
        <v>37.991402256953648</v>
      </c>
      <c r="E53" s="1">
        <f>(2*(2*G36+2*G33)+(5/B2)*(F6+2.5*B3*B9)+12*B16)/4</f>
        <v>33.078259487858723</v>
      </c>
      <c r="F53" s="1">
        <f t="shared" si="6"/>
        <v>33.078259487858723</v>
      </c>
      <c r="G53" s="1">
        <f t="shared" si="7"/>
        <v>33.078259487858723</v>
      </c>
      <c r="H53" s="1" t="str">
        <f t="shared" si="8"/>
        <v>加速</v>
      </c>
      <c r="I53" s="1" t="s">
        <v>109</v>
      </c>
      <c r="J53" s="1">
        <f t="shared" si="9"/>
        <v>577376.2070827845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22.940999932891835</v>
      </c>
      <c r="D54" s="1">
        <f>((3*G36)+(2/B2)*(D6+B3*B9*2.5)+3*B16)/2.5</f>
        <v>19.871137412803531</v>
      </c>
      <c r="E54" s="1">
        <f>((6*G36)+(2/B2)*(D6+B3*B9*2.5)+6*B16)/4</f>
        <v>19.07452443267108</v>
      </c>
      <c r="F54" s="1">
        <f t="shared" si="6"/>
        <v>19.07452443267108</v>
      </c>
      <c r="G54" s="1">
        <f t="shared" si="7"/>
        <v>19.07452443267108</v>
      </c>
      <c r="H54" s="1" t="str">
        <f t="shared" si="8"/>
        <v>加速</v>
      </c>
      <c r="I54" s="1" t="s">
        <v>111</v>
      </c>
      <c r="J54" s="1">
        <f t="shared" si="9"/>
        <v>1001262.1844079994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107.01309387726269</v>
      </c>
      <c r="D55" s="1">
        <f>((4*G50+2*G54)+(2/B2)*(E6+2.5*B3*B9)+6*B16)/1.25</f>
        <v>90.856182087770421</v>
      </c>
      <c r="E55" s="1">
        <f>(2*(4*G50+2*G54)+(2/B2)*(E6+2.5*B3*B9)+12*B16)/2</f>
        <v>102.04143294304636</v>
      </c>
      <c r="F55" s="1">
        <f t="shared" si="6"/>
        <v>90.856182087770421</v>
      </c>
      <c r="G55" s="1">
        <f t="shared" si="7"/>
        <v>90.856182087770421</v>
      </c>
      <c r="H55" s="1" t="str">
        <f t="shared" si="8"/>
        <v>增产</v>
      </c>
      <c r="I55" s="1" t="s">
        <v>113</v>
      </c>
      <c r="J55" s="1">
        <f t="shared" si="9"/>
        <v>210206.93981560934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14.988011888741722</v>
      </c>
      <c r="D56" s="1">
        <f>(G30+(1/B2)*(D6+2.5*B3*B9)+B16)/1.25</f>
        <v>13.140574968653421</v>
      </c>
      <c r="E56" s="1">
        <f>(2*G30+(1/B2)*(D6+2.5*B3*B9)+2*B16)/2</f>
        <v>10.661321377483445</v>
      </c>
      <c r="F56" s="1">
        <f t="shared" si="6"/>
        <v>10.661321377483445</v>
      </c>
      <c r="G56" s="1">
        <f t="shared" si="7"/>
        <v>10.661321377483445</v>
      </c>
      <c r="H56" s="1" t="str">
        <f t="shared" si="8"/>
        <v>加速</v>
      </c>
      <c r="I56" s="1" t="s">
        <v>115</v>
      </c>
      <c r="J56" s="1">
        <f t="shared" si="9"/>
        <v>1791391.4536274993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11.470499966445917</v>
      </c>
      <c r="D57" s="1">
        <f>((2*G30+G31)+(E6+B3*B9*2.5)/B2+3*B16)/2.5</f>
        <v>10.487826719646799</v>
      </c>
      <c r="E57" s="1">
        <f>(2*(2*G30+G31)+(E6+B3*B9*2.5)/B2+6*B16)/4</f>
        <v>10.227584732891833</v>
      </c>
      <c r="F57" s="1">
        <f t="shared" si="6"/>
        <v>10.227584732891833</v>
      </c>
      <c r="G57" s="1">
        <f t="shared" si="7"/>
        <v>10.227584732891833</v>
      </c>
      <c r="H57" s="1" t="str">
        <f t="shared" si="8"/>
        <v>加速</v>
      </c>
      <c r="I57" s="1" t="s">
        <v>117</v>
      </c>
      <c r="J57" s="1">
        <f t="shared" si="9"/>
        <v>1867361.698659807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41.90550584370861</v>
      </c>
      <c r="D58" s="1">
        <f>((2*G32+G31)+2*(E6+B3*B9*2.5)/B2+3*B16)/1.25</f>
        <v>36.561079607947022</v>
      </c>
      <c r="E58" s="1">
        <f>(2*(2*G32+G31)+2*(E6+B3*B9*2.5)/B2+6*B16)/2</f>
        <v>34.172554843267108</v>
      </c>
      <c r="F58" s="1">
        <f t="shared" si="6"/>
        <v>34.172554843267108</v>
      </c>
      <c r="G58" s="1">
        <f t="shared" si="7"/>
        <v>34.172554843267108</v>
      </c>
      <c r="H58" s="1" t="str">
        <f t="shared" si="8"/>
        <v>加速</v>
      </c>
      <c r="I58" s="1" t="s">
        <v>119</v>
      </c>
      <c r="J58" s="1">
        <f t="shared" si="9"/>
        <v>558887.09777761693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121.83483275231788</v>
      </c>
      <c r="D59" s="1">
        <f>((2*G57+2*G58)+(3/B2)*(E6+B3*B9*2.5)+4*B16)/1.25</f>
        <v>101.65470659249448</v>
      </c>
      <c r="E59" s="1">
        <f>(2*(2*G57+2*G58)+(3/B2)*(E6+B3*B9*2.5)+8*B16)/2</f>
        <v>109.77519124061811</v>
      </c>
      <c r="F59" s="1">
        <f t="shared" si="6"/>
        <v>101.65470659249448</v>
      </c>
      <c r="G59" s="1">
        <f t="shared" si="7"/>
        <v>101.65470659249448</v>
      </c>
      <c r="H59" s="1" t="str">
        <f t="shared" si="8"/>
        <v>增产</v>
      </c>
      <c r="I59" s="1" t="s">
        <v>121</v>
      </c>
      <c r="J59" s="1">
        <f t="shared" si="9"/>
        <v>187877.18385299158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52.347597474613693</v>
      </c>
      <c r="D60" s="1">
        <f>((2*G30+G56+G50)+(2/B2)*(F6+2.5*B3*B9)+4*B16)/1.25</f>
        <v>45.651096930331128</v>
      </c>
      <c r="E60" s="1">
        <f>(2*(2*G30+G56+G50)+(2/B2)*(F6+2.5*B3*B9)+8*B16)/2</f>
        <v>45.535076496247243</v>
      </c>
      <c r="F60" s="1">
        <f t="shared" si="6"/>
        <v>45.535076496247243</v>
      </c>
      <c r="G60" s="1">
        <f t="shared" si="7"/>
        <v>45.535076496247243</v>
      </c>
      <c r="H60" s="1" t="str">
        <f t="shared" si="8"/>
        <v>加速</v>
      </c>
      <c r="I60" s="1" t="s">
        <v>123</v>
      </c>
      <c r="J60" s="1">
        <f t="shared" si="9"/>
        <v>419426.10992591624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136.51369336512141</v>
      </c>
      <c r="D61" s="1">
        <f>((2*G60+2*G50)+(2/B2)*(E6+2.5*B3*B9)+4*B16)/1.25</f>
        <v>112.98397364273731</v>
      </c>
      <c r="E61" s="1">
        <f>(2*(2*G60+2*G50)+(2/B2)*(E6+2.5*B3*B9)+8*B16)/2</f>
        <v>129.70117238675496</v>
      </c>
      <c r="F61" s="1">
        <f t="shared" si="6"/>
        <v>112.98397364273731</v>
      </c>
      <c r="G61" s="1">
        <f t="shared" si="7"/>
        <v>112.98397364273731</v>
      </c>
      <c r="H61" s="1" t="str">
        <f t="shared" si="8"/>
        <v>增产</v>
      </c>
      <c r="I61" s="1" t="s">
        <v>125</v>
      </c>
      <c r="J61" s="1">
        <f t="shared" si="9"/>
        <v>169038.1333231474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67.905035599116999</v>
      </c>
      <c r="D62" s="1">
        <f>((J22+3*G33)+(4/B2)*(E6+B3*B9*2.5)+4*B16)/1.25</f>
        <v>58.92469030993378</v>
      </c>
      <c r="E62" s="1">
        <f>(2*(J22+3*G33)+(4/B2)*(E6+B3*B9*2.5)+8*B16)/2</f>
        <v>50.598273554083889</v>
      </c>
      <c r="F62" s="1">
        <f t="shared" si="6"/>
        <v>50.598273554083889</v>
      </c>
      <c r="G62" s="1">
        <f t="shared" si="7"/>
        <v>50.598273554083889</v>
      </c>
      <c r="H62" s="1" t="str">
        <f t="shared" si="8"/>
        <v>加速</v>
      </c>
      <c r="I62" s="1" t="s">
        <v>235</v>
      </c>
      <c r="J62" s="1">
        <f t="shared" si="9"/>
        <v>377455.56633638369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64.680123510816784</v>
      </c>
      <c r="D63" s="1">
        <f>((J22+2*G39)+(4/B2)*(F6+2.5*B3*B9)+22*B16)/1.25</f>
        <v>69.59895295717439</v>
      </c>
      <c r="E63" s="1">
        <f>(2*(J22+2*G39)+(4/B2)*(F6+2.5*B3*B9)+44*B16)/2</f>
        <v>63.941101863134662</v>
      </c>
      <c r="F63" s="1">
        <f t="shared" si="6"/>
        <v>63.941101863134662</v>
      </c>
      <c r="G63" s="1">
        <f t="shared" si="7"/>
        <v>63.941101863134662</v>
      </c>
      <c r="H63" s="1" t="str">
        <f t="shared" si="8"/>
        <v>加速</v>
      </c>
      <c r="I63" s="1" t="s">
        <v>128</v>
      </c>
      <c r="J63" s="1">
        <f t="shared" si="9"/>
        <v>298690.50490997755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115.27839706490067</v>
      </c>
      <c r="D64" s="1">
        <f>((G62+2*G39)+(4/B2)*(F6+2.5*B3*B9)+18*B16)/1.25</f>
        <v>107.13219572980134</v>
      </c>
      <c r="E64" s="1">
        <f>(2*(G62+2*G39)+(4/B2)*(F6+2.5*B3*B9)+36*B16)/2</f>
        <v>110.85765532891833</v>
      </c>
      <c r="F64" s="1">
        <f t="shared" si="6"/>
        <v>107.13219572980134</v>
      </c>
      <c r="G64" s="1">
        <f t="shared" si="7"/>
        <v>107.13219572980134</v>
      </c>
      <c r="H64" s="1" t="str">
        <f t="shared" si="8"/>
        <v>增产</v>
      </c>
      <c r="I64" s="1" t="s">
        <v>130</v>
      </c>
      <c r="J64" s="1">
        <f t="shared" si="9"/>
        <v>178271.33916090618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262.23583523885213</v>
      </c>
      <c r="D65" s="1">
        <f>((D22+2*G53)+(12/B2)*(E6+2.5*B3*B9)+3*B16)/1.25</f>
        <v>216.96355752406186</v>
      </c>
      <c r="E65" s="1">
        <f>(2*(D22+2*G53)+(12/B2)*(E6+2.5*B3*B9)+6*B16)/2</f>
        <v>202.03167890507729</v>
      </c>
      <c r="F65" s="1">
        <f t="shared" si="6"/>
        <v>202.03167890507729</v>
      </c>
      <c r="G65" s="1">
        <f t="shared" si="7"/>
        <v>202.03167890507729</v>
      </c>
      <c r="H65" s="1" t="str">
        <f t="shared" si="8"/>
        <v>加速</v>
      </c>
      <c r="I65" s="1" t="s">
        <v>132</v>
      </c>
      <c r="J65" s="1">
        <f t="shared" si="9"/>
        <v>94532.699542497488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51.999059510816778</v>
      </c>
      <c r="D66" s="1">
        <f>((2*G31)+(4/B2)*(E6+2.5*B3*B9)+12*B16)/1.25</f>
        <v>52.090661580573951</v>
      </c>
      <c r="E66" s="1">
        <f>(2*(2*G31)+(4/B2)*(E6+2.5*B3*B9)+24*B16)/2</f>
        <v>42.055737642384109</v>
      </c>
      <c r="F66" s="1">
        <f t="shared" si="6"/>
        <v>42.055737642384109</v>
      </c>
      <c r="G66" s="1">
        <f t="shared" si="7"/>
        <v>42.055737642384109</v>
      </c>
      <c r="H66" s="1" t="str">
        <f t="shared" si="8"/>
        <v>加速</v>
      </c>
      <c r="I66" s="1" t="s">
        <v>134</v>
      </c>
      <c r="J66" s="1">
        <f t="shared" si="9"/>
        <v>454125.90696666983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298.60105884044151</v>
      </c>
      <c r="D67" s="1">
        <f>((2*G61+2*G31+2*G39)+(4/B2)*(F6+2.5*B3*B9)+6*B16)/1.25</f>
        <v>244.95419693831349</v>
      </c>
      <c r="E67" s="1">
        <f>(2*(2*G61+2*G31+2*G39)+(4/B2)*(F6+2.5*B3*B9)+12*B16)/2</f>
        <v>283.13515683955853</v>
      </c>
      <c r="F67" s="1">
        <f t="shared" si="6"/>
        <v>244.95419693831349</v>
      </c>
      <c r="G67" s="1">
        <f t="shared" si="7"/>
        <v>244.95419693831349</v>
      </c>
      <c r="H67" s="1" t="str">
        <f t="shared" si="8"/>
        <v>增产</v>
      </c>
      <c r="I67" s="1" t="s">
        <v>136</v>
      </c>
      <c r="J67" s="1">
        <f t="shared" si="9"/>
        <v>77968.045613072623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578.04462332891831</v>
      </c>
      <c r="D68" s="1">
        <f>((2*B22+2*G30+10*C22)+(8/F2)*(L6+2.5*F3*B9)+14*B16)/1.25</f>
        <v>527.9207069103752</v>
      </c>
      <c r="E68" s="1">
        <f>(2*(2*B22+2*G30+10*C22)+(8/F2)*(L6+2.5*F3*B9)+28*B16)/2</f>
        <v>382.42568363796909</v>
      </c>
      <c r="F68" s="1">
        <f t="shared" si="6"/>
        <v>382.42568363796909</v>
      </c>
      <c r="G68" s="1">
        <f t="shared" si="7"/>
        <v>382.42568363796909</v>
      </c>
      <c r="H68" s="1" t="str">
        <f t="shared" si="8"/>
        <v>加速</v>
      </c>
      <c r="I68" s="1" t="s">
        <v>138</v>
      </c>
      <c r="J68" s="1">
        <f t="shared" si="9"/>
        <v>49940.683424599876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81.411187198233989</v>
      </c>
      <c r="D69" s="1">
        <f>((2*G54+G57)+(3/B2)*(E6+2.5*B3*B9)+3*B16)/1.25</f>
        <v>68.579446131567323</v>
      </c>
      <c r="E69" s="1">
        <f>(2*(2*G54+G57)+(3/B2)*(E6+2.5*B3*B9)+6*B16)/2</f>
        <v>68.43111566445917</v>
      </c>
      <c r="F69" s="1">
        <f t="shared" si="6"/>
        <v>68.43111566445917</v>
      </c>
      <c r="G69" s="1">
        <f t="shared" si="7"/>
        <v>68.43111566445917</v>
      </c>
      <c r="H69" s="1" t="str">
        <f t="shared" si="8"/>
        <v>加速</v>
      </c>
      <c r="I69" s="1" t="s">
        <v>140</v>
      </c>
      <c r="J69" s="1">
        <f t="shared" si="9"/>
        <v>279092.33708313154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43.262138332891837</v>
      </c>
      <c r="D70" s="1">
        <f>((G57)+(3/B2)*(E6+2.5*B3*B9)+2*B16)/1.25</f>
        <v>37.323863021633557</v>
      </c>
      <c r="E70" s="1">
        <f>(2*(G57)+(3/B2)*(E6+2.5*B3*B9)+4*B16)/2</f>
        <v>29.361636777041944</v>
      </c>
      <c r="F70" s="1">
        <f t="shared" si="6"/>
        <v>29.361636777041944</v>
      </c>
      <c r="G70" s="1">
        <f t="shared" si="7"/>
        <v>29.361636777041944</v>
      </c>
      <c r="H70" s="1" t="str">
        <f t="shared" si="8"/>
        <v>加速</v>
      </c>
      <c r="I70" s="1" t="s">
        <v>142</v>
      </c>
      <c r="J70" s="1">
        <f t="shared" si="9"/>
        <v>650461.01295460889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41.862367132891833</v>
      </c>
      <c r="D71" s="1">
        <f>((G39+E22)+(4/B2)*(E6+2.5*B3*B9)+2*B16)/2.5</f>
        <v>35.053880603973504</v>
      </c>
      <c r="E71" s="1">
        <f>(2*(G39+E22)+(4/B2)*(E6+2.5*B3*B9)+4*B16)/4</f>
        <v>32.288556088300219</v>
      </c>
      <c r="F71" s="1">
        <f t="shared" si="6"/>
        <v>32.288556088300219</v>
      </c>
      <c r="G71" s="1">
        <f t="shared" si="7"/>
        <v>32.288556088300219</v>
      </c>
      <c r="H71" s="1" t="str">
        <f t="shared" si="8"/>
        <v>加速</v>
      </c>
      <c r="I71" s="1" t="s">
        <v>144</v>
      </c>
      <c r="J71" s="1">
        <f t="shared" si="9"/>
        <v>591497.49365597649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60.747520000000002</v>
      </c>
      <c r="D72" s="1" t="s">
        <v>96</v>
      </c>
      <c r="E72" s="1">
        <f>(2*(2*F22)+(2/F2)*(L6+2.5*F3*B9)+4*B16)/4</f>
        <v>35.604830022075049</v>
      </c>
      <c r="F72" s="1">
        <f t="shared" si="6"/>
        <v>35.604830022075049</v>
      </c>
      <c r="G72" s="1">
        <f t="shared" si="7"/>
        <v>35.604830022075049</v>
      </c>
      <c r="H72" s="1" t="str">
        <f t="shared" si="8"/>
        <v>加速</v>
      </c>
      <c r="I72" s="1" t="s">
        <v>146</v>
      </c>
      <c r="J72" s="1">
        <f t="shared" si="9"/>
        <v>536404.75149463816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108.14468648830022</v>
      </c>
      <c r="D73" s="1">
        <f>((2*G40+G35)+(3/D2)*(I6+2.5*D3*B9)+3*B16)/1.25</f>
        <v>90.586977723620322</v>
      </c>
      <c r="E73" s="1">
        <f>(2*(2*G40+G35)+(3/D2)*(I6+2.5*D3*B9)+6*B16)/2</f>
        <v>85.043934154525402</v>
      </c>
      <c r="F73" s="1">
        <f t="shared" si="6"/>
        <v>85.043934154525402</v>
      </c>
      <c r="G73" s="1">
        <f t="shared" si="7"/>
        <v>85.043934154525402</v>
      </c>
      <c r="H73" s="1" t="str">
        <f t="shared" si="8"/>
        <v>加速</v>
      </c>
      <c r="I73" s="1" t="s">
        <v>148</v>
      </c>
      <c r="J73" s="1">
        <f t="shared" si="9"/>
        <v>224573.33600416128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225.8120672423841</v>
      </c>
      <c r="D74" s="1">
        <f>((2*G41+2*I22+G73)+(8/B2)*(F6+2.5*B3*B9)+5*B16)/1.25</f>
        <v>187.64194540220751</v>
      </c>
      <c r="E74" s="1">
        <f>(2*(2*G41+2*I22+G73)+(8/B2)*(F6+2.5*B3*B9)+10*B16)/2</f>
        <v>188.43725308609274</v>
      </c>
      <c r="F74" s="1">
        <f t="shared" si="6"/>
        <v>187.64194540220751</v>
      </c>
      <c r="G74" s="1">
        <f t="shared" si="7"/>
        <v>187.64194540220751</v>
      </c>
      <c r="H74" s="1" t="str">
        <f t="shared" si="8"/>
        <v>增产</v>
      </c>
      <c r="I74" s="1" t="s">
        <v>150</v>
      </c>
      <c r="J74" s="1">
        <f t="shared" si="9"/>
        <v>101782.14662538515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55.486586655187644</v>
      </c>
      <c r="D75" s="1">
        <f>((3*G39+G33)+(4/D2)*(I6+2.5*D3*B9)+4*B16)/2.5</f>
        <v>47.103421679470202</v>
      </c>
      <c r="E75" s="1">
        <f>((3*G39+G33)+(2/D2)*(I6+2.5*D3*B9)+4*B16)/2</f>
        <v>40.086085099337758</v>
      </c>
      <c r="F75" s="1">
        <f t="shared" si="6"/>
        <v>40.086085099337758</v>
      </c>
      <c r="G75" s="1">
        <f t="shared" si="7"/>
        <v>40.086085099337758</v>
      </c>
      <c r="H75" s="1" t="str">
        <f t="shared" si="8"/>
        <v>加速</v>
      </c>
      <c r="I75" s="1" t="s">
        <v>152</v>
      </c>
      <c r="J75" s="1">
        <f t="shared" si="9"/>
        <v>476439.64115407015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19.142690444150112</v>
      </c>
      <c r="D76" s="1">
        <f>((G35)+2*(B6+2.5*C3*B9)/C2+B16)/1.25</f>
        <v>16.878139252980134</v>
      </c>
      <c r="E76" s="1">
        <f>((G35)+1*(B6+2.5*C3*B9)/C2+B16)/1</f>
        <v>14.985546066225167</v>
      </c>
      <c r="F76" s="1">
        <f t="shared" si="6"/>
        <v>14.985546066225167</v>
      </c>
      <c r="G76" s="1">
        <f t="shared" si="7"/>
        <v>14.985546066225167</v>
      </c>
      <c r="H76" s="1" t="str">
        <f t="shared" si="8"/>
        <v>加速</v>
      </c>
      <c r="I76" s="1" t="s">
        <v>227</v>
      </c>
      <c r="J76" s="1">
        <f t="shared" si="9"/>
        <v>1274468.0718072027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19.142690444150112</v>
      </c>
      <c r="D77" s="1">
        <f>((G32)+2*(B6+2.5*C3*B9)/C2+B16)/1.25</f>
        <v>16.878139252980134</v>
      </c>
      <c r="E77" s="1">
        <f>((G32)+1*(B6+2.5*C3*B9)/C2+B16)/1</f>
        <v>14.985546066225167</v>
      </c>
      <c r="F77" s="1">
        <f t="shared" si="6"/>
        <v>14.985546066225167</v>
      </c>
      <c r="G77" s="1">
        <f t="shared" si="7"/>
        <v>14.985546066225167</v>
      </c>
      <c r="H77" s="1" t="str">
        <f t="shared" si="8"/>
        <v>加速</v>
      </c>
      <c r="I77" s="1" t="s">
        <v>228</v>
      </c>
      <c r="J77" s="1">
        <f t="shared" si="9"/>
        <v>1274468.0718072027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301.26146313112588</v>
      </c>
      <c r="D78" s="1">
        <f>((2*G73+F40)+(6/D2)*(I6+D3*B9)+4*B16)/1.25</f>
        <v>243.95454657554086</v>
      </c>
      <c r="E78" s="1">
        <f>((2*G73+F40)+(3/D2)*(I6+D3*B9)+4*B16)/1</f>
        <v>250.89135281942606</v>
      </c>
      <c r="F78" s="1">
        <f t="shared" si="6"/>
        <v>243.95454657554086</v>
      </c>
      <c r="G78" s="1">
        <f t="shared" si="7"/>
        <v>243.95454657554086</v>
      </c>
      <c r="H78" s="1" t="str">
        <f t="shared" si="8"/>
        <v>增产</v>
      </c>
      <c r="I78" s="1" t="s">
        <v>236</v>
      </c>
      <c r="J78" s="1">
        <f t="shared" si="9"/>
        <v>78287.534575979269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283.46906699584991</v>
      </c>
      <c r="D91" s="1">
        <f>((2*G61+3*G42+G35)+(3/B2)*(F6+2.5*B3*B9)+6*B16)/1.25</f>
        <v>232.43478202264018</v>
      </c>
      <c r="E91" s="1">
        <f>(2*(2*G61+3*G42+G35)+(3/B2)*(F6+2.5*B3*B9)+12*B16)/2</f>
        <v>273.25028552830025</v>
      </c>
      <c r="F91" s="1">
        <f t="shared" ref="F91:F106" si="10">MIN(C91:E91)</f>
        <v>232.43478202264018</v>
      </c>
      <c r="G91" s="1">
        <f t="shared" ref="G91:G106" si="11">F91</f>
        <v>232.43478202264018</v>
      </c>
      <c r="H91" s="1" t="str">
        <f t="shared" ref="H91:H106" si="12">IF(C91=G91,"不使用增产剂","")&amp;IF(D91=G91,"增产","")&amp;IF(E91=G91,"加速","")</f>
        <v>增产</v>
      </c>
      <c r="I91" s="1" t="s">
        <v>155</v>
      </c>
      <c r="J91" s="1">
        <f t="shared" ref="J91:J106" si="13">60*318310/G91</f>
        <v>82167.564741406517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459.50384288211922</v>
      </c>
      <c r="D92" s="1">
        <f>((4*H22+G68)+(6/B2)*(E6+2.5*B3*B9)+5*B16)/1.25</f>
        <v>373.76772303399559</v>
      </c>
      <c r="E92" s="1">
        <f>(2*(4*H22+G68)+(6/B2)*(E6+2.5*B3*B9)+10*B16)/2</f>
        <v>432.62326979249451</v>
      </c>
      <c r="F92" s="1">
        <f t="shared" si="10"/>
        <v>373.76772303399559</v>
      </c>
      <c r="G92" s="1">
        <f t="shared" si="11"/>
        <v>373.76772303399559</v>
      </c>
      <c r="H92" s="1" t="str">
        <f t="shared" si="12"/>
        <v>增产</v>
      </c>
      <c r="I92" s="1" t="s">
        <v>157</v>
      </c>
      <c r="J92" s="1">
        <f t="shared" si="13"/>
        <v>51097.510092552613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673.44187819514354</v>
      </c>
      <c r="D93" s="1">
        <f>((2*G59+2*G65)+(6/B2)*(E6+2.5*B3*B9)+4*B16)/1.25</f>
        <v>544.18180726675507</v>
      </c>
      <c r="E93" s="1">
        <f>(2*(2*G59+2*G65)+(6/B2)*(E6+2.5*B3*B9)+8*B16)/2</f>
        <v>645.6408750834438</v>
      </c>
      <c r="F93" s="1">
        <f t="shared" si="10"/>
        <v>544.18180726675507</v>
      </c>
      <c r="G93" s="1">
        <f t="shared" si="11"/>
        <v>544.18180726675507</v>
      </c>
      <c r="H93" s="1" t="str">
        <f t="shared" si="12"/>
        <v>增产</v>
      </c>
      <c r="I93" s="1" t="s">
        <v>159</v>
      </c>
      <c r="J93" s="1">
        <f t="shared" si="13"/>
        <v>35095.991348784592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205.10406852097134</v>
      </c>
      <c r="D94" s="1">
        <f>((4*G41+G52+G32)+(6/B2)*(F6+2.5*B3*B9)+6*B16)/1.25</f>
        <v>170.98424756273735</v>
      </c>
      <c r="E94" s="1">
        <f>(2*(4*G41+G52+G32)+(6/B2)*(F6+2.5*B3*B9)+12*B16)/2</f>
        <v>179.14392545342167</v>
      </c>
      <c r="F94" s="1">
        <f t="shared" si="10"/>
        <v>170.98424756273735</v>
      </c>
      <c r="G94" s="1">
        <f t="shared" si="11"/>
        <v>170.98424756273735</v>
      </c>
      <c r="H94" s="1" t="str">
        <f t="shared" si="12"/>
        <v>增产</v>
      </c>
      <c r="I94" s="1" t="s">
        <v>161</v>
      </c>
      <c r="J94" s="1">
        <f t="shared" si="13"/>
        <v>111698.0088647778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1002.8746736639296</v>
      </c>
      <c r="D95" s="1">
        <f>((3*G94+3*G71+3*G59)+(8/B2)*(F6+2.5*B3*B9)+9*B16)/1.25</f>
        <v>812.23740661008401</v>
      </c>
      <c r="E95" s="1">
        <f>(2*(3*G94+3*G71+3*G59)+(8/B2)*(F6+2.5*B3*B9)+18*B16)/2</f>
        <v>969.18157959593839</v>
      </c>
      <c r="F95" s="1">
        <f t="shared" si="10"/>
        <v>812.23740661008401</v>
      </c>
      <c r="G95" s="1">
        <f t="shared" si="11"/>
        <v>812.23740661008401</v>
      </c>
      <c r="H95" s="1" t="str">
        <f t="shared" si="12"/>
        <v>增产</v>
      </c>
      <c r="I95" s="1" t="s">
        <v>163</v>
      </c>
      <c r="J95" s="1">
        <f t="shared" si="13"/>
        <v>23513.56862485443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363.94080156821195</v>
      </c>
      <c r="D96" s="1">
        <f>((B22+G59)+(20/B2)*(E6+2.5*B3*B9)+2*B16)/1.25</f>
        <v>300.90175808988965</v>
      </c>
      <c r="E96" s="1">
        <f>(2*(B22+G59)+(20/B2)*(E6+2.5*B3*B9)+4*B16)/2</f>
        <v>260.83925094569543</v>
      </c>
      <c r="F96" s="1">
        <f t="shared" si="10"/>
        <v>260.83925094569543</v>
      </c>
      <c r="G96" s="1">
        <f t="shared" si="11"/>
        <v>260.83925094569543</v>
      </c>
      <c r="H96" s="1" t="str">
        <f t="shared" si="12"/>
        <v>加速</v>
      </c>
      <c r="I96" s="1" t="s">
        <v>165</v>
      </c>
      <c r="J96" s="1">
        <f t="shared" si="13"/>
        <v>73219.808486477254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62.843619250578371</v>
      </c>
      <c r="D97" s="1">
        <f>(G114+(10/B2)*(D6+2.5*B3*B9)+B16)/10</f>
        <v>50.884215202670205</v>
      </c>
      <c r="E97" s="1">
        <f>(2*G114+(10/B2)*(D6+2.5*B3*B9)+2*B16)/16</f>
        <v>56.399772336671084</v>
      </c>
      <c r="F97" s="1">
        <f t="shared" si="10"/>
        <v>50.884215202670205</v>
      </c>
      <c r="G97" s="1">
        <f t="shared" si="11"/>
        <v>50.884215202670205</v>
      </c>
      <c r="H97" s="1" t="str">
        <f t="shared" si="12"/>
        <v>增产</v>
      </c>
      <c r="I97" s="1" t="s">
        <v>167</v>
      </c>
      <c r="J97" s="1">
        <f t="shared" si="13"/>
        <v>375334.47109149437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3476.3376525860176</v>
      </c>
      <c r="D98" s="1">
        <f>((2*G95+4*G103+2*G93)+(6/B2)*(F6+2.5*B3*B9)+8*B16)/1.25</f>
        <v>2789.4438028500945</v>
      </c>
      <c r="E98" s="1">
        <f>(2*(2*G95+4*G103+2*G93)+(6/B2)*(F6+2.5*B3*B9)+16*B16)/2</f>
        <v>3452.2183695626181</v>
      </c>
      <c r="F98" s="1">
        <f t="shared" si="10"/>
        <v>2789.4438028500945</v>
      </c>
      <c r="G98" s="1">
        <f t="shared" si="11"/>
        <v>2789.4438028500945</v>
      </c>
      <c r="H98" s="1" t="str">
        <f t="shared" si="12"/>
        <v>增产</v>
      </c>
      <c r="I98" s="1" t="s">
        <v>169</v>
      </c>
      <c r="J98" s="1">
        <f t="shared" si="13"/>
        <v>6846.7412680929938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5.5057589333333334</v>
      </c>
      <c r="D99" s="1">
        <f>((0.5/B2)*(D6+2.5*B3*B9)+B16)/1.25</f>
        <v>5.3478618843267105</v>
      </c>
      <c r="E99" s="1">
        <f>((0.5/B2)*(D6+2.5*B3*B9)+2*B16)/2</f>
        <v>3.8026286887417218</v>
      </c>
      <c r="F99" s="1">
        <f t="shared" si="10"/>
        <v>3.8026286887417218</v>
      </c>
      <c r="G99" s="1">
        <f t="shared" si="11"/>
        <v>3.8026286887417218</v>
      </c>
      <c r="H99" s="1" t="str">
        <f t="shared" si="12"/>
        <v>加速</v>
      </c>
      <c r="I99" s="1" t="s">
        <v>171</v>
      </c>
      <c r="J99" s="1">
        <f t="shared" si="13"/>
        <v>5022473.0215033609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21.36903825518764</v>
      </c>
      <c r="D100" s="1">
        <f>((2*G99+H22)+(1/B2)*(E6+2.5*B3*B9)+3*B16)/1.25</f>
        <v>19.718084097130241</v>
      </c>
      <c r="E100" s="1">
        <f>(2*(2*G99+H22)+(1/B2)*(E6+2.5*B3*B9)+6*B16)/2</f>
        <v>18.883207788079467</v>
      </c>
      <c r="F100" s="1">
        <f t="shared" si="10"/>
        <v>18.883207788079467</v>
      </c>
      <c r="G100" s="1">
        <f t="shared" si="11"/>
        <v>18.883207788079467</v>
      </c>
      <c r="H100" s="1" t="str">
        <f t="shared" si="12"/>
        <v>加速</v>
      </c>
      <c r="I100" s="1" t="s">
        <v>173</v>
      </c>
      <c r="J100" s="1">
        <f t="shared" si="13"/>
        <v>1011406.5477824432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81.343933375717427</v>
      </c>
      <c r="D101" s="1">
        <f>((2*G100+G22)+(2/B2)*(E6+2.5*B3*B9)+3*B16)/1.25</f>
        <v>68.111821633554086</v>
      </c>
      <c r="E101" s="1">
        <f>(2*(2*G100+G22)+(2/B2)*(E6+2.5*B3*B9)+6*B16)/2</f>
        <v>73.610982375275938</v>
      </c>
      <c r="F101" s="1">
        <f t="shared" si="10"/>
        <v>68.111821633554086</v>
      </c>
      <c r="G101" s="1">
        <f t="shared" si="11"/>
        <v>68.111821633554086</v>
      </c>
      <c r="H101" s="1" t="str">
        <f t="shared" si="12"/>
        <v>增产</v>
      </c>
      <c r="I101" s="1" t="s">
        <v>40</v>
      </c>
      <c r="J101" s="1">
        <f t="shared" si="13"/>
        <v>280400.66381944204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37.011047622075054</v>
      </c>
      <c r="D102" s="1">
        <f>(G33+(6/B2)*(E6+2.5*B3*B9)+11*B16)/2.5</f>
        <v>34.900194514790286</v>
      </c>
      <c r="E102" s="1">
        <f>(2*G33+(6/B2)*(E6+2.5*B3*B9)+22*B16)/4</f>
        <v>26.33205114348786</v>
      </c>
      <c r="F102" s="1">
        <f t="shared" si="10"/>
        <v>26.33205114348786</v>
      </c>
      <c r="G102" s="1">
        <f t="shared" si="11"/>
        <v>26.33205114348786</v>
      </c>
      <c r="H102" s="1" t="str">
        <f t="shared" si="12"/>
        <v>加速</v>
      </c>
      <c r="I102" s="1" t="s">
        <v>176</v>
      </c>
      <c r="J102" s="1">
        <f t="shared" si="13"/>
        <v>725298.6064749934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204.71852071728034</v>
      </c>
      <c r="D103" s="1">
        <f>((G52+20*C22+G91)+(12/B2)*(F6+2.5*B3*B9)+22*B16)/2.5</f>
        <v>174.35752940808476</v>
      </c>
      <c r="E103" s="1">
        <f>(2*(G52+20*C22+G91)+(12/B2)*(F6+2.5*B3*B9)+44*B16)/4</f>
        <v>183.36052776010598</v>
      </c>
      <c r="F103" s="1">
        <f t="shared" si="10"/>
        <v>174.35752940808476</v>
      </c>
      <c r="G103" s="1">
        <f t="shared" si="11"/>
        <v>174.35752940808476</v>
      </c>
      <c r="H103" s="1" t="str">
        <f t="shared" si="12"/>
        <v>增产</v>
      </c>
      <c r="I103" s="1" t="s">
        <v>178</v>
      </c>
      <c r="J103" s="1">
        <f t="shared" si="13"/>
        <v>109536.99599229592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498.61884251125832</v>
      </c>
      <c r="D104" s="1" t="s">
        <v>96</v>
      </c>
      <c r="E104" s="1">
        <f>(2*(12*G72+G96+G52)+(24/B2)*(G6+2.5*B3*B9)+52*B16)/4</f>
        <v>447.61898639823403</v>
      </c>
      <c r="F104" s="1">
        <f t="shared" si="10"/>
        <v>447.61898639823403</v>
      </c>
      <c r="G104" s="1">
        <f t="shared" si="11"/>
        <v>447.61898639823403</v>
      </c>
      <c r="H104" s="1" t="str">
        <f t="shared" si="12"/>
        <v>加速</v>
      </c>
      <c r="I104" s="1" t="s">
        <v>180</v>
      </c>
      <c r="J104" s="1">
        <f t="shared" si="13"/>
        <v>42667.090941956856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103.69348179779249</v>
      </c>
      <c r="D105" s="1">
        <f>((2*G51+3*G31)+(4/B2)*(E6+2.5*B3*B9)+5*B16)/1.25</f>
        <v>88.29179128653422</v>
      </c>
      <c r="E105" s="1">
        <f>(2*(2*G51+3*G31)+(4/B2)*(E6+2.5*B3*B9)+10*B16)/2</f>
        <v>87.307149774834443</v>
      </c>
      <c r="F105" s="1">
        <f t="shared" si="10"/>
        <v>87.307149774834443</v>
      </c>
      <c r="G105" s="1">
        <f t="shared" si="11"/>
        <v>87.307149774834443</v>
      </c>
      <c r="H105" s="1" t="str">
        <f t="shared" si="12"/>
        <v>加速</v>
      </c>
      <c r="I105" s="1" t="s">
        <v>182</v>
      </c>
      <c r="J105" s="1">
        <f t="shared" si="13"/>
        <v>218751.84391261634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855.30920047328914</v>
      </c>
      <c r="D106" s="1">
        <f>((5*G52+5*G61)+(6/B2)*(E6+2.5*B3*B9)+10*B16)/1.25</f>
        <v>694.09372919523173</v>
      </c>
      <c r="E106" s="1">
        <f>(2*(5*G52+5*G61)+(6/B2)*(E6+2.5*B3*B9)+20*B16)/2</f>
        <v>833.03077749403974</v>
      </c>
      <c r="F106" s="1">
        <f t="shared" si="10"/>
        <v>694.09372919523173</v>
      </c>
      <c r="G106" s="1">
        <f t="shared" si="11"/>
        <v>694.09372919523173</v>
      </c>
      <c r="H106" s="1" t="str">
        <f t="shared" si="12"/>
        <v>增产</v>
      </c>
      <c r="I106" s="1" t="s">
        <v>184</v>
      </c>
      <c r="J106" s="1">
        <f t="shared" si="13"/>
        <v>27515.880343918259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28.627539452538635</v>
      </c>
      <c r="D110" s="1">
        <f>((G50+G57)+(3/G2)*(P6+2.5*G3*B9)+2*B16)/1.25</f>
        <v>25.202362477350995</v>
      </c>
      <c r="E110" s="1">
        <f>(2*(G50+G57)+(3/G2)*(P6+2.5*G3*B9)+4*B16)/2</f>
        <v>27.640825096688744</v>
      </c>
      <c r="F110" s="1">
        <f t="shared" ref="F110:F115" si="14">MIN(C110:E110)</f>
        <v>25.202362477350995</v>
      </c>
      <c r="G110" s="1">
        <f t="shared" ref="G110:G115" si="15">F110</f>
        <v>25.202362477350995</v>
      </c>
      <c r="H110" s="1" t="str">
        <f t="shared" ref="H110:H115" si="16">IF(C110=G110,"不使用增产剂","")&amp;IF(D110=G110,"增产","")&amp;IF(E110=G110,"加速","")</f>
        <v>增产</v>
      </c>
      <c r="I110" s="1" t="s">
        <v>187</v>
      </c>
      <c r="J110" s="1">
        <f t="shared" ref="J110:J115" si="17">60*318310/G110</f>
        <v>757809.90838313824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29.285380888300224</v>
      </c>
      <c r="D111" s="1">
        <f>((2*G35)+(6/G2)*(P6+2.5*G3*B9)+4*B16)/1.25</f>
        <v>28.028966541280358</v>
      </c>
      <c r="E111" s="1">
        <f>(2*(2*G35)+(6/G2)*(P6+2.5*G3*B9)+8*B16)/2</f>
        <v>27.311952176600442</v>
      </c>
      <c r="F111" s="1">
        <f t="shared" si="14"/>
        <v>27.311952176600442</v>
      </c>
      <c r="G111" s="1">
        <f t="shared" si="15"/>
        <v>27.311952176600442</v>
      </c>
      <c r="H111" s="1" t="str">
        <f t="shared" si="16"/>
        <v>加速</v>
      </c>
      <c r="I111" s="1" t="s">
        <v>189</v>
      </c>
      <c r="J111" s="1">
        <f t="shared" si="17"/>
        <v>699276.26837171882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71.189742965121411</v>
      </c>
      <c r="D112" s="1">
        <f>((H22+G62)+(8/G2)*(P6+2.5*G3*B9)+2*B16)/1.25</f>
        <v>60.631530087417218</v>
      </c>
      <c r="E112" s="1">
        <f>(2*(H22+G62)+(8/G2)*(P6+2.5*G3*B9)+4*B16)/2</f>
        <v>65.490404609271522</v>
      </c>
      <c r="F112" s="1">
        <f t="shared" si="14"/>
        <v>60.631530087417218</v>
      </c>
      <c r="G112" s="1">
        <f t="shared" si="15"/>
        <v>60.631530087417218</v>
      </c>
      <c r="H112" s="1" t="str">
        <f t="shared" si="16"/>
        <v>增产</v>
      </c>
      <c r="I112" s="1" t="s">
        <v>191</v>
      </c>
      <c r="J112" s="1">
        <f t="shared" si="17"/>
        <v>314994.52467163629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413.25036658719648</v>
      </c>
      <c r="D113" s="1">
        <f>((2*G59+G74)+(10/G2)*(P6+2.5*G3*B9)+3*B16)/1.25</f>
        <v>335.56813492273733</v>
      </c>
      <c r="E113" s="1">
        <f>(2*(2*G59+G74)+(10/G2)*(P6+2.5*G3*B9)+6*B16)/2</f>
        <v>406.58640865342164</v>
      </c>
      <c r="F113" s="1">
        <f t="shared" si="14"/>
        <v>335.56813492273733</v>
      </c>
      <c r="G113" s="1">
        <f t="shared" si="15"/>
        <v>335.56813492273733</v>
      </c>
      <c r="H113" s="1" t="str">
        <f t="shared" si="16"/>
        <v>增产</v>
      </c>
      <c r="I113" s="1" t="s">
        <v>193</v>
      </c>
      <c r="J113" s="1">
        <f t="shared" si="17"/>
        <v>56914.224005200449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485.73357475037534</v>
      </c>
      <c r="D114" s="1">
        <f>((G93+G92)+(24/G2)*(P6+2.5*G3*B9)+2*B16)/2.5</f>
        <v>392.63377533796029</v>
      </c>
      <c r="E114" s="1">
        <f>(2*(G93+G92)+(24/G2)*(P6+2.5*G3*B9)+4*B16)/4</f>
        <v>475.34370717245037</v>
      </c>
      <c r="F114" s="1">
        <f t="shared" si="14"/>
        <v>392.63377533796029</v>
      </c>
      <c r="G114" s="1">
        <f t="shared" si="15"/>
        <v>392.63377533796029</v>
      </c>
      <c r="H114" s="1" t="str">
        <f t="shared" si="16"/>
        <v>增产</v>
      </c>
      <c r="I114" s="1" t="s">
        <v>195</v>
      </c>
      <c r="J114" s="1">
        <f t="shared" si="17"/>
        <v>48642.274810822993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918.90109702414134</v>
      </c>
      <c r="D115" s="1">
        <f>((G110+G111+G112+G113+G114+G72)+(15/G2)*(Q6+2.5*G3*B9)+6*B16)/1.25</f>
        <v>743.67715612527331</v>
      </c>
      <c r="E115" s="1">
        <f>(2*(G110+G111+G112+G113+G114+G72)+(15/G2)*(Q6+2.5*G3*B9)+12*B16)/2</f>
        <v>906.03580515659166</v>
      </c>
      <c r="F115" s="1">
        <f t="shared" si="14"/>
        <v>743.67715612527331</v>
      </c>
      <c r="G115" s="1">
        <f t="shared" si="15"/>
        <v>743.67715612527331</v>
      </c>
      <c r="H115" s="1" t="str">
        <f t="shared" si="16"/>
        <v>增产</v>
      </c>
      <c r="I115" s="1" t="s">
        <v>197</v>
      </c>
      <c r="J115" s="1">
        <f t="shared" si="17"/>
        <v>25681.305177515522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143" priority="34" operator="equal">
      <formula>"不使用增产剂"</formula>
    </cfRule>
    <cfRule type="cellIs" dxfId="142" priority="35" operator="equal">
      <formula>"加速"</formula>
    </cfRule>
    <cfRule type="cellIs" dxfId="141" priority="36" operator="equal">
      <formula>"增产"</formula>
    </cfRule>
  </conditionalFormatting>
  <conditionalFormatting sqref="A49:F49">
    <cfRule type="cellIs" dxfId="140" priority="31" operator="equal">
      <formula>"不使用增产剂"</formula>
    </cfRule>
    <cfRule type="cellIs" dxfId="139" priority="32" operator="equal">
      <formula>"加速"</formula>
    </cfRule>
    <cfRule type="cellIs" dxfId="138" priority="33" operator="equal">
      <formula>"增产"</formula>
    </cfRule>
  </conditionalFormatting>
  <conditionalFormatting sqref="A90:F90">
    <cfRule type="cellIs" dxfId="137" priority="28" operator="equal">
      <formula>"不使用增产剂"</formula>
    </cfRule>
    <cfRule type="cellIs" dxfId="136" priority="29" operator="equal">
      <formula>"加速"</formula>
    </cfRule>
    <cfRule type="cellIs" dxfId="135" priority="30" operator="equal">
      <formula>"增产"</formula>
    </cfRule>
  </conditionalFormatting>
  <conditionalFormatting sqref="A109:F109">
    <cfRule type="cellIs" dxfId="134" priority="25" operator="equal">
      <formula>"不使用增产剂"</formula>
    </cfRule>
    <cfRule type="cellIs" dxfId="133" priority="26" operator="equal">
      <formula>"加速"</formula>
    </cfRule>
    <cfRule type="cellIs" dxfId="132" priority="27" operator="equal">
      <formula>"增产"</formula>
    </cfRule>
  </conditionalFormatting>
  <conditionalFormatting sqref="I30:I45">
    <cfRule type="cellIs" dxfId="131" priority="22" operator="equal">
      <formula>"不使用增产剂"</formula>
    </cfRule>
    <cfRule type="cellIs" dxfId="130" priority="23" operator="equal">
      <formula>"加速"</formula>
    </cfRule>
    <cfRule type="cellIs" dxfId="129" priority="24" operator="equal">
      <formula>"增产"</formula>
    </cfRule>
  </conditionalFormatting>
  <conditionalFormatting sqref="I50:I74">
    <cfRule type="cellIs" dxfId="128" priority="19" operator="equal">
      <formula>"不使用增产剂"</formula>
    </cfRule>
    <cfRule type="cellIs" dxfId="127" priority="20" operator="equal">
      <formula>"加速"</formula>
    </cfRule>
    <cfRule type="cellIs" dxfId="126" priority="21" operator="equal">
      <formula>"增产"</formula>
    </cfRule>
  </conditionalFormatting>
  <conditionalFormatting sqref="I91:I106">
    <cfRule type="cellIs" dxfId="125" priority="16" operator="equal">
      <formula>"不使用增产剂"</formula>
    </cfRule>
    <cfRule type="cellIs" dxfId="124" priority="17" operator="equal">
      <formula>"加速"</formula>
    </cfRule>
    <cfRule type="cellIs" dxfId="123" priority="18" operator="equal">
      <formula>"增产"</formula>
    </cfRule>
  </conditionalFormatting>
  <conditionalFormatting sqref="I110:I115">
    <cfRule type="cellIs" dxfId="122" priority="13" operator="equal">
      <formula>"不使用增产剂"</formula>
    </cfRule>
    <cfRule type="cellIs" dxfId="121" priority="14" operator="equal">
      <formula>"加速"</formula>
    </cfRule>
    <cfRule type="cellIs" dxfId="120" priority="15" operator="equal">
      <formula>"增产"</formula>
    </cfRule>
  </conditionalFormatting>
  <conditionalFormatting sqref="A75">
    <cfRule type="cellIs" dxfId="119" priority="10" operator="equal">
      <formula>"不使用增产剂"</formula>
    </cfRule>
    <cfRule type="cellIs" dxfId="118" priority="11" operator="equal">
      <formula>"加速"</formula>
    </cfRule>
    <cfRule type="cellIs" dxfId="117" priority="12" operator="equal">
      <formula>"增产"</formula>
    </cfRule>
  </conditionalFormatting>
  <conditionalFormatting sqref="I75">
    <cfRule type="cellIs" dxfId="116" priority="7" operator="equal">
      <formula>"不使用增产剂"</formula>
    </cfRule>
    <cfRule type="cellIs" dxfId="115" priority="8" operator="equal">
      <formula>"加速"</formula>
    </cfRule>
    <cfRule type="cellIs" dxfId="114" priority="9" operator="equal">
      <formula>"增产"</formula>
    </cfRule>
  </conditionalFormatting>
  <conditionalFormatting sqref="A77">
    <cfRule type="cellIs" dxfId="113" priority="4" operator="equal">
      <formula>"不使用增产剂"</formula>
    </cfRule>
    <cfRule type="cellIs" dxfId="112" priority="5" operator="equal">
      <formula>"加速"</formula>
    </cfRule>
    <cfRule type="cellIs" dxfId="111" priority="6" operator="equal">
      <formula>"增产"</formula>
    </cfRule>
  </conditionalFormatting>
  <conditionalFormatting sqref="I77">
    <cfRule type="cellIs" dxfId="110" priority="1" operator="equal">
      <formula>"不使用增产剂"</formula>
    </cfRule>
    <cfRule type="cellIs" dxfId="109" priority="2" operator="equal">
      <formula>"加速"</formula>
    </cfRule>
    <cfRule type="cellIs" dxfId="108" priority="3" operator="equal">
      <formula>"增产"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39D5-BAAA-460A-B081-3A5FCABA6019}">
  <dimension ref="A1:U115"/>
  <sheetViews>
    <sheetView topLeftCell="D25" zoomScale="70" zoomScaleNormal="70" workbookViewId="0">
      <selection activeCell="L30" sqref="L30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customFormat="1" x14ac:dyDescent="0.2">
      <c r="A6" t="s">
        <v>255</v>
      </c>
      <c r="B6">
        <v>7.9042119565217395E-2</v>
      </c>
      <c r="C6">
        <v>0.12972146739130436</v>
      </c>
      <c r="D6">
        <v>7.9042119565217395E-2</v>
      </c>
      <c r="E6">
        <v>0.10438179347826086</v>
      </c>
      <c r="F6">
        <v>0.12972146739130436</v>
      </c>
      <c r="G6">
        <v>0.15506114130434781</v>
      </c>
      <c r="H6">
        <v>7.9042119565217395E-2</v>
      </c>
      <c r="I6">
        <v>0.10438179347826086</v>
      </c>
      <c r="J6">
        <v>7.9042119565217395E-2</v>
      </c>
      <c r="K6">
        <v>0.10438179347826086</v>
      </c>
      <c r="L6">
        <v>0.12972146739130436</v>
      </c>
      <c r="M6">
        <v>7.9042119565217395E-2</v>
      </c>
      <c r="N6">
        <v>0.10438179347826086</v>
      </c>
      <c r="O6">
        <v>1.348523434596804</v>
      </c>
      <c r="P6">
        <v>1.399202782422891</v>
      </c>
      <c r="Q6">
        <v>1.5005614780750649</v>
      </c>
      <c r="R6">
        <v>5.3702445652173914E-2</v>
      </c>
      <c r="S6">
        <v>5.3702445652173914E-2</v>
      </c>
      <c r="T6">
        <v>3.6809329710144931E-2</v>
      </c>
      <c r="U6">
        <v>2.8362771739130436E-2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7.8649999999999998E-4</v>
      </c>
      <c r="C9" s="1">
        <f>(F104+F101/74+50*R6)/7200</f>
        <v>7.864120875946054E-4</v>
      </c>
      <c r="D9" s="1">
        <f>50*R6/7200</f>
        <v>3.7293365036231884E-4</v>
      </c>
      <c r="E9" s="1">
        <v>1.7174272542672318</v>
      </c>
      <c r="F9" s="1">
        <v>1.518696176532536</v>
      </c>
      <c r="G9" s="1">
        <v>1.2</v>
      </c>
      <c r="H9" s="1">
        <v>1.5096445348909715</v>
      </c>
      <c r="I9" s="1">
        <f>(H9-G9)/(1-(F9-H9)/(E9-G9))+G9</f>
        <v>1.5151577642758864</v>
      </c>
    </row>
    <row r="10" spans="1:21" x14ac:dyDescent="0.2">
      <c r="A10" s="1" t="s">
        <v>36</v>
      </c>
      <c r="C10" s="1">
        <f>(F104+100*R6)/7200</f>
        <v>1.1586979509450484E-3</v>
      </c>
      <c r="D10" s="1">
        <f>100*R6/7200</f>
        <v>7.4586730072463768E-4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4.6639999999999997E-3</v>
      </c>
      <c r="C16" s="1">
        <f>F101/74</f>
        <v>4.664066485507247E-3</v>
      </c>
      <c r="D16" s="1">
        <v>0.02</v>
      </c>
      <c r="E16" s="1">
        <v>3.1742090460025241E-2</v>
      </c>
      <c r="F16" s="1">
        <v>3.1742090460025241E-2</v>
      </c>
      <c r="G16" s="1">
        <v>3.390009627430015E-2</v>
      </c>
      <c r="H16" s="1">
        <f>(G16-F16)/(1-(E16-G16)/(D16-F16))+F16</f>
        <v>3.4386004868242843E-2</v>
      </c>
    </row>
    <row r="17" spans="1:18" ht="15" customHeight="1" x14ac:dyDescent="0.2"/>
    <row r="18" spans="1:18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8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8" x14ac:dyDescent="0.2">
      <c r="A20" s="1" t="s">
        <v>51</v>
      </c>
      <c r="B20" s="1">
        <f>G67</f>
        <v>1.5178273761623187</v>
      </c>
      <c r="C20" s="1">
        <f>G43</f>
        <v>2.4139194360686671E-2</v>
      </c>
      <c r="D20" s="1">
        <f>G64</f>
        <v>0.63484520724637683</v>
      </c>
      <c r="E20" s="1">
        <f>G69</f>
        <v>0.4013485415760869</v>
      </c>
      <c r="F20" s="1">
        <f>10*S6</f>
        <v>0.53702445652173914</v>
      </c>
      <c r="G20" s="1">
        <f>G75</f>
        <v>0.13650666168478259</v>
      </c>
      <c r="H20" s="1">
        <f>G76</f>
        <v>9.5865519565217383E-2</v>
      </c>
      <c r="I20" s="1">
        <f>G77</f>
        <v>9.5865519565217383E-2</v>
      </c>
      <c r="J20" s="1">
        <f>G78</f>
        <v>0.93307065043478254</v>
      </c>
    </row>
    <row r="21" spans="1:18" x14ac:dyDescent="0.2">
      <c r="A21" s="1" t="s">
        <v>52</v>
      </c>
      <c r="B21" s="1">
        <f>G66</f>
        <v>0.24823988442028982</v>
      </c>
      <c r="C21" s="1">
        <f>G44</f>
        <v>3.4987279891304346E-2</v>
      </c>
      <c r="D21" s="1">
        <f>G63</f>
        <v>0.34204380326086953</v>
      </c>
      <c r="E21" s="1">
        <f>G70</f>
        <v>0.17827880389492753</v>
      </c>
      <c r="F21" s="1">
        <f>G45</f>
        <v>0.14009348383635264</v>
      </c>
      <c r="G21" s="1">
        <f>G41</f>
        <v>6.830644673913043E-2</v>
      </c>
      <c r="H21" s="1">
        <f>G38</f>
        <v>1.7683284918478263E-2</v>
      </c>
      <c r="I21" s="1">
        <f>G37</f>
        <v>2.262341739130435E-2</v>
      </c>
      <c r="J21" s="1" t="s">
        <v>234</v>
      </c>
    </row>
    <row r="22" spans="1:18" x14ac:dyDescent="0.2">
      <c r="A22" s="1" t="s">
        <v>53</v>
      </c>
      <c r="B22" s="1">
        <f>B21</f>
        <v>0.24823988442028982</v>
      </c>
      <c r="C22" s="1">
        <f>C19</f>
        <v>0</v>
      </c>
      <c r="D22" s="1">
        <f t="shared" ref="D22:I22" si="0">D21</f>
        <v>0.34204380326086953</v>
      </c>
      <c r="E22" s="1">
        <f t="shared" si="0"/>
        <v>0.17827880389492753</v>
      </c>
      <c r="F22" s="1">
        <f t="shared" si="0"/>
        <v>0.14009348383635264</v>
      </c>
      <c r="G22" s="1">
        <f t="shared" si="0"/>
        <v>6.830644673913043E-2</v>
      </c>
      <c r="H22" s="1">
        <f t="shared" si="0"/>
        <v>1.7683284918478263E-2</v>
      </c>
      <c r="I22" s="1">
        <f t="shared" si="0"/>
        <v>2.262341739130435E-2</v>
      </c>
      <c r="J22" s="1">
        <f>J19</f>
        <v>0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4.00873397826087E-2</v>
      </c>
      <c r="D30" s="1">
        <f>((B6+C3*B9*2.5)/C2+B16)/1.25</f>
        <v>3.6480607826086961E-2</v>
      </c>
      <c r="E30" s="1">
        <f>((B6+C3*B9*2.5)/C2+2*B16)/2</f>
        <v>2.5132379891304346E-2</v>
      </c>
      <c r="F30" s="1">
        <f>MIN(C30:E30)</f>
        <v>2.5132379891304346E-2</v>
      </c>
      <c r="G30" s="1">
        <f>F30</f>
        <v>2.5132379891304346E-2</v>
      </c>
      <c r="H30" s="1" t="str">
        <f t="shared" ref="H30:H37" si="1">IF(C30=G30,"不使用增产剂","")&amp;IF(D30=G30,"增产","")&amp;IF(E30=G30,"加速","")</f>
        <v>加速</v>
      </c>
      <c r="I30" s="1" t="s">
        <v>66</v>
      </c>
      <c r="J30" s="1">
        <f t="shared" ref="J30:J45" si="2">G30/1000000000</f>
        <v>2.5132379891304347E-11</v>
      </c>
      <c r="Q30" s="1">
        <f t="shared" ref="Q30:Q45" si="3">60*318310/G30</f>
        <v>759920074.52537358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4.00873397826087E-2</v>
      </c>
      <c r="D31" s="1">
        <f>((B6+C3*B9*2.5)/C2+B16)/1.25</f>
        <v>3.6480607826086961E-2</v>
      </c>
      <c r="E31" s="1">
        <f>((B6+C3*B9*2.5)/C2+2*B16)/2</f>
        <v>2.5132379891304346E-2</v>
      </c>
      <c r="F31" s="1">
        <f t="shared" ref="F31:F44" si="4">MIN(C31:E31)</f>
        <v>2.5132379891304346E-2</v>
      </c>
      <c r="G31" s="1">
        <f t="shared" ref="G31:G44" si="5">F31</f>
        <v>2.5132379891304346E-2</v>
      </c>
      <c r="H31" s="1" t="str">
        <f t="shared" si="1"/>
        <v>加速</v>
      </c>
      <c r="I31" s="1" t="s">
        <v>69</v>
      </c>
      <c r="J31" s="1">
        <f t="shared" si="2"/>
        <v>2.5132379891304347E-11</v>
      </c>
      <c r="Q31" s="1">
        <f t="shared" si="3"/>
        <v>759920074.52537358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8.0174679565217399E-2</v>
      </c>
      <c r="D32" s="1">
        <f>(2*(B6+C3*B9*2.5)/C2+2*B16)/1.25</f>
        <v>7.2961215652173922E-2</v>
      </c>
      <c r="E32" s="1">
        <f>(2*(B6+C3*B9*2.5)/C2+4*B16)/2</f>
        <v>5.0264759782608692E-2</v>
      </c>
      <c r="F32" s="1">
        <f t="shared" si="4"/>
        <v>5.0264759782608692E-2</v>
      </c>
      <c r="G32" s="1">
        <f t="shared" si="5"/>
        <v>5.0264759782608692E-2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2"/>
        <v>5.0264759782608693E-11</v>
      </c>
      <c r="Q32" s="1">
        <f t="shared" si="3"/>
        <v>379960037.26268679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8.0174679565217399E-2</v>
      </c>
      <c r="D33" s="1">
        <f>(2*(B6+C3*B9*2.5)/C2+2*B16)/1.25</f>
        <v>7.2961215652173922E-2</v>
      </c>
      <c r="E33" s="1">
        <f>(2*(B6+C3*B9*2.5)/C2+4*B16)/2</f>
        <v>5.0264759782608692E-2</v>
      </c>
      <c r="F33" s="1">
        <f t="shared" si="4"/>
        <v>5.0264759782608692E-2</v>
      </c>
      <c r="G33" s="1">
        <f t="shared" si="5"/>
        <v>5.0264759782608692E-2</v>
      </c>
      <c r="H33" s="1" t="str">
        <f t="shared" si="1"/>
        <v>加速</v>
      </c>
      <c r="I33" s="1" t="s">
        <v>73</v>
      </c>
      <c r="J33" s="1">
        <f t="shared" si="2"/>
        <v>5.0264759782608693E-11</v>
      </c>
      <c r="Q33" s="1">
        <f t="shared" si="3"/>
        <v>379960037.26268679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4.00873397826087E-2</v>
      </c>
      <c r="D34" s="1">
        <f>((B6+C3*B9*2.5)/C2+B16)/1.25</f>
        <v>3.6480607826086961E-2</v>
      </c>
      <c r="E34" s="1">
        <f>((B6+C3*B9*2.5)/C2+2*B16)/2</f>
        <v>2.5132379891304346E-2</v>
      </c>
      <c r="F34" s="1">
        <f t="shared" si="4"/>
        <v>2.5132379891304346E-2</v>
      </c>
      <c r="G34" s="1">
        <f t="shared" si="5"/>
        <v>2.5132379891304346E-2</v>
      </c>
      <c r="H34" s="1" t="str">
        <f t="shared" si="1"/>
        <v>加速</v>
      </c>
      <c r="I34" s="1" t="s">
        <v>75</v>
      </c>
      <c r="J34" s="1">
        <f t="shared" si="2"/>
        <v>2.5132379891304347E-11</v>
      </c>
      <c r="Q34" s="1">
        <f t="shared" si="3"/>
        <v>759920074.52537358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8.0174679565217399E-2</v>
      </c>
      <c r="D35" s="1">
        <f>(2*(B6+C3*B9*2.5)/C2+2*B16)/1.25</f>
        <v>7.2961215652173922E-2</v>
      </c>
      <c r="E35" s="1">
        <f>(2*(B6+C3*B9*2.5)/C2+4*B16)/2</f>
        <v>5.0264759782608692E-2</v>
      </c>
      <c r="F35" s="1">
        <f t="shared" si="4"/>
        <v>5.0264759782608692E-2</v>
      </c>
      <c r="G35" s="1">
        <f t="shared" si="5"/>
        <v>5.0264759782608692E-2</v>
      </c>
      <c r="H35" s="1" t="str">
        <f t="shared" si="1"/>
        <v>加速</v>
      </c>
      <c r="I35" s="1" t="s">
        <v>77</v>
      </c>
      <c r="J35" s="1">
        <f t="shared" si="2"/>
        <v>5.0264759782608693E-11</v>
      </c>
      <c r="Q35" s="1">
        <f t="shared" si="3"/>
        <v>379960037.26268679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8.0174679565217399E-2</v>
      </c>
      <c r="D36" s="1">
        <f>(2*(B6+C3*B9*2.5)/C2+2*B16)/1.25</f>
        <v>7.2961215652173922E-2</v>
      </c>
      <c r="E36" s="1">
        <f>(2*(B6+C3*B9*2.5)/C2+4*B16)/2</f>
        <v>5.0264759782608692E-2</v>
      </c>
      <c r="F36" s="1">
        <f t="shared" si="4"/>
        <v>5.0264759782608692E-2</v>
      </c>
      <c r="G36" s="1">
        <f t="shared" si="5"/>
        <v>5.0264759782608692E-2</v>
      </c>
      <c r="H36" s="1" t="str">
        <f t="shared" si="1"/>
        <v>加速</v>
      </c>
      <c r="I36" s="1" t="s">
        <v>79</v>
      </c>
      <c r="J36" s="1">
        <f t="shared" si="2"/>
        <v>5.0264759782608693E-11</v>
      </c>
      <c r="Q36" s="1">
        <f t="shared" si="3"/>
        <v>379960037.26268679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3.9945769782608699E-2</v>
      </c>
      <c r="D37" s="1">
        <f>(1.5*(D6+B3*B9*2.5)/B2+B16)/2.5</f>
        <v>3.4331867826086958E-2</v>
      </c>
      <c r="E37" s="1">
        <f>(1.5*(D6+B3*B9*2.5)/B2+2*B16)/4</f>
        <v>2.262341739130435E-2</v>
      </c>
      <c r="F37" s="1">
        <f t="shared" si="4"/>
        <v>2.262341739130435E-2</v>
      </c>
      <c r="G37" s="1">
        <f t="shared" si="5"/>
        <v>2.262341739130435E-2</v>
      </c>
      <c r="H37" s="1" t="str">
        <f t="shared" si="1"/>
        <v>加速</v>
      </c>
      <c r="I37" s="1" t="s">
        <v>81</v>
      </c>
      <c r="J37" s="1">
        <f t="shared" si="2"/>
        <v>2.2623417391304351E-11</v>
      </c>
      <c r="Q37" s="1">
        <f t="shared" si="3"/>
        <v>844196067.71436894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3.0065504836956525E-2</v>
      </c>
      <c r="D38" s="1">
        <f>(1.5*(B6+C3*B9*2.5)/C2+B16)/2.5</f>
        <v>2.642765586956522E-2</v>
      </c>
      <c r="E38" s="1">
        <f>(1.5*(B6+C3*B9*2.5)/C2+2*B16)/4</f>
        <v>1.7683284918478263E-2</v>
      </c>
      <c r="F38" s="1">
        <f t="shared" si="4"/>
        <v>1.7683284918478263E-2</v>
      </c>
      <c r="G38" s="1">
        <f t="shared" si="5"/>
        <v>1.7683284918478263E-2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2"/>
        <v>1.7683284918478262E-11</v>
      </c>
      <c r="Q38" s="1">
        <f t="shared" si="3"/>
        <v>1080036887.2665052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5.3040316739130428E-2</v>
      </c>
      <c r="D39" s="1">
        <f>(2*(I6+D3*B9*2.5)/D2+2*B16)/2.5</f>
        <v>4.7182757391304349E-2</v>
      </c>
      <c r="E39" s="1">
        <f>(2*(I6+D3*B9*2.5)/D2+4*B16)/4</f>
        <v>3.1821223369565214E-2</v>
      </c>
      <c r="F39" s="1">
        <f t="shared" si="4"/>
        <v>3.1821223369565214E-2</v>
      </c>
      <c r="G39" s="1">
        <f t="shared" si="5"/>
        <v>3.1821223369565214E-2</v>
      </c>
      <c r="H39" s="1" t="str">
        <f t="shared" ref="H39:H45" si="6">IF(C39=G39,"不使用增产剂","")&amp;IF(D39=G39,"增产","")&amp;IF(E39=G39,"加速","")</f>
        <v>加速</v>
      </c>
      <c r="I39" s="1" t="s">
        <v>85</v>
      </c>
      <c r="J39" s="1">
        <f t="shared" si="2"/>
        <v>3.1821223369565216E-11</v>
      </c>
      <c r="Q39" s="1">
        <f t="shared" si="3"/>
        <v>600184341.69524992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0.21027366695652172</v>
      </c>
      <c r="D40" s="1">
        <f>((4/E2)*(N6+B9*E3*2.5)+2*B16)/2.5</f>
        <v>0.17376222956521739</v>
      </c>
      <c r="E40" s="1">
        <f>((4/E2)*(N6+B9*E3*2.5)+4*B16)/4</f>
        <v>0.11093339347826087</v>
      </c>
      <c r="F40" s="1">
        <f t="shared" si="4"/>
        <v>0.11093339347826087</v>
      </c>
      <c r="G40" s="1">
        <f t="shared" si="5"/>
        <v>0.11093339347826087</v>
      </c>
      <c r="H40" s="1" t="str">
        <f t="shared" si="6"/>
        <v>加速</v>
      </c>
      <c r="I40" s="1" t="s">
        <v>87</v>
      </c>
      <c r="J40" s="1">
        <f t="shared" si="2"/>
        <v>1.1093339347826086E-10</v>
      </c>
      <c r="Q40" s="1">
        <f t="shared" si="3"/>
        <v>172162767.23512176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0.10608063347826086</v>
      </c>
      <c r="D41" s="1">
        <f>(4*(I6+D3*B9*2.5)/D2+6*B16)/2.5</f>
        <v>9.8096714782608702E-2</v>
      </c>
      <c r="E41" s="1">
        <f>(4*(I6+D3*B9*2.5)/D2+12*B16)/4</f>
        <v>6.830644673913043E-2</v>
      </c>
      <c r="F41" s="1">
        <f t="shared" si="4"/>
        <v>6.830644673913043E-2</v>
      </c>
      <c r="G41" s="1">
        <f t="shared" si="5"/>
        <v>6.830644673913043E-2</v>
      </c>
      <c r="H41" s="1" t="str">
        <f t="shared" si="6"/>
        <v>加速</v>
      </c>
      <c r="I41" s="1" t="s">
        <v>89</v>
      </c>
      <c r="J41" s="1">
        <f t="shared" si="2"/>
        <v>6.8306446739130427E-11</v>
      </c>
      <c r="Q41" s="1">
        <f t="shared" si="3"/>
        <v>279601720.06808639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6.013100967391305E-2</v>
      </c>
      <c r="D42" s="1">
        <f>(1.5*(B6+C3*B9*2.5)/C2+B16)/1.25</f>
        <v>5.2855311739130439E-2</v>
      </c>
      <c r="E42" s="1">
        <f>(1.5*(B6+C3*B9*2.5)/C2+2*B16)/2</f>
        <v>3.5366569836956525E-2</v>
      </c>
      <c r="F42" s="1">
        <f t="shared" si="4"/>
        <v>3.5366569836956525E-2</v>
      </c>
      <c r="G42" s="1">
        <f t="shared" si="5"/>
        <v>3.5366569836956525E-2</v>
      </c>
      <c r="H42" s="1" t="str">
        <f t="shared" si="6"/>
        <v>加速</v>
      </c>
      <c r="I42" s="1" t="s">
        <v>91</v>
      </c>
      <c r="J42" s="1">
        <f t="shared" si="2"/>
        <v>3.5366569836956524E-11</v>
      </c>
      <c r="Q42" s="1">
        <f t="shared" si="3"/>
        <v>540018443.63325262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2.4139194360686671E-2</v>
      </c>
      <c r="F43" s="1">
        <f t="shared" si="4"/>
        <v>2.4139194360686671E-2</v>
      </c>
      <c r="G43" s="1">
        <f t="shared" si="5"/>
        <v>2.4139194360686671E-2</v>
      </c>
      <c r="H43" s="1" t="str">
        <f t="shared" si="6"/>
        <v>加速</v>
      </c>
      <c r="I43" s="1" t="s">
        <v>93</v>
      </c>
      <c r="J43" s="1">
        <f t="shared" si="2"/>
        <v>2.4139194360686671E-11</v>
      </c>
      <c r="K43" s="1" t="s">
        <v>241</v>
      </c>
      <c r="Q43" s="1">
        <f t="shared" si="3"/>
        <v>791186305.33520079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4.4240059782608698E-2</v>
      </c>
      <c r="D44" s="1">
        <f>(2.5*(J6+F3*B9*2.5)/F2+10*B16)/6.25</f>
        <v>4.8517247826086962E-2</v>
      </c>
      <c r="E44" s="1">
        <f>(2.5*(J6+F3*B9*2.5)/F2+20*B16)/10</f>
        <v>3.4987279891304346E-2</v>
      </c>
      <c r="F44" s="1">
        <f t="shared" si="4"/>
        <v>3.4987279891304346E-2</v>
      </c>
      <c r="G44" s="1">
        <f t="shared" si="5"/>
        <v>3.4987279891304346E-2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2"/>
        <v>3.4987279891304345E-11</v>
      </c>
      <c r="Q44" s="1">
        <f t="shared" si="3"/>
        <v>545872673.13532197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0.28014810100603865</v>
      </c>
      <c r="D45" s="1" t="s">
        <v>96</v>
      </c>
      <c r="E45" s="1">
        <f>((0.1*G92)+60*S6+0.1*B16)/24</f>
        <v>0.14009348383635264</v>
      </c>
      <c r="F45" s="1">
        <f>MIN(C45:E45)</f>
        <v>0.14009348383635264</v>
      </c>
      <c r="G45" s="1">
        <f>F45</f>
        <v>0.14009348383635264</v>
      </c>
      <c r="H45" s="1" t="str">
        <f t="shared" si="6"/>
        <v>加速</v>
      </c>
      <c r="I45" s="1" t="s">
        <v>101</v>
      </c>
      <c r="J45" s="1">
        <f t="shared" si="2"/>
        <v>1.4009348383635265E-10</v>
      </c>
      <c r="K45" s="1" t="s">
        <v>240</v>
      </c>
      <c r="Q45" s="1">
        <f t="shared" si="3"/>
        <v>136327539.84696135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8.3009830942028989E-2</v>
      </c>
      <c r="D50" s="1">
        <f>((2*G42+G31)+(E6+B3*B9*2.5)/B2+3*B16)/2.5</f>
        <v>7.2344432753623192E-2</v>
      </c>
      <c r="E50" s="1">
        <f>(2*(2*G42+G31)+(E6+2.5*B3*B9)/B2+6*B16)/4</f>
        <v>7.267965036231884E-2</v>
      </c>
      <c r="F50" s="1">
        <f t="shared" ref="F50:F78" si="7">MIN(C50:E50)</f>
        <v>7.2344432753623192E-2</v>
      </c>
      <c r="G50" s="1">
        <f t="shared" ref="G50:G78" si="8">F50</f>
        <v>7.2344432753623192E-2</v>
      </c>
      <c r="H50" s="1" t="str">
        <f t="shared" ref="H50:H78" si="9">IF(C50=G50,"不使用增产剂","")&amp;IF(D50=G50,"增产","")&amp;IF(E50=G50,"加速","")</f>
        <v>增产</v>
      </c>
      <c r="I50" s="1" t="s">
        <v>103</v>
      </c>
      <c r="J50" s="1">
        <f t="shared" ref="J50:J78" si="10">G50/1000000000</f>
        <v>7.2344432753623194E-11</v>
      </c>
      <c r="Q50" s="1">
        <f t="shared" ref="Q50:Q78" si="11">60*318310/G50</f>
        <v>263995435.07435262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0.19565915902173914</v>
      </c>
      <c r="D51" s="1">
        <f>((3*G30)+3*(B6+C3*B9*2.5)/C2+3*B16)/1.25</f>
        <v>0.16975953521739132</v>
      </c>
      <c r="E51" s="1">
        <f>(2*(3*G30)+3*(B6+C3*B9*2.5)/C2+6*B16)/2</f>
        <v>0.15079427934782608</v>
      </c>
      <c r="F51" s="1">
        <f t="shared" si="7"/>
        <v>0.15079427934782608</v>
      </c>
      <c r="G51" s="1">
        <f t="shared" si="8"/>
        <v>0.15079427934782608</v>
      </c>
      <c r="H51" s="1" t="str">
        <f t="shared" si="9"/>
        <v>加速</v>
      </c>
      <c r="I51" s="1" t="s">
        <v>105</v>
      </c>
      <c r="J51" s="1">
        <f t="shared" si="10"/>
        <v>1.5079427934782609E-10</v>
      </c>
      <c r="Q51" s="1">
        <f t="shared" si="11"/>
        <v>126653345.75422893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0.39734008021739131</v>
      </c>
      <c r="D52" s="1">
        <f>((4*G33+4*G51)+(12/C2)*(C6+C3*B9*2.5)+16*B16)/5</f>
        <v>0.33483547217391307</v>
      </c>
      <c r="E52" s="1">
        <f>(2*(4*G33+4*G51)+(12/C2)*(C6+C3*B9*2.5)+32*B16)/8</f>
        <v>0.31912968967391309</v>
      </c>
      <c r="F52" s="1">
        <f t="shared" si="7"/>
        <v>0.31912968967391309</v>
      </c>
      <c r="G52" s="1">
        <f t="shared" si="8"/>
        <v>0.31912968967391309</v>
      </c>
      <c r="H52" s="1" t="str">
        <f t="shared" si="9"/>
        <v>加速</v>
      </c>
      <c r="I52" s="1" t="s">
        <v>107</v>
      </c>
      <c r="J52" s="1">
        <f t="shared" si="10"/>
        <v>3.1912968967391308E-10</v>
      </c>
      <c r="Q52" s="1">
        <f t="shared" si="11"/>
        <v>59845889.04753726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0.3181476652173913</v>
      </c>
      <c r="D53" s="1">
        <f>((2*G36+2*G33)+(5/B2)*(F6+2.5*B3*B9)+6*B16)/2.5</f>
        <v>0.26741057217391306</v>
      </c>
      <c r="E53" s="1">
        <f>(2*(2*G36+2*G33)+(5/B2)*(F6+2.5*B3*B9)+12*B16)/4</f>
        <v>0.22439236739130436</v>
      </c>
      <c r="F53" s="1">
        <f t="shared" si="7"/>
        <v>0.22439236739130436</v>
      </c>
      <c r="G53" s="1">
        <f t="shared" si="8"/>
        <v>0.22439236739130436</v>
      </c>
      <c r="H53" s="1" t="str">
        <f t="shared" si="9"/>
        <v>加速</v>
      </c>
      <c r="I53" s="1" t="s">
        <v>109</v>
      </c>
      <c r="J53" s="1">
        <f t="shared" si="10"/>
        <v>2.2439236739130437E-10</v>
      </c>
      <c r="Q53" s="1">
        <f t="shared" si="11"/>
        <v>85112520.635316879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0.12865816605072464</v>
      </c>
      <c r="D54" s="1">
        <f>((3*G36)+(2/B2)*(D6+B3*B9*2.5)+3*B16)/2.5</f>
        <v>0.1092028688405797</v>
      </c>
      <c r="E54" s="1">
        <f>((6*G36)+(2/B2)*(D6+B3*B9*2.5)+6*B16)/4</f>
        <v>0.10944836286231883</v>
      </c>
      <c r="F54" s="1">
        <f t="shared" si="7"/>
        <v>0.1092028688405797</v>
      </c>
      <c r="G54" s="1">
        <f t="shared" si="8"/>
        <v>0.1092028688405797</v>
      </c>
      <c r="H54" s="1" t="str">
        <f t="shared" si="9"/>
        <v>增产</v>
      </c>
      <c r="I54" s="1" t="s">
        <v>111</v>
      </c>
      <c r="J54" s="1">
        <f t="shared" si="10"/>
        <v>1.0920286884057969E-10</v>
      </c>
      <c r="Q54" s="1">
        <f t="shared" si="11"/>
        <v>174891009.75800532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0.64809175333333324</v>
      </c>
      <c r="D55" s="1">
        <f>((4*G50+2*G54)+(2/B2)*(E6+2.5*B3*B9)+6*B16)/1.25</f>
        <v>0.54221967466666665</v>
      </c>
      <c r="E55" s="1">
        <f>(2*(4*G50+2*G54)+(2/B2)*(E6+2.5*B3*B9)+12*B16)/2</f>
        <v>0.6067710310144927</v>
      </c>
      <c r="F55" s="1">
        <f t="shared" si="7"/>
        <v>0.54221967466666665</v>
      </c>
      <c r="G55" s="1">
        <f t="shared" si="8"/>
        <v>0.54221967466666665</v>
      </c>
      <c r="H55" s="1" t="str">
        <f t="shared" si="9"/>
        <v>增产</v>
      </c>
      <c r="I55" s="1" t="s">
        <v>113</v>
      </c>
      <c r="J55" s="1">
        <f t="shared" si="10"/>
        <v>5.422196746666667E-10</v>
      </c>
      <c r="Q55" s="1">
        <f t="shared" si="11"/>
        <v>35222993.359178632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7.8393406268115945E-2</v>
      </c>
      <c r="D56" s="1">
        <f>(G30+(1/B2)*(D6+2.5*B3*B9)+B16)/1.25</f>
        <v>6.7125461014492752E-2</v>
      </c>
      <c r="E56" s="1">
        <f>(2*G30+(1/B2)*(D6+2.5*B3*B9)+2*B16)/2</f>
        <v>5.6851603079710142E-2</v>
      </c>
      <c r="F56" s="1">
        <f t="shared" si="7"/>
        <v>5.6851603079710142E-2</v>
      </c>
      <c r="G56" s="1">
        <f t="shared" si="8"/>
        <v>5.6851603079710142E-2</v>
      </c>
      <c r="H56" s="1" t="str">
        <f t="shared" si="9"/>
        <v>加速</v>
      </c>
      <c r="I56" s="1" t="s">
        <v>115</v>
      </c>
      <c r="J56" s="1">
        <f t="shared" si="10"/>
        <v>5.6851603079710139E-11</v>
      </c>
      <c r="Q56" s="1">
        <f t="shared" si="11"/>
        <v>335937756.64025432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7.2775640996376817E-2</v>
      </c>
      <c r="D57" s="1">
        <f>((2*G30+G31)+(E6+B3*B9*2.5)/B2+3*B16)/2.5</f>
        <v>6.4157080797101446E-2</v>
      </c>
      <c r="E57" s="1">
        <f>(2*(2*G30+G31)+(E6+B3*B9*2.5)/B2+6*B16)/4</f>
        <v>6.2445460416666668E-2</v>
      </c>
      <c r="F57" s="1">
        <f t="shared" si="7"/>
        <v>6.2445460416666668E-2</v>
      </c>
      <c r="G57" s="1">
        <f t="shared" si="8"/>
        <v>6.2445460416666668E-2</v>
      </c>
      <c r="H57" s="1" t="str">
        <f t="shared" si="9"/>
        <v>加速</v>
      </c>
      <c r="I57" s="1" t="s">
        <v>117</v>
      </c>
      <c r="J57" s="1">
        <f t="shared" si="10"/>
        <v>6.2445460416666673E-11</v>
      </c>
      <c r="Q57" s="1">
        <f t="shared" si="11"/>
        <v>305844490.09687489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0.26597018409420292</v>
      </c>
      <c r="D58" s="1">
        <f>((2*G32+G31)+2*(E6+B3*B9*2.5)/B2+3*B16)/1.25</f>
        <v>0.22532881927536233</v>
      </c>
      <c r="E58" s="1">
        <f>(2*(2*G32+G31)+2*(E6+B3*B9*2.5)/B2+6*B16)/2</f>
        <v>0.21065746177536232</v>
      </c>
      <c r="F58" s="1">
        <f t="shared" si="7"/>
        <v>0.21065746177536232</v>
      </c>
      <c r="G58" s="1">
        <f t="shared" si="8"/>
        <v>0.21065746177536232</v>
      </c>
      <c r="H58" s="1" t="str">
        <f t="shared" si="9"/>
        <v>加速</v>
      </c>
      <c r="I58" s="1" t="s">
        <v>119</v>
      </c>
      <c r="J58" s="1">
        <f t="shared" si="10"/>
        <v>2.1065746177536232E-10</v>
      </c>
      <c r="Q58" s="1">
        <f t="shared" si="11"/>
        <v>90661872.781729773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0.75666827134057968</v>
      </c>
      <c r="D59" s="1">
        <f>((2*G57+2*G58)+(3/B2)*(E6+B3*B9*2.5)+4*B16)/1.25</f>
        <v>0.62229802507246368</v>
      </c>
      <c r="E59" s="1">
        <f>(2*(2*G57+2*G58)+(3/B2)*(E6+B3*B9*2.5)+8*B16)/2</f>
        <v>0.67136718786231886</v>
      </c>
      <c r="F59" s="1">
        <f t="shared" si="7"/>
        <v>0.62229802507246368</v>
      </c>
      <c r="G59" s="1">
        <f t="shared" si="8"/>
        <v>0.62229802507246368</v>
      </c>
      <c r="H59" s="1" t="str">
        <f t="shared" si="9"/>
        <v>增产</v>
      </c>
      <c r="I59" s="1" t="s">
        <v>121</v>
      </c>
      <c r="J59" s="1">
        <f t="shared" si="10"/>
        <v>6.2229802507246371E-10</v>
      </c>
      <c r="Q59" s="1">
        <f t="shared" si="11"/>
        <v>30690439.677638471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0.35355531213768115</v>
      </c>
      <c r="D60" s="1">
        <f>((2*G30+G56+G50)+(2/B2)*(F6+2.5*B3*B9)+4*B16)/1.25</f>
        <v>0.29912812171014497</v>
      </c>
      <c r="E60" s="1">
        <f>(2*(2*G30+G56+G50)+(2/B2)*(F6+2.5*B3*B9)+8*B16)/2</f>
        <v>0.28601347387681159</v>
      </c>
      <c r="F60" s="1">
        <f t="shared" si="7"/>
        <v>0.28601347387681159</v>
      </c>
      <c r="G60" s="1">
        <f t="shared" si="8"/>
        <v>0.28601347387681159</v>
      </c>
      <c r="H60" s="1" t="str">
        <f t="shared" si="9"/>
        <v>加速</v>
      </c>
      <c r="I60" s="1" t="s">
        <v>123</v>
      </c>
      <c r="J60" s="1">
        <f t="shared" si="10"/>
        <v>2.8601347387681156E-10</v>
      </c>
      <c r="Q60" s="1">
        <f t="shared" si="11"/>
        <v>66775175.802472606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0.85702409789855061</v>
      </c>
      <c r="D61" s="1">
        <f>((2*G60+2*G50)+(2/B2)*(E6+2.5*B3*B9)+4*B16)/1.25</f>
        <v>0.70190315031884054</v>
      </c>
      <c r="E61" s="1">
        <f>(2*(2*G60+2*G50)+(2/B2)*(E6+2.5*B3*B9)+8*B16)/2</f>
        <v>0.80637537557971006</v>
      </c>
      <c r="F61" s="1">
        <f t="shared" si="7"/>
        <v>0.70190315031884054</v>
      </c>
      <c r="G61" s="1">
        <f t="shared" si="8"/>
        <v>0.70190315031884054</v>
      </c>
      <c r="H61" s="1" t="str">
        <f t="shared" si="9"/>
        <v>增产</v>
      </c>
      <c r="I61" s="1" t="s">
        <v>125</v>
      </c>
      <c r="J61" s="1">
        <f t="shared" si="10"/>
        <v>7.0190315031884059E-10</v>
      </c>
      <c r="Q61" s="1">
        <f t="shared" si="11"/>
        <v>27209736.829538994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((J22+3*G33)+(4/B2)*(E6+B3*B9))</f>
        <v>0.43141084862318835</v>
      </c>
      <c r="D62" s="1">
        <f>((J22+3*G33)+(4/B2)*(E6+B3*B9*2.5)+4*B16)/1.25</f>
        <v>0.36277162289855069</v>
      </c>
      <c r="E62" s="1">
        <f>(2*(J22+3*G33)+(4/B2)*(E6+B3*B9*2.5)+8*B16)/2</f>
        <v>0.31145740398550725</v>
      </c>
      <c r="F62" s="1">
        <f t="shared" si="7"/>
        <v>0.31145740398550725</v>
      </c>
      <c r="G62" s="1">
        <f t="shared" si="8"/>
        <v>0.31145740398550725</v>
      </c>
      <c r="H62" s="1" t="str">
        <f t="shared" si="9"/>
        <v>加速</v>
      </c>
      <c r="I62" s="1" t="s">
        <v>235</v>
      </c>
      <c r="J62" s="1">
        <f t="shared" si="10"/>
        <v>3.1145740398550723E-10</v>
      </c>
      <c r="Q62" s="1">
        <f t="shared" si="11"/>
        <v>61320102.702996574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0.4118314797826087</v>
      </c>
      <c r="D63" s="1">
        <f>((J22+2*G39)+(4/B2)*(F6+2.5*B3*B9)+22*B16)/1.25</f>
        <v>0.41426972782608695</v>
      </c>
      <c r="E63" s="1">
        <f>(2*(J22+2*G39)+(4/B2)*(F6+2.5*B3*B9)+44*B16)/2</f>
        <v>0.34204380326086953</v>
      </c>
      <c r="F63" s="1">
        <f t="shared" si="7"/>
        <v>0.34204380326086953</v>
      </c>
      <c r="G63" s="1">
        <f t="shared" si="8"/>
        <v>0.34204380326086953</v>
      </c>
      <c r="H63" s="1" t="str">
        <f t="shared" si="9"/>
        <v>加速</v>
      </c>
      <c r="I63" s="1" t="s">
        <v>128</v>
      </c>
      <c r="J63" s="1">
        <f t="shared" si="10"/>
        <v>3.4204380326086955E-10</v>
      </c>
      <c r="Q63" s="1">
        <f t="shared" si="11"/>
        <v>55836708.099733949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0.72328888376811595</v>
      </c>
      <c r="D64" s="1">
        <f>((G62+2*G39)+(4/B2)*(F6+2.5*B3*B9)+18*B16)/1.25</f>
        <v>0.6485108510144928</v>
      </c>
      <c r="E64" s="1">
        <f>(2*(G62+2*G39)+(4/B2)*(F6+2.5*B3*B9)+36*B16)/2</f>
        <v>0.63484520724637683</v>
      </c>
      <c r="F64" s="1">
        <f t="shared" si="7"/>
        <v>0.63484520724637683</v>
      </c>
      <c r="G64" s="1">
        <f t="shared" si="8"/>
        <v>0.63484520724637683</v>
      </c>
      <c r="H64" s="1" t="str">
        <f t="shared" si="9"/>
        <v>加速</v>
      </c>
      <c r="I64" s="1" t="s">
        <v>130</v>
      </c>
      <c r="J64" s="1">
        <f t="shared" si="10"/>
        <v>6.3484520724637685E-10</v>
      </c>
      <c r="Q64" s="1">
        <f t="shared" si="11"/>
        <v>30083868.921118014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((D22+2*G53)+(12/B2)*(E6+B3*B9))</f>
        <v>1.6326782458695652</v>
      </c>
      <c r="D65" s="1">
        <f>((D22+2*G53)+(12/B2)*(E6+2.5*B3*B9)+3*B16)/1.25</f>
        <v>1.3254906286956523</v>
      </c>
      <c r="E65" s="1">
        <f>(2*(D22+2*G53)+(12/B2)*(E6+2.5*B3*B9)+6*B16)/2</f>
        <v>1.2308419119565217</v>
      </c>
      <c r="F65" s="1">
        <f t="shared" si="7"/>
        <v>1.2308419119565217</v>
      </c>
      <c r="G65" s="1">
        <f t="shared" si="8"/>
        <v>1.2308419119565217</v>
      </c>
      <c r="H65" s="1" t="str">
        <f t="shared" si="9"/>
        <v>加速</v>
      </c>
      <c r="I65" s="1" t="s">
        <v>132</v>
      </c>
      <c r="J65" s="1">
        <f t="shared" si="10"/>
        <v>1.2308419119565217E-9</v>
      </c>
      <c r="Q65" s="1">
        <f t="shared" si="11"/>
        <v>15516696.185329964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0.33088132905797096</v>
      </c>
      <c r="D66" s="1">
        <f>((2*G31)+(4/B2)*(E6+2.5*B3*B9)+12*B16)/1.25</f>
        <v>0.3121976072463768</v>
      </c>
      <c r="E66" s="1">
        <f>(2*(2*G31)+(4/B2)*(E6+2.5*B3*B9)+24*B16)/2</f>
        <v>0.24823988442028982</v>
      </c>
      <c r="F66" s="1">
        <f t="shared" si="7"/>
        <v>0.24823988442028982</v>
      </c>
      <c r="G66" s="1">
        <f t="shared" si="8"/>
        <v>0.24823988442028982</v>
      </c>
      <c r="H66" s="1" t="str">
        <f t="shared" si="9"/>
        <v>加速</v>
      </c>
      <c r="I66" s="1" t="s">
        <v>134</v>
      </c>
      <c r="J66" s="1">
        <f t="shared" si="10"/>
        <v>2.4823988442028982E-10</v>
      </c>
      <c r="Q66" s="1">
        <f t="shared" si="11"/>
        <v>76936065.469900697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1.8659025402028984</v>
      </c>
      <c r="D67" s="1">
        <f>((2*G61+2*G31+2*G39)+(4/B2)*(F6+2.5*B3*B9)+6*B16)/1.25</f>
        <v>1.5178273761623187</v>
      </c>
      <c r="E67" s="1">
        <f>(2*(2*G61+2*G31+2*G39)+(4/B2)*(F6+2.5*B3*B9)+12*B16)/2</f>
        <v>1.7214908636811592</v>
      </c>
      <c r="F67" s="1">
        <f t="shared" si="7"/>
        <v>1.5178273761623187</v>
      </c>
      <c r="G67" s="1">
        <f t="shared" si="8"/>
        <v>1.5178273761623187</v>
      </c>
      <c r="H67" s="1" t="str">
        <f t="shared" si="9"/>
        <v>增产</v>
      </c>
      <c r="I67" s="1" t="s">
        <v>136</v>
      </c>
      <c r="J67" s="1">
        <f t="shared" si="10"/>
        <v>1.5178273761623187E-9</v>
      </c>
      <c r="Q67" s="1">
        <f t="shared" si="11"/>
        <v>12582853.821156517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((2*B22+2*G30+10*C22)+(8/F2)*(L6+F3*B9))</f>
        <v>1.6600202677536231</v>
      </c>
      <c r="D68" s="1">
        <f>((2*B22+2*G30+10*C22)+(8/F2)*(L6+2.5*F3*B9)+14*B16)/1.25</f>
        <v>1.4708578142028987</v>
      </c>
      <c r="E68" s="1">
        <f>(2*(2*B22+2*G30+10*C22)+(8/F2)*(L6+2.5*F3*B9)+28*B16)/2</f>
        <v>1.2253063981884058</v>
      </c>
      <c r="F68" s="1">
        <f t="shared" si="7"/>
        <v>1.2253063981884058</v>
      </c>
      <c r="G68" s="1">
        <f t="shared" si="8"/>
        <v>1.2253063981884058</v>
      </c>
      <c r="H68" s="1" t="str">
        <f t="shared" si="9"/>
        <v>加速</v>
      </c>
      <c r="I68" s="1" t="s">
        <v>138</v>
      </c>
      <c r="J68" s="1">
        <f t="shared" si="10"/>
        <v>1.2253063981884059E-9</v>
      </c>
      <c r="Q68" s="1">
        <f t="shared" si="11"/>
        <v>15586795.293191113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0.49131362505434778</v>
      </c>
      <c r="D69" s="1">
        <f>((2*G54+G57)+(3/B2)*(E6+2.5*B3*B9)+3*B16)/1.25</f>
        <v>0.40628310804347822</v>
      </c>
      <c r="E69" s="1">
        <f>(2*(2*G54+G57)+(3/B2)*(E6+2.5*B3*B9)+6*B16)/2</f>
        <v>0.4013485415760869</v>
      </c>
      <c r="F69" s="1">
        <f t="shared" si="7"/>
        <v>0.4013485415760869</v>
      </c>
      <c r="G69" s="1">
        <f t="shared" si="8"/>
        <v>0.4013485415760869</v>
      </c>
      <c r="H69" s="1" t="str">
        <f t="shared" si="9"/>
        <v>加速</v>
      </c>
      <c r="I69" s="1" t="s">
        <v>140</v>
      </c>
      <c r="J69" s="1">
        <f t="shared" si="10"/>
        <v>4.0134854157608691E-10</v>
      </c>
      <c r="Q69" s="1">
        <f t="shared" si="11"/>
        <v>47586070.513674267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0.27290788737318838</v>
      </c>
      <c r="D70" s="1">
        <f>((G57)+(3/B2)*(E6+2.5*B3*B9)+2*B16)/1.25</f>
        <v>0.22782731789855074</v>
      </c>
      <c r="E70" s="1">
        <f>(2*(G57)+(3/B2)*(E6+2.5*B3*B9)+4*B16)/2</f>
        <v>0.17827880389492753</v>
      </c>
      <c r="F70" s="1">
        <f t="shared" si="7"/>
        <v>0.17827880389492753</v>
      </c>
      <c r="G70" s="1">
        <f t="shared" si="8"/>
        <v>0.17827880389492753</v>
      </c>
      <c r="H70" s="1" t="str">
        <f t="shared" si="9"/>
        <v>加速</v>
      </c>
      <c r="I70" s="1" t="s">
        <v>142</v>
      </c>
      <c r="J70" s="1">
        <f t="shared" si="10"/>
        <v>1.7827880389492752E-10</v>
      </c>
      <c r="Q70" s="1">
        <f t="shared" si="11"/>
        <v>107127709.9842793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((G39+E22)+(4/B2)*(E6+B3*B9))/2</f>
        <v>0.2453582982699275</v>
      </c>
      <c r="D71" s="1">
        <f>((G39+E22)+(4/B2)*(E6+2.5*B3*B9)+2*B16)/2.5</f>
        <v>0.20137691061594204</v>
      </c>
      <c r="E71" s="1">
        <f>(2*(G39+E22)+(4/B2)*(E6+2.5*B3*B9)+4*B16)/4</f>
        <v>0.18071757595108695</v>
      </c>
      <c r="F71" s="1">
        <f t="shared" si="7"/>
        <v>0.18071757595108695</v>
      </c>
      <c r="G71" s="1">
        <f t="shared" si="8"/>
        <v>0.18071757595108695</v>
      </c>
      <c r="H71" s="1" t="str">
        <f t="shared" si="9"/>
        <v>加速</v>
      </c>
      <c r="I71" s="1" t="s">
        <v>144</v>
      </c>
      <c r="J71" s="1">
        <f t="shared" si="10"/>
        <v>1.8071757595108694E-10</v>
      </c>
      <c r="Q71" s="1">
        <f t="shared" si="11"/>
        <v>105682028.43296897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((2*F22)+(2/F2)*(L6+F3*B9))/2</f>
        <v>0.27925295122765703</v>
      </c>
      <c r="D72" s="1" t="s">
        <v>96</v>
      </c>
      <c r="E72" s="1">
        <f>(2*(2*F22)+(2/F2)*(L6+2.5*F3*B9)+4*B16)/4</f>
        <v>0.22141571753200484</v>
      </c>
      <c r="F72" s="1">
        <f t="shared" si="7"/>
        <v>0.22141571753200484</v>
      </c>
      <c r="G72" s="1">
        <f t="shared" si="8"/>
        <v>0.22141571753200484</v>
      </c>
      <c r="H72" s="1" t="str">
        <f t="shared" si="9"/>
        <v>加速</v>
      </c>
      <c r="I72" s="1" t="s">
        <v>146</v>
      </c>
      <c r="J72" s="1">
        <f t="shared" si="10"/>
        <v>2.2141571753200483E-10</v>
      </c>
      <c r="Q72" s="1">
        <f t="shared" si="11"/>
        <v>86256749.127303332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0.43125249695652168</v>
      </c>
      <c r="D73" s="1">
        <f>((2*G40+G35)+(3/D2)*(I6+2.5*D3*B9)+3*B16)/1.25</f>
        <v>0.3592535095652174</v>
      </c>
      <c r="E73" s="1">
        <f>(2*(2*G40+G35)+(3/D2)*(I6+2.5*D3*B9)+6*B16)/2</f>
        <v>0.36759521684782609</v>
      </c>
      <c r="F73" s="1">
        <f t="shared" si="7"/>
        <v>0.3592535095652174</v>
      </c>
      <c r="G73" s="1">
        <f t="shared" si="8"/>
        <v>0.3592535095652174</v>
      </c>
      <c r="H73" s="1" t="str">
        <f t="shared" si="9"/>
        <v>增产</v>
      </c>
      <c r="I73" s="1" t="s">
        <v>148</v>
      </c>
      <c r="J73" s="1">
        <f t="shared" si="10"/>
        <v>3.5925350956521738E-10</v>
      </c>
      <c r="Q73" s="1">
        <f t="shared" si="11"/>
        <v>53161902.365585431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((2*G41+2*I22+G73)+(8/B2)*(F6+B3*B9))</f>
        <v>1.2374913039130435</v>
      </c>
      <c r="D74" s="1">
        <f>((2*G41+2*I22+G73)+(8/B2)*(F6+2.5*B3*B9)+5*B16)/1.25</f>
        <v>1.0140853311304348</v>
      </c>
      <c r="E74" s="1">
        <f>(2*(2*G41+2*I22+G73)+(8/B2)*(F6+2.5*B3*B9)+10*B16)/2</f>
        <v>0.91601995086956522</v>
      </c>
      <c r="F74" s="1">
        <f t="shared" si="7"/>
        <v>0.91601995086956522</v>
      </c>
      <c r="G74" s="1">
        <f t="shared" si="8"/>
        <v>0.91601995086956522</v>
      </c>
      <c r="H74" s="1" t="str">
        <f t="shared" si="9"/>
        <v>加速</v>
      </c>
      <c r="I74" s="1" t="s">
        <v>150</v>
      </c>
      <c r="J74" s="1">
        <f t="shared" si="10"/>
        <v>9.1601995086956523E-10</v>
      </c>
      <c r="Q74" s="1">
        <f t="shared" si="11"/>
        <v>20849545.888023466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0.17894484842391301</v>
      </c>
      <c r="D75" s="1">
        <f>((3*G39+G33)+(4/D2)*(I6+2.5*D3*B9)+4*B16)/2.5</f>
        <v>0.15265688673913042</v>
      </c>
      <c r="E75" s="1">
        <f>((3*G39+G33)+(2/D2)*(I6+2.5*D3*B9)+4*B16)/2</f>
        <v>0.13650666168478259</v>
      </c>
      <c r="F75" s="1">
        <f t="shared" si="7"/>
        <v>0.13650666168478259</v>
      </c>
      <c r="G75" s="1">
        <f t="shared" si="8"/>
        <v>0.13650666168478259</v>
      </c>
      <c r="H75" s="1" t="str">
        <f t="shared" si="9"/>
        <v>加速</v>
      </c>
      <c r="I75" s="1" t="s">
        <v>152</v>
      </c>
      <c r="J75" s="1">
        <f t="shared" si="10"/>
        <v>1.3650666168478259E-10</v>
      </c>
      <c r="Q75" s="1">
        <f t="shared" si="11"/>
        <v>139909655.42840657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0.13043943934782609</v>
      </c>
      <c r="D76" s="1">
        <f>((G35)+2*(B6+2.5*C3*B9)/C2+B16)/1.25</f>
        <v>0.10944182347826086</v>
      </c>
      <c r="E76" s="1">
        <f>((G35)+1*(B6+2.5*C3*B9)/C2+B16)/1</f>
        <v>9.5865519565217383E-2</v>
      </c>
      <c r="F76" s="1">
        <f t="shared" si="7"/>
        <v>9.5865519565217383E-2</v>
      </c>
      <c r="G76" s="1">
        <f t="shared" si="8"/>
        <v>9.5865519565217383E-2</v>
      </c>
      <c r="H76" s="1" t="str">
        <f t="shared" si="9"/>
        <v>加速</v>
      </c>
      <c r="I76" s="1" t="s">
        <v>227</v>
      </c>
      <c r="J76" s="1">
        <f t="shared" si="10"/>
        <v>9.5865519565217378E-11</v>
      </c>
      <c r="Q76" s="1">
        <f t="shared" si="11"/>
        <v>199222828.88173583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0.13043943934782609</v>
      </c>
      <c r="D77" s="1">
        <f>((G32)+2*(B6+2.5*C3*B9)/C2+B16)/1.25</f>
        <v>0.10944182347826086</v>
      </c>
      <c r="E77" s="1">
        <f>((G32)+1*(B6+2.5*C3*B9)/C2+B16)/1</f>
        <v>9.5865519565217383E-2</v>
      </c>
      <c r="F77" s="1">
        <f t="shared" si="7"/>
        <v>9.5865519565217383E-2</v>
      </c>
      <c r="G77" s="1">
        <f t="shared" si="8"/>
        <v>9.5865519565217383E-2</v>
      </c>
      <c r="H77" s="1" t="str">
        <f t="shared" si="9"/>
        <v>加速</v>
      </c>
      <c r="I77" s="1" t="s">
        <v>228</v>
      </c>
      <c r="J77" s="1">
        <f t="shared" si="10"/>
        <v>9.5865519565217378E-11</v>
      </c>
      <c r="Q77" s="1">
        <f t="shared" si="11"/>
        <v>199222828.88173583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1.1476823130434781</v>
      </c>
      <c r="D78" s="1">
        <f>((2*G73+F40)+(6/D2)*(I6+D3*B9)+4*B16)/1.25</f>
        <v>0.93307065043478254</v>
      </c>
      <c r="E78" s="1">
        <f>((2*G73+F40)+(3/D2)*(I6+D3*B9)+4*B16)/1</f>
        <v>1.0072173628260868</v>
      </c>
      <c r="F78" s="1">
        <f t="shared" si="7"/>
        <v>0.93307065043478254</v>
      </c>
      <c r="G78" s="1">
        <f t="shared" si="8"/>
        <v>0.93307065043478254</v>
      </c>
      <c r="H78" s="1" t="str">
        <f t="shared" si="9"/>
        <v>增产</v>
      </c>
      <c r="I78" s="1" t="s">
        <v>236</v>
      </c>
      <c r="J78" s="1">
        <f t="shared" si="10"/>
        <v>9.3307065043478264E-10</v>
      </c>
      <c r="Q78" s="1">
        <f t="shared" si="11"/>
        <v>20468546.504062295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1.8213125447137681</v>
      </c>
      <c r="D91" s="1">
        <f>((2*G61+3*G42+G35)+(3/B2)*(F6+2.5*B3*B9)+6*B16)/1.25</f>
        <v>1.4814758437710145</v>
      </c>
      <c r="E91" s="1">
        <f>(2*(2*G61+3*G42+G35)+(3/B2)*(F6+2.5*B3*B9)+12*B16)/2</f>
        <v>1.7199997873224637</v>
      </c>
      <c r="F91" s="1">
        <f t="shared" ref="F91:F106" si="12">MIN(C91:E91)</f>
        <v>1.4814758437710145</v>
      </c>
      <c r="G91" s="1">
        <f t="shared" ref="G91:G106" si="13">F91</f>
        <v>1.4814758437710145</v>
      </c>
      <c r="H91" s="1" t="str">
        <f t="shared" ref="H91:H106" si="14">IF(C91=G91,"不使用增产剂","")&amp;IF(D91=G91,"增产","")&amp;IF(E91=G91,"加速","")</f>
        <v>增产</v>
      </c>
      <c r="I91" s="1" t="s">
        <v>155</v>
      </c>
      <c r="J91" s="1">
        <f t="shared" ref="J91:J106" si="15">G91/1000000000</f>
        <v>1.4814758437710145E-9</v>
      </c>
      <c r="Q91" s="1">
        <f t="shared" ref="Q91:Q106" si="16">60*318310/G91</f>
        <v>12891604.058413517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(4*H22+G68)+(6/B2)*(E6+B3*B9)</f>
        <v>1.7169643917753623</v>
      </c>
      <c r="D92" s="1">
        <f>((4*H22+G68)+(6/B2)*(E6+2.5*B3*B9)+5*B16)/1.25</f>
        <v>1.3963047294202897</v>
      </c>
      <c r="E92" s="1">
        <f>(2*(4*H22+G68)+(6/B2)*(E6+2.5*B3*B9)+10*B16)/2</f>
        <v>1.5323702248188407</v>
      </c>
      <c r="F92" s="1">
        <f t="shared" si="12"/>
        <v>1.3963047294202897</v>
      </c>
      <c r="G92" s="1">
        <f t="shared" si="13"/>
        <v>1.3963047294202897</v>
      </c>
      <c r="H92" s="1" t="str">
        <f t="shared" si="14"/>
        <v>增产</v>
      </c>
      <c r="I92" s="1" t="s">
        <v>157</v>
      </c>
      <c r="J92" s="1">
        <f t="shared" si="15"/>
        <v>1.3963047294202897E-9</v>
      </c>
      <c r="Q92" s="1">
        <f t="shared" si="16"/>
        <v>13677959.830394082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4.127204727971014</v>
      </c>
      <c r="D93" s="1">
        <f>((2*G59+2*G65)+(6/B2)*(E6+2.5*B3*B9)+4*B16)/1.25</f>
        <v>3.3207657983768115</v>
      </c>
      <c r="E93" s="1">
        <f>(2*(2*G59+2*G65)+(6/B2)*(E6+2.5*B3*B9)+8*B16)/2</f>
        <v>3.9379465610144924</v>
      </c>
      <c r="F93" s="1">
        <f t="shared" si="12"/>
        <v>3.3207657983768115</v>
      </c>
      <c r="G93" s="1">
        <f t="shared" si="13"/>
        <v>3.3207657983768115</v>
      </c>
      <c r="H93" s="1" t="str">
        <f t="shared" si="14"/>
        <v>增产</v>
      </c>
      <c r="I93" s="1" t="s">
        <v>159</v>
      </c>
      <c r="J93" s="1">
        <f t="shared" si="15"/>
        <v>3.3207657983768117E-9</v>
      </c>
      <c r="Q93" s="1">
        <f t="shared" si="16"/>
        <v>5751263.7625138713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1.1649037859782609</v>
      </c>
      <c r="D94" s="1">
        <f>((4*G41+G52+G32)+(6/B2)*(F6+2.5*B3*B9)+6*B16)/1.25</f>
        <v>0.95838744478260873</v>
      </c>
      <c r="E94" s="1">
        <f>(2*(4*G41+G52+G32)+(6/B2)*(F6+2.5*B3*B9)+12*B16)/2</f>
        <v>0.93429427119565234</v>
      </c>
      <c r="F94" s="1">
        <f t="shared" si="12"/>
        <v>0.93429427119565234</v>
      </c>
      <c r="G94" s="1">
        <f t="shared" si="13"/>
        <v>0.93429427119565234</v>
      </c>
      <c r="H94" s="1" t="str">
        <f t="shared" si="14"/>
        <v>加速</v>
      </c>
      <c r="I94" s="1" t="s">
        <v>161</v>
      </c>
      <c r="J94" s="1">
        <f t="shared" si="15"/>
        <v>9.3429427119565244E-10</v>
      </c>
      <c r="Q94" s="1">
        <f t="shared" si="16"/>
        <v>20441739.38427214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5.9083076827445655</v>
      </c>
      <c r="D95" s="1">
        <f>((3*G94+3*G71+3*G59)+(8/B2)*(F6+2.5*B3*B9)+9*B16)/1.25</f>
        <v>4.7656632341956522</v>
      </c>
      <c r="E95" s="1">
        <f>(2*(3*G94+3*G71+3*G59)+(8/B2)*(F6+2.5*B3*B9)+18*B16)/2</f>
        <v>5.6054923297010877</v>
      </c>
      <c r="F95" s="1">
        <f t="shared" si="12"/>
        <v>4.7656632341956522</v>
      </c>
      <c r="G95" s="1">
        <f t="shared" si="13"/>
        <v>4.7656632341956522</v>
      </c>
      <c r="H95" s="1" t="str">
        <f t="shared" si="14"/>
        <v>增产</v>
      </c>
      <c r="I95" s="1" t="s">
        <v>163</v>
      </c>
      <c r="J95" s="1">
        <f t="shared" si="15"/>
        <v>4.7656632341956519E-9</v>
      </c>
      <c r="Q95" s="1">
        <f t="shared" si="16"/>
        <v>4007542.9297981979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((B22+G59)+(20/B2)*(E6+B3*B9))</f>
        <v>2.2736207558695654</v>
      </c>
      <c r="D96" s="1">
        <f>((B22+G59)+(20/B2)*(E6+2.5*B3*B9)+2*B16)/1.25</f>
        <v>1.8399497246956522</v>
      </c>
      <c r="E96" s="1">
        <f>(2*(B22+G59)+(20/B2)*(E6+2.5*B3*B9)+4*B16)/2</f>
        <v>1.5899015326811592</v>
      </c>
      <c r="F96" s="1">
        <f t="shared" si="12"/>
        <v>1.5899015326811592</v>
      </c>
      <c r="G96" s="1">
        <f t="shared" si="13"/>
        <v>1.5899015326811592</v>
      </c>
      <c r="H96" s="1" t="str">
        <f t="shared" si="14"/>
        <v>加速</v>
      </c>
      <c r="I96" s="1" t="s">
        <v>165</v>
      </c>
      <c r="J96" s="1">
        <f t="shared" si="15"/>
        <v>1.5899015326811592E-9</v>
      </c>
      <c r="Q96" s="1">
        <f t="shared" si="16"/>
        <v>12012442.03330802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0.41596499195470082</v>
      </c>
      <c r="D97" s="1">
        <f>(G114+(10/B2)*(D6+2.5*B3*B9)+B16)/10</f>
        <v>0.33408781356376072</v>
      </c>
      <c r="E97" s="1">
        <f>(2*G114+(10/B2)*(D6+2.5*B3*B9)+2*B16)/16</f>
        <v>0.38379073796919361</v>
      </c>
      <c r="F97" s="1">
        <f t="shared" si="12"/>
        <v>0.33408781356376072</v>
      </c>
      <c r="G97" s="1">
        <f t="shared" si="13"/>
        <v>0.33408781356376072</v>
      </c>
      <c r="H97" s="1" t="str">
        <f t="shared" si="14"/>
        <v>增产</v>
      </c>
      <c r="I97" s="1" t="s">
        <v>167</v>
      </c>
      <c r="J97" s="1">
        <f t="shared" si="15"/>
        <v>3.3408781356376074E-10</v>
      </c>
      <c r="Q97" s="1">
        <f t="shared" si="16"/>
        <v>57166407.227706403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21.427899490830725</v>
      </c>
      <c r="D98" s="1">
        <f>((2*G95+4*G103+2*G93)+(6/B2)*(F6+2.5*B3*B9)+8*B16)/1.25</f>
        <v>17.176246408664582</v>
      </c>
      <c r="E98" s="1">
        <f>(2*(2*G95+4*G103+2*G93)+(6/B2)*(F6+2.5*B3*B9)+16*B16)/2</f>
        <v>21.206617976048118</v>
      </c>
      <c r="F98" s="1">
        <f t="shared" si="12"/>
        <v>17.176246408664582</v>
      </c>
      <c r="G98" s="1">
        <f t="shared" si="13"/>
        <v>17.176246408664582</v>
      </c>
      <c r="H98" s="1" t="str">
        <f t="shared" si="14"/>
        <v>增产</v>
      </c>
      <c r="I98" s="1" t="s">
        <v>169</v>
      </c>
      <c r="J98" s="1">
        <f t="shared" si="15"/>
        <v>1.7176246408664581E-8</v>
      </c>
      <c r="Q98" s="1">
        <f t="shared" si="16"/>
        <v>1111919.3067913654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2.6630513188405799E-2</v>
      </c>
      <c r="D99" s="1">
        <f>((0.5/B2)*(D6+2.5*B3*B9)+B16)/1.25</f>
        <v>2.5375378550724637E-2</v>
      </c>
      <c r="E99" s="1">
        <f>((0.5/B2)*(D6+2.5*B3*B9)+2*B16)/2</f>
        <v>1.8191611594202899E-2</v>
      </c>
      <c r="F99" s="1">
        <f t="shared" si="12"/>
        <v>1.8191611594202899E-2</v>
      </c>
      <c r="G99" s="1">
        <f t="shared" si="13"/>
        <v>1.8191611594202899E-2</v>
      </c>
      <c r="H99" s="1" t="str">
        <f t="shared" si="14"/>
        <v>加速</v>
      </c>
      <c r="I99" s="1" t="s">
        <v>171</v>
      </c>
      <c r="J99" s="1">
        <f t="shared" si="15"/>
        <v>1.8191611594202899E-11</v>
      </c>
      <c r="Q99" s="1">
        <f t="shared" si="16"/>
        <v>1049857507.186781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((2*G99+H22)+(1/B2)*(E6+B3*B9))</f>
        <v>0.12422065042572462</v>
      </c>
      <c r="D100" s="1">
        <f>((2*G99+H22)+(1/B2)*(E6+2.5*B3*B9)+3*B16)/1.25</f>
        <v>0.11124965634057971</v>
      </c>
      <c r="E100" s="1">
        <f>(2*(2*G99+H22)+(1/B2)*(E6+2.5*B3*B9)+6*B16)/2</f>
        <v>0.10356028926630434</v>
      </c>
      <c r="F100" s="1">
        <f t="shared" si="12"/>
        <v>0.10356028926630434</v>
      </c>
      <c r="G100" s="1">
        <f t="shared" si="13"/>
        <v>0.10356028926630434</v>
      </c>
      <c r="H100" s="1" t="str">
        <f t="shared" si="14"/>
        <v>加速</v>
      </c>
      <c r="I100" s="1" t="s">
        <v>173</v>
      </c>
      <c r="J100" s="1">
        <f t="shared" si="15"/>
        <v>1.0356028926630434E-10</v>
      </c>
      <c r="Q100" s="1">
        <f t="shared" si="16"/>
        <v>184420110.59749094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((2*G100+G22)+(2/B2)*(E6+B3*B9))</f>
        <v>0.41573530990942026</v>
      </c>
      <c r="D101" s="1">
        <f>((2*G100+G22)+(2/B2)*(E6+2.5*B3*B9)+3*B16)/1.25</f>
        <v>0.34514091992753626</v>
      </c>
      <c r="E101" s="1">
        <f>(2*(2*G100+G22)+(2/B2)*(E6+2.5*B3*B9)+6*B16)/2</f>
        <v>0.36042258759057971</v>
      </c>
      <c r="F101" s="1">
        <f t="shared" si="12"/>
        <v>0.34514091992753626</v>
      </c>
      <c r="G101" s="1">
        <f t="shared" si="13"/>
        <v>0.34514091992753626</v>
      </c>
      <c r="H101" s="1" t="str">
        <f t="shared" si="14"/>
        <v>增产</v>
      </c>
      <c r="I101" s="1" t="s">
        <v>40</v>
      </c>
      <c r="J101" s="1">
        <f t="shared" si="15"/>
        <v>3.4514091992753626E-10</v>
      </c>
      <c r="Q101" s="1">
        <f t="shared" si="16"/>
        <v>55335658.269699894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0.23559480684782608</v>
      </c>
      <c r="D102" s="1">
        <f>(G33+(6/B2)*(E6+2.5*B3*B9)+11*B16)/2.5</f>
        <v>0.21103605347826085</v>
      </c>
      <c r="E102" s="1">
        <f>(2*G33+(6/B2)*(E6+2.5*B3*B9)+22*B16)/4</f>
        <v>0.1572897233695652</v>
      </c>
      <c r="F102" s="1">
        <f t="shared" si="12"/>
        <v>0.1572897233695652</v>
      </c>
      <c r="G102" s="1">
        <f t="shared" si="13"/>
        <v>0.1572897233695652</v>
      </c>
      <c r="H102" s="1" t="str">
        <f t="shared" si="14"/>
        <v>加速</v>
      </c>
      <c r="I102" s="1" t="s">
        <v>176</v>
      </c>
      <c r="J102" s="1">
        <f t="shared" si="15"/>
        <v>1.572897233695652E-10</v>
      </c>
      <c r="Q102" s="1">
        <f t="shared" si="16"/>
        <v>121423063.06386121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((G52+20*C22+G91)+(12/B2)*(F6+B3*B9))/2</f>
        <v>1.4225863162876813</v>
      </c>
      <c r="D103" s="1">
        <f>((G52+20*C22+G91)+(12/B2)*(F6+2.5*B3*B9)+22*B16)/2.5</f>
        <v>1.183189469030145</v>
      </c>
      <c r="E103" s="1">
        <f>(2*(G52+20*C22+G91)+(12/B2)*(F6+2.5*B3*B9)+44*B16)/4</f>
        <v>1.2152968015050725</v>
      </c>
      <c r="F103" s="1">
        <f t="shared" si="12"/>
        <v>1.183189469030145</v>
      </c>
      <c r="G103" s="1">
        <f t="shared" si="13"/>
        <v>1.183189469030145</v>
      </c>
      <c r="H103" s="1" t="str">
        <f t="shared" si="14"/>
        <v>增产</v>
      </c>
      <c r="I103" s="1" t="s">
        <v>178</v>
      </c>
      <c r="J103" s="1">
        <f t="shared" si="15"/>
        <v>1.183189469030145E-9</v>
      </c>
      <c r="Q103" s="1">
        <f t="shared" si="16"/>
        <v>16141624.397363031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3.5302944068043471</v>
      </c>
      <c r="D104" s="1" t="s">
        <v>96</v>
      </c>
      <c r="E104" s="1">
        <f>(2*(12*G72+G96+G52)+(24/B2)*(G6+2.5*B3*B9)+52*B16)/4</f>
        <v>2.972380681586956</v>
      </c>
      <c r="F104" s="1">
        <f t="shared" si="12"/>
        <v>2.972380681586956</v>
      </c>
      <c r="G104" s="1">
        <f t="shared" si="13"/>
        <v>2.972380681586956</v>
      </c>
      <c r="H104" s="1" t="str">
        <f t="shared" si="14"/>
        <v>加速</v>
      </c>
      <c r="I104" s="1" t="s">
        <v>180</v>
      </c>
      <c r="J104" s="1">
        <f t="shared" si="15"/>
        <v>2.9723806815869561E-9</v>
      </c>
      <c r="Q104" s="1">
        <f t="shared" si="16"/>
        <v>6425354.6385597028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0.65760226764492746</v>
      </c>
      <c r="D105" s="1">
        <f>((2*G51+3*G31)+(4/B2)*(E6+2.5*B3*B9)+5*B16)/1.25</f>
        <v>0.54745595811594205</v>
      </c>
      <c r="E105" s="1">
        <f>(2*(2*G51+3*G31)+(4/B2)*(E6+2.5*B3*B9)+10*B16)/2</f>
        <v>0.54231282300724637</v>
      </c>
      <c r="F105" s="1">
        <f t="shared" si="12"/>
        <v>0.54231282300724637</v>
      </c>
      <c r="G105" s="1">
        <f t="shared" si="13"/>
        <v>0.54231282300724637</v>
      </c>
      <c r="H105" s="1" t="str">
        <f t="shared" si="14"/>
        <v>加速</v>
      </c>
      <c r="I105" s="1" t="s">
        <v>182</v>
      </c>
      <c r="J105" s="1">
        <f t="shared" si="15"/>
        <v>5.4231282300724635E-10</v>
      </c>
      <c r="Q105" s="1">
        <f t="shared" si="16"/>
        <v>35216943.413017556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5.5260890538768122</v>
      </c>
      <c r="D106" s="1">
        <f>((5*G52+5*G61)+(6/B2)*(E6+2.5*B3*B9)+10*B16)/1.25</f>
        <v>4.462260459101449</v>
      </c>
      <c r="E106" s="1">
        <f>(2*(5*G52+5*G61)+(6/B2)*(E6+2.5*B3*B9)+20*B16)/2</f>
        <v>5.3648148869202901</v>
      </c>
      <c r="F106" s="1">
        <f t="shared" si="12"/>
        <v>4.462260459101449</v>
      </c>
      <c r="G106" s="1">
        <f t="shared" si="13"/>
        <v>4.462260459101449</v>
      </c>
      <c r="H106" s="1" t="str">
        <f t="shared" si="14"/>
        <v>增产</v>
      </c>
      <c r="I106" s="1" t="s">
        <v>184</v>
      </c>
      <c r="J106" s="1">
        <f t="shared" si="15"/>
        <v>4.4622604591014492E-9</v>
      </c>
      <c r="Q106" s="1">
        <f t="shared" si="16"/>
        <v>4280028.0653823204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0.41576300965486812</v>
      </c>
      <c r="D110" s="1">
        <f>((G50+G57)+(3/G2)*(P6+2.5*G3*B9)+2*B16)/1.25</f>
        <v>0.34143187972389449</v>
      </c>
      <c r="E110" s="1">
        <f>(2*(G50+G57)+(3/G2)*(P6+2.5*G3*B9)+4*B16)/2</f>
        <v>0.28545387141257894</v>
      </c>
      <c r="F110" s="1">
        <f t="shared" ref="F110:F115" si="17">MIN(C110:E110)</f>
        <v>0.28545387141257894</v>
      </c>
      <c r="G110" s="1">
        <f t="shared" ref="G110:G115" si="18">F110</f>
        <v>0.28545387141257894</v>
      </c>
      <c r="H110" s="1" t="str">
        <f t="shared" ref="H110:H115" si="19">IF(C110=G110,"不使用增产剂","")&amp;IF(D110=G110,"增产","")&amp;IF(E110=G110,"加速","")</f>
        <v>加速</v>
      </c>
      <c r="I110" s="1" t="s">
        <v>187</v>
      </c>
      <c r="J110" s="1">
        <f t="shared" ref="J110:J115" si="20">G110/1000000000</f>
        <v>2.8545387141257892E-10</v>
      </c>
      <c r="Q110" s="1">
        <f t="shared" ref="Q110:Q115" si="21">60*318310/G110</f>
        <v>66906081.551775344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0.66247575253437385</v>
      </c>
      <c r="D111" s="1">
        <f>((2*G35)+(6/G2)*(P6+2.5*G3*B9)+4*B16)/1.25</f>
        <v>0.54762354602749908</v>
      </c>
      <c r="E111" s="1">
        <f>(2*(2*G35)+(6/G2)*(P6+2.5*G3*B9)+8*B16)/2</f>
        <v>0.4018574760497956</v>
      </c>
      <c r="F111" s="1">
        <f t="shared" si="17"/>
        <v>0.4018574760497956</v>
      </c>
      <c r="G111" s="1">
        <f t="shared" si="18"/>
        <v>0.4018574760497956</v>
      </c>
      <c r="H111" s="1" t="str">
        <f t="shared" si="19"/>
        <v>加速</v>
      </c>
      <c r="I111" s="1" t="s">
        <v>189</v>
      </c>
      <c r="J111" s="1">
        <f t="shared" si="20"/>
        <v>4.0185747604979561E-10</v>
      </c>
      <c r="Q111" s="1">
        <f t="shared" si="21"/>
        <v>47525804.889177732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((H22+G62)+(8/G2)*(P6+G3*B9))</f>
        <v>1.0784023328628607</v>
      </c>
      <c r="D112" s="1">
        <f>((H22+G62)+(8/G2)*(P6+2.5*G3*B9)+2*B16)/1.25</f>
        <v>0.87380845829028853</v>
      </c>
      <c r="E112" s="1">
        <f>(2*(H22+G62)+(8/G2)*(P6+2.5*G3*B9)+4*B16)/2</f>
        <v>0.71536463088342317</v>
      </c>
      <c r="F112" s="1">
        <f t="shared" si="17"/>
        <v>0.71536463088342317</v>
      </c>
      <c r="G112" s="1">
        <f t="shared" si="18"/>
        <v>0.71536463088342317</v>
      </c>
      <c r="H112" s="1" t="str">
        <f t="shared" si="19"/>
        <v>加速</v>
      </c>
      <c r="I112" s="1" t="s">
        <v>191</v>
      </c>
      <c r="J112" s="1">
        <f t="shared" si="20"/>
        <v>7.1536463088342315E-10</v>
      </c>
      <c r="Q112" s="1">
        <f t="shared" si="21"/>
        <v>26697713.551220197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3.0971930559630865</v>
      </c>
      <c r="D113" s="1">
        <f>((2*G59+G74)+(10/G2)*(P6+2.5*G3*B9)+3*B16)/1.25</f>
        <v>2.4934782847704691</v>
      </c>
      <c r="E113" s="1">
        <f>(2*(2*G59+G74)+(10/G2)*(P6+2.5*G3*B9)+6*B16)/2</f>
        <v>2.6457279284887898</v>
      </c>
      <c r="F113" s="1">
        <f t="shared" si="17"/>
        <v>2.4934782847704691</v>
      </c>
      <c r="G113" s="1">
        <f t="shared" si="18"/>
        <v>2.4934782847704691</v>
      </c>
      <c r="H113" s="1" t="str">
        <f t="shared" si="19"/>
        <v>增产</v>
      </c>
      <c r="I113" s="1" t="s">
        <v>193</v>
      </c>
      <c r="J113" s="1">
        <f t="shared" si="20"/>
        <v>2.493478284770469E-9</v>
      </c>
      <c r="Q113" s="1">
        <f t="shared" si="21"/>
        <v>7659421.0250995122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3.4824277298368638</v>
      </c>
      <c r="D114" s="1">
        <f>((G93+G92)+(24/G2)*(P6+2.5*G3*B9)+2*B16)/2.5</f>
        <v>2.7951096718694908</v>
      </c>
      <c r="E114" s="1">
        <f>(2*(G93+G92)+(24/G2)*(P6+2.5*G3*B9)+4*B16)/4</f>
        <v>2.9285431768677075</v>
      </c>
      <c r="F114" s="1">
        <f t="shared" si="17"/>
        <v>2.7951096718694908</v>
      </c>
      <c r="G114" s="1">
        <f t="shared" si="18"/>
        <v>2.7951096718694908</v>
      </c>
      <c r="H114" s="1" t="str">
        <f t="shared" si="19"/>
        <v>增产</v>
      </c>
      <c r="I114" s="1" t="s">
        <v>195</v>
      </c>
      <c r="J114" s="1">
        <f t="shared" si="20"/>
        <v>2.7951096718694909E-9</v>
      </c>
      <c r="Q114" s="1">
        <f t="shared" si="21"/>
        <v>6832862.4784250511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8.4189039305928279</v>
      </c>
      <c r="D115" s="1">
        <f>((G110+G111+G112+G113+G114+G72)+(15/G2)*(Q6+2.5*G3*B9)+6*B16)/1.25</f>
        <v>6.7643057044742623</v>
      </c>
      <c r="E115" s="1">
        <f>(2*(G110+G111+G112+G113+G114+G72)+(15/G2)*(Q6+2.5*G3*B9)+12*B16)/2</f>
        <v>7.6980228915552944</v>
      </c>
      <c r="F115" s="1">
        <f t="shared" si="17"/>
        <v>6.7643057044742623</v>
      </c>
      <c r="G115" s="1">
        <f t="shared" si="18"/>
        <v>6.7643057044742623</v>
      </c>
      <c r="H115" s="1" t="str">
        <f t="shared" si="19"/>
        <v>增产</v>
      </c>
      <c r="I115" s="1" t="s">
        <v>197</v>
      </c>
      <c r="J115" s="1">
        <f t="shared" si="20"/>
        <v>6.7643057044742622E-9</v>
      </c>
      <c r="Q115" s="1">
        <f t="shared" si="21"/>
        <v>2823438.3297264636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107" priority="34" operator="equal">
      <formula>"不使用增产剂"</formula>
    </cfRule>
    <cfRule type="cellIs" dxfId="106" priority="35" operator="equal">
      <formula>"加速"</formula>
    </cfRule>
    <cfRule type="cellIs" dxfId="105" priority="36" operator="equal">
      <formula>"增产"</formula>
    </cfRule>
  </conditionalFormatting>
  <conditionalFormatting sqref="A49:F49">
    <cfRule type="cellIs" dxfId="104" priority="31" operator="equal">
      <formula>"不使用增产剂"</formula>
    </cfRule>
    <cfRule type="cellIs" dxfId="103" priority="32" operator="equal">
      <formula>"加速"</formula>
    </cfRule>
    <cfRule type="cellIs" dxfId="102" priority="33" operator="equal">
      <formula>"增产"</formula>
    </cfRule>
  </conditionalFormatting>
  <conditionalFormatting sqref="A90:F90">
    <cfRule type="cellIs" dxfId="101" priority="28" operator="equal">
      <formula>"不使用增产剂"</formula>
    </cfRule>
    <cfRule type="cellIs" dxfId="100" priority="29" operator="equal">
      <formula>"加速"</formula>
    </cfRule>
    <cfRule type="cellIs" dxfId="99" priority="30" operator="equal">
      <formula>"增产"</formula>
    </cfRule>
  </conditionalFormatting>
  <conditionalFormatting sqref="A109:F109">
    <cfRule type="cellIs" dxfId="98" priority="25" operator="equal">
      <formula>"不使用增产剂"</formula>
    </cfRule>
    <cfRule type="cellIs" dxfId="97" priority="26" operator="equal">
      <formula>"加速"</formula>
    </cfRule>
    <cfRule type="cellIs" dxfId="96" priority="27" operator="equal">
      <formula>"增产"</formula>
    </cfRule>
  </conditionalFormatting>
  <conditionalFormatting sqref="I30:I45">
    <cfRule type="cellIs" dxfId="95" priority="22" operator="equal">
      <formula>"不使用增产剂"</formula>
    </cfRule>
    <cfRule type="cellIs" dxfId="94" priority="23" operator="equal">
      <formula>"加速"</formula>
    </cfRule>
    <cfRule type="cellIs" dxfId="93" priority="24" operator="equal">
      <formula>"增产"</formula>
    </cfRule>
  </conditionalFormatting>
  <conditionalFormatting sqref="I50:I74">
    <cfRule type="cellIs" dxfId="92" priority="19" operator="equal">
      <formula>"不使用增产剂"</formula>
    </cfRule>
    <cfRule type="cellIs" dxfId="91" priority="20" operator="equal">
      <formula>"加速"</formula>
    </cfRule>
    <cfRule type="cellIs" dxfId="90" priority="21" operator="equal">
      <formula>"增产"</formula>
    </cfRule>
  </conditionalFormatting>
  <conditionalFormatting sqref="I91:I106">
    <cfRule type="cellIs" dxfId="89" priority="16" operator="equal">
      <formula>"不使用增产剂"</formula>
    </cfRule>
    <cfRule type="cellIs" dxfId="88" priority="17" operator="equal">
      <formula>"加速"</formula>
    </cfRule>
    <cfRule type="cellIs" dxfId="87" priority="18" operator="equal">
      <formula>"增产"</formula>
    </cfRule>
  </conditionalFormatting>
  <conditionalFormatting sqref="I110:I115">
    <cfRule type="cellIs" dxfId="86" priority="13" operator="equal">
      <formula>"不使用增产剂"</formula>
    </cfRule>
    <cfRule type="cellIs" dxfId="85" priority="14" operator="equal">
      <formula>"加速"</formula>
    </cfRule>
    <cfRule type="cellIs" dxfId="84" priority="15" operator="equal">
      <formula>"增产"</formula>
    </cfRule>
  </conditionalFormatting>
  <conditionalFormatting sqref="A75">
    <cfRule type="cellIs" dxfId="83" priority="10" operator="equal">
      <formula>"不使用增产剂"</formula>
    </cfRule>
    <cfRule type="cellIs" dxfId="82" priority="11" operator="equal">
      <formula>"加速"</formula>
    </cfRule>
    <cfRule type="cellIs" dxfId="81" priority="12" operator="equal">
      <formula>"增产"</formula>
    </cfRule>
  </conditionalFormatting>
  <conditionalFormatting sqref="I75">
    <cfRule type="cellIs" dxfId="80" priority="7" operator="equal">
      <formula>"不使用增产剂"</formula>
    </cfRule>
    <cfRule type="cellIs" dxfId="79" priority="8" operator="equal">
      <formula>"加速"</formula>
    </cfRule>
    <cfRule type="cellIs" dxfId="78" priority="9" operator="equal">
      <formula>"增产"</formula>
    </cfRule>
  </conditionalFormatting>
  <conditionalFormatting sqref="A77">
    <cfRule type="cellIs" dxfId="77" priority="4" operator="equal">
      <formula>"不使用增产剂"</formula>
    </cfRule>
    <cfRule type="cellIs" dxfId="76" priority="5" operator="equal">
      <formula>"加速"</formula>
    </cfRule>
    <cfRule type="cellIs" dxfId="75" priority="6" operator="equal">
      <formula>"增产"</formula>
    </cfRule>
  </conditionalFormatting>
  <conditionalFormatting sqref="I77">
    <cfRule type="cellIs" dxfId="74" priority="1" operator="equal">
      <formula>"不使用增产剂"</formula>
    </cfRule>
    <cfRule type="cellIs" dxfId="73" priority="2" operator="equal">
      <formula>"加速"</formula>
    </cfRule>
    <cfRule type="cellIs" dxfId="72" priority="3" operator="equal">
      <formula>"增产"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opLeftCell="B85" zoomScaleNormal="100" workbookViewId="0">
      <selection activeCell="H50" sqref="H50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0.75</v>
      </c>
      <c r="C2" s="1">
        <v>1</v>
      </c>
      <c r="D2" s="1">
        <v>1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0.27</v>
      </c>
      <c r="C3" s="1">
        <v>0.36</v>
      </c>
      <c r="D3" s="1">
        <v>0.72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239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1000000000</v>
      </c>
      <c r="C9" s="1">
        <f>(F104+F101/74+50*R6)/7200</f>
        <v>12063966.480446927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12050000</v>
      </c>
      <c r="D10" s="1">
        <f>100*R6/7200</f>
        <v>0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100558659.2178771</v>
      </c>
      <c r="C16" s="1">
        <f>F101/74</f>
        <v>100558659.21787709</v>
      </c>
      <c r="D16" s="1">
        <v>0</v>
      </c>
      <c r="E16" s="1">
        <v>97297297.297297299</v>
      </c>
      <c r="F16" s="1">
        <v>97297297.297297299</v>
      </c>
      <c r="G16" s="1">
        <v>100452885.31775019</v>
      </c>
      <c r="H16" s="1">
        <f>(G16-F16)/(1-(E16-G16)/(D16-F16))+F16</f>
        <v>100558659.2178771</v>
      </c>
    </row>
    <row r="17" spans="1:18" ht="15" customHeight="1" x14ac:dyDescent="0.2"/>
    <row r="18" spans="1:18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8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50</v>
      </c>
      <c r="H19" s="1" t="s">
        <v>50</v>
      </c>
      <c r="I19" s="1" t="s">
        <v>50</v>
      </c>
      <c r="J19" s="1">
        <v>0</v>
      </c>
    </row>
    <row r="20" spans="1:18" x14ac:dyDescent="0.2">
      <c r="A20" s="1" t="s">
        <v>51</v>
      </c>
      <c r="B20" s="1">
        <f>G67</f>
        <v>18047141899.441338</v>
      </c>
      <c r="C20" s="1">
        <f>G43</f>
        <v>4363803899.6473684</v>
      </c>
      <c r="D20" s="1">
        <f>G64</f>
        <v>19705978994.41341</v>
      </c>
      <c r="E20" s="1">
        <f>G69</f>
        <v>4680000000</v>
      </c>
      <c r="F20" s="1">
        <f>10*S6</f>
        <v>0</v>
      </c>
      <c r="G20" s="1">
        <f>G75</f>
        <v>2880000000</v>
      </c>
      <c r="H20" s="1">
        <f>G76</f>
        <v>1440000000</v>
      </c>
      <c r="I20" s="1">
        <f>G77</f>
        <v>1440000000</v>
      </c>
      <c r="J20" s="1">
        <f>G78</f>
        <v>16065787709.497208</v>
      </c>
    </row>
    <row r="21" spans="1:18" x14ac:dyDescent="0.2">
      <c r="A21" s="1" t="s">
        <v>52</v>
      </c>
      <c r="B21" s="1">
        <f>G66</f>
        <v>2160000000</v>
      </c>
      <c r="C21" s="1">
        <f>G44</f>
        <v>6000000000</v>
      </c>
      <c r="D21" s="1">
        <f>G63</f>
        <v>2880000000</v>
      </c>
      <c r="E21" s="1">
        <f>G70</f>
        <v>1800000000</v>
      </c>
      <c r="F21" s="1">
        <f>G45</f>
        <v>376094972.06703907</v>
      </c>
      <c r="G21" s="1">
        <f>G41</f>
        <v>1440000000</v>
      </c>
      <c r="H21" s="1">
        <f>G38</f>
        <v>270000000</v>
      </c>
      <c r="I21" s="1">
        <f>G37</f>
        <v>270000000</v>
      </c>
      <c r="J21" s="1" t="s">
        <v>234</v>
      </c>
    </row>
    <row r="22" spans="1:18" x14ac:dyDescent="0.2">
      <c r="A22" s="1" t="s">
        <v>53</v>
      </c>
      <c r="B22" s="1">
        <f>B21</f>
        <v>2160000000</v>
      </c>
      <c r="C22" s="1">
        <f>C19</f>
        <v>0</v>
      </c>
      <c r="D22" s="1">
        <f>D20</f>
        <v>19705978994.41341</v>
      </c>
      <c r="E22" s="1">
        <f>E21</f>
        <v>1800000000</v>
      </c>
      <c r="F22" s="1">
        <f>F20</f>
        <v>0</v>
      </c>
      <c r="G22" s="1">
        <f>G20</f>
        <v>2880000000</v>
      </c>
      <c r="H22" s="1">
        <f>H20</f>
        <v>1440000000</v>
      </c>
      <c r="I22" s="1">
        <f>I20</f>
        <v>1440000000</v>
      </c>
      <c r="J22" s="1">
        <f>J20</f>
        <v>16065787709.497208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360000000</v>
      </c>
      <c r="D30" s="1">
        <f>((B6+C3*B9*2.5)/C2+B16)/1.25</f>
        <v>800446927.37430167</v>
      </c>
      <c r="E30" s="1">
        <f>((B6+C3*B9*2.5)/C2+2*B16)/2</f>
        <v>550558659.21787715</v>
      </c>
      <c r="F30" s="1">
        <f>MIN(C30:E30)</f>
        <v>360000000</v>
      </c>
      <c r="G30" s="1">
        <f>F30</f>
        <v>360000000</v>
      </c>
      <c r="H30" s="1" t="str">
        <f t="shared" ref="H30:H37" si="0">IF(C30=G30,"不使用增产剂","")&amp;IF(D30=G30,"增产","")&amp;IF(E30=G30,"加速","")</f>
        <v>不使用增产剂</v>
      </c>
      <c r="I30" s="1" t="s">
        <v>66</v>
      </c>
      <c r="J30" s="1">
        <f t="shared" ref="J30:J45" si="1">G30/1000000000</f>
        <v>0.36</v>
      </c>
      <c r="Q30" s="1">
        <f t="shared" ref="Q30:Q45" si="2">60*318310/G30</f>
        <v>5.3051666666666664E-2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360000000</v>
      </c>
      <c r="D31" s="1">
        <f>((B6+C3*B9*2.5)/C2+B16)/1.25</f>
        <v>800446927.37430167</v>
      </c>
      <c r="E31" s="1">
        <f>((B6+C3*B9*2.5)/C2+2*B16)/2</f>
        <v>550558659.21787715</v>
      </c>
      <c r="F31" s="1">
        <f t="shared" ref="F31:F44" si="3">MIN(C31:E31)</f>
        <v>360000000</v>
      </c>
      <c r="G31" s="1">
        <f t="shared" ref="G31:G44" si="4">F31</f>
        <v>360000000</v>
      </c>
      <c r="H31" s="1" t="str">
        <f t="shared" si="0"/>
        <v>不使用增产剂</v>
      </c>
      <c r="I31" s="1" t="s">
        <v>69</v>
      </c>
      <c r="J31" s="1">
        <f t="shared" si="1"/>
        <v>0.36</v>
      </c>
      <c r="Q31" s="1">
        <f t="shared" si="2"/>
        <v>5.3051666666666664E-2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720000000</v>
      </c>
      <c r="D32" s="1">
        <f>(2*(B6+C3*B9*2.5)/C2+2*B16)/1.25</f>
        <v>1600893854.7486033</v>
      </c>
      <c r="E32" s="1">
        <f>(2*(B6+C3*B9*2.5)/C2+4*B16)/2</f>
        <v>1101117318.4357543</v>
      </c>
      <c r="F32" s="1">
        <f t="shared" si="3"/>
        <v>720000000</v>
      </c>
      <c r="G32" s="1">
        <f t="shared" si="4"/>
        <v>720000000</v>
      </c>
      <c r="H32" s="1" t="str">
        <f>IF(C32=G32,"不使用增产剂","")&amp;IF(D32=G32,"增产","")&amp;IF(E32=G32,"加速","")</f>
        <v>不使用增产剂</v>
      </c>
      <c r="I32" s="1" t="s">
        <v>71</v>
      </c>
      <c r="J32" s="1">
        <f t="shared" si="1"/>
        <v>0.72</v>
      </c>
      <c r="Q32" s="1">
        <f t="shared" si="2"/>
        <v>2.6525833333333332E-2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720000000</v>
      </c>
      <c r="D33" s="1">
        <f>(2*(B6+C3*B9*2.5)/C2+2*B16)/1.25</f>
        <v>1600893854.7486033</v>
      </c>
      <c r="E33" s="1">
        <f>(2*(B6+C3*B9*2.5)/C2+4*B16)/2</f>
        <v>1101117318.4357543</v>
      </c>
      <c r="F33" s="1">
        <f t="shared" si="3"/>
        <v>720000000</v>
      </c>
      <c r="G33" s="1">
        <f t="shared" si="4"/>
        <v>720000000</v>
      </c>
      <c r="H33" s="1" t="str">
        <f t="shared" si="0"/>
        <v>不使用增产剂</v>
      </c>
      <c r="I33" s="1" t="s">
        <v>73</v>
      </c>
      <c r="J33" s="1">
        <f t="shared" si="1"/>
        <v>0.72</v>
      </c>
      <c r="Q33" s="1">
        <f t="shared" si="2"/>
        <v>2.6525833333333332E-2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360000000</v>
      </c>
      <c r="D34" s="1">
        <f>((B6+C3*B9*2.5)/C2+B16)/1.25</f>
        <v>800446927.37430167</v>
      </c>
      <c r="E34" s="1">
        <f>((B6+C3*B9*2.5)/C2+2*B16)/2</f>
        <v>550558659.21787715</v>
      </c>
      <c r="F34" s="1">
        <f t="shared" si="3"/>
        <v>360000000</v>
      </c>
      <c r="G34" s="1">
        <f t="shared" si="4"/>
        <v>360000000</v>
      </c>
      <c r="H34" s="1" t="str">
        <f t="shared" si="0"/>
        <v>不使用增产剂</v>
      </c>
      <c r="I34" s="1" t="s">
        <v>75</v>
      </c>
      <c r="J34" s="1">
        <f t="shared" si="1"/>
        <v>0.36</v>
      </c>
      <c r="Q34" s="1">
        <f t="shared" si="2"/>
        <v>5.3051666666666664E-2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720000000</v>
      </c>
      <c r="D35" s="1">
        <f>(2*(B6+C3*B9*2.5)/C2+2*B16)/1.25</f>
        <v>1600893854.7486033</v>
      </c>
      <c r="E35" s="1">
        <f>(2*(B6+C3*B9*2.5)/C2+4*B16)/2</f>
        <v>1101117318.4357543</v>
      </c>
      <c r="F35" s="1">
        <f t="shared" si="3"/>
        <v>720000000</v>
      </c>
      <c r="G35" s="1">
        <f t="shared" si="4"/>
        <v>720000000</v>
      </c>
      <c r="H35" s="1" t="str">
        <f t="shared" si="0"/>
        <v>不使用增产剂</v>
      </c>
      <c r="I35" s="1" t="s">
        <v>77</v>
      </c>
      <c r="J35" s="1">
        <f t="shared" si="1"/>
        <v>0.72</v>
      </c>
      <c r="Q35" s="1">
        <f t="shared" si="2"/>
        <v>2.6525833333333332E-2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720000000</v>
      </c>
      <c r="D36" s="1">
        <f>(2*(B6+C3*B9*2.5)/C2+2*B16)/1.25</f>
        <v>1600893854.7486033</v>
      </c>
      <c r="E36" s="1">
        <f>(2*(B6+C3*B9*2.5)/C2+4*B16)/2</f>
        <v>1101117318.4357543</v>
      </c>
      <c r="F36" s="1">
        <f t="shared" si="3"/>
        <v>720000000</v>
      </c>
      <c r="G36" s="1">
        <f t="shared" si="4"/>
        <v>720000000</v>
      </c>
      <c r="H36" s="1" t="str">
        <f t="shared" si="0"/>
        <v>不使用增产剂</v>
      </c>
      <c r="I36" s="1" t="s">
        <v>79</v>
      </c>
      <c r="J36" s="1">
        <f t="shared" si="1"/>
        <v>0.72</v>
      </c>
      <c r="Q36" s="1">
        <f t="shared" si="2"/>
        <v>2.6525833333333332E-2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270000000</v>
      </c>
      <c r="D37" s="1">
        <f>(1.5*(D6+B3*B9*2.5)/B2+B16)/2.5</f>
        <v>580223463.68715084</v>
      </c>
      <c r="E37" s="1">
        <f>(1.5*(D6+B3*B9*2.5)/B2+2*B16)/4</f>
        <v>387779329.60893857</v>
      </c>
      <c r="F37" s="1">
        <f t="shared" si="3"/>
        <v>270000000</v>
      </c>
      <c r="G37" s="1">
        <f t="shared" si="4"/>
        <v>270000000</v>
      </c>
      <c r="H37" s="1" t="str">
        <f t="shared" si="0"/>
        <v>不使用增产剂</v>
      </c>
      <c r="I37" s="1" t="s">
        <v>81</v>
      </c>
      <c r="J37" s="1">
        <f t="shared" si="1"/>
        <v>0.27</v>
      </c>
      <c r="Q37" s="1">
        <f t="shared" si="2"/>
        <v>7.0735555555555552E-2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270000000</v>
      </c>
      <c r="D38" s="1">
        <f>(1.5*(B6+C3*B9*2.5)/C2+B16)/2.5</f>
        <v>580223463.68715084</v>
      </c>
      <c r="E38" s="1">
        <f>(1.5*(B6+C3*B9*2.5)/C2+2*B16)/4</f>
        <v>387779329.60893857</v>
      </c>
      <c r="F38" s="1">
        <f t="shared" si="3"/>
        <v>270000000</v>
      </c>
      <c r="G38" s="1">
        <f t="shared" si="4"/>
        <v>270000000</v>
      </c>
      <c r="H38" s="1" t="str">
        <f>IF(C38=G38,"不使用增产剂","")&amp;IF(D38=G38,"增产","")&amp;IF(E38=G38,"加速","")</f>
        <v>不使用增产剂</v>
      </c>
      <c r="I38" s="1" t="s">
        <v>83</v>
      </c>
      <c r="J38" s="1">
        <f t="shared" si="1"/>
        <v>0.27</v>
      </c>
      <c r="Q38" s="1">
        <f t="shared" si="2"/>
        <v>7.0735555555555552E-2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720000000</v>
      </c>
      <c r="D39" s="1">
        <f>(2*(I6+D3*B9*2.5)/D2+2*B16)/2.5</f>
        <v>1520446927.3743017</v>
      </c>
      <c r="E39" s="1">
        <f>(2*(I6+D3*B9*2.5)/D2+4*B16)/4</f>
        <v>1000558659.2178771</v>
      </c>
      <c r="F39" s="1">
        <f t="shared" si="3"/>
        <v>720000000</v>
      </c>
      <c r="G39" s="1">
        <f t="shared" si="4"/>
        <v>720000000</v>
      </c>
      <c r="H39" s="1" t="str">
        <f t="shared" ref="H39:H45" si="5">IF(C39=G39,"不使用增产剂","")&amp;IF(D39=G39,"增产","")&amp;IF(E39=G39,"加速","")</f>
        <v>不使用增产剂</v>
      </c>
      <c r="I39" s="1" t="s">
        <v>85</v>
      </c>
      <c r="J39" s="1">
        <f t="shared" si="1"/>
        <v>0.72</v>
      </c>
      <c r="Q39" s="1">
        <f t="shared" si="2"/>
        <v>2.6525833333333332E-2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1920000000</v>
      </c>
      <c r="D40" s="1">
        <f>((4/E2)*(N6+B9*E3*2.5)+2*B16)/2.5</f>
        <v>3920446927.3743019</v>
      </c>
      <c r="E40" s="1">
        <f>((4/E2)*(N6+B9*E3*2.5)+4*B16)/4</f>
        <v>2500558659.2178769</v>
      </c>
      <c r="F40" s="1">
        <f t="shared" si="3"/>
        <v>1920000000</v>
      </c>
      <c r="G40" s="1">
        <f t="shared" si="4"/>
        <v>1920000000</v>
      </c>
      <c r="H40" s="1" t="str">
        <f t="shared" si="5"/>
        <v>不使用增产剂</v>
      </c>
      <c r="I40" s="1" t="s">
        <v>87</v>
      </c>
      <c r="J40" s="1">
        <f t="shared" si="1"/>
        <v>1.92</v>
      </c>
      <c r="Q40" s="1">
        <f t="shared" si="2"/>
        <v>9.9471874999999994E-3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1440000000</v>
      </c>
      <c r="D41" s="1">
        <f>(4*(I6+D3*B9*2.5)/D2+6*B16)/2.5</f>
        <v>3121340782.1229048</v>
      </c>
      <c r="E41" s="1">
        <f>(4*(I6+D3*B9*2.5)/D2+12*B16)/4</f>
        <v>2101675977.6536312</v>
      </c>
      <c r="F41" s="1">
        <f t="shared" si="3"/>
        <v>1440000000</v>
      </c>
      <c r="G41" s="1">
        <f t="shared" si="4"/>
        <v>1440000000</v>
      </c>
      <c r="H41" s="1" t="str">
        <f t="shared" si="5"/>
        <v>不使用增产剂</v>
      </c>
      <c r="I41" s="1" t="s">
        <v>89</v>
      </c>
      <c r="J41" s="1">
        <f t="shared" si="1"/>
        <v>1.44</v>
      </c>
      <c r="Q41" s="1">
        <f t="shared" si="2"/>
        <v>1.3262916666666666E-2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540000000</v>
      </c>
      <c r="D42" s="1">
        <f>(1.5*(B6+C3*B9*2.5)/C2+B16)/1.25</f>
        <v>1160446927.3743017</v>
      </c>
      <c r="E42" s="1">
        <f>(1.5*(B6+C3*B9*2.5)/C2+2*B16)/2</f>
        <v>775558659.21787715</v>
      </c>
      <c r="F42" s="1">
        <f t="shared" si="3"/>
        <v>540000000</v>
      </c>
      <c r="G42" s="1">
        <f t="shared" si="4"/>
        <v>540000000</v>
      </c>
      <c r="H42" s="1" t="str">
        <f t="shared" si="5"/>
        <v>不使用增产剂</v>
      </c>
      <c r="I42" s="1" t="s">
        <v>91</v>
      </c>
      <c r="J42" s="1">
        <f t="shared" si="1"/>
        <v>0.54</v>
      </c>
      <c r="Q42" s="1">
        <f t="shared" si="2"/>
        <v>3.5367777777777776E-2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4363803899.6473684</v>
      </c>
      <c r="F43" s="1">
        <f t="shared" si="3"/>
        <v>4363803899.6473684</v>
      </c>
      <c r="G43" s="1">
        <f t="shared" si="4"/>
        <v>4363803899.6473684</v>
      </c>
      <c r="H43" s="1" t="str">
        <f t="shared" si="5"/>
        <v>加速</v>
      </c>
      <c r="I43" s="1" t="s">
        <v>93</v>
      </c>
      <c r="J43" s="1">
        <f t="shared" si="1"/>
        <v>4.363803899647368</v>
      </c>
      <c r="K43" s="1" t="s">
        <v>241</v>
      </c>
      <c r="Q43" s="1">
        <f t="shared" si="2"/>
        <v>4.3765944664798809E-3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6000000000</v>
      </c>
      <c r="D44" s="1">
        <f>(2.5*(J6+F3*B9*2.5)/F2+10*B16)/6.25</f>
        <v>12160893854.748604</v>
      </c>
      <c r="E44" s="1">
        <f>(2.5*(J6+F3*B9*2.5)/F2+20*B16)/10</f>
        <v>7701117318.4357548</v>
      </c>
      <c r="F44" s="1">
        <f t="shared" si="3"/>
        <v>6000000000</v>
      </c>
      <c r="G44" s="1">
        <f t="shared" si="4"/>
        <v>6000000000</v>
      </c>
      <c r="H44" s="1" t="str">
        <f>IF(C44=G44,"不使用增产剂","")&amp;IF(D44=G44,"增产","")&amp;IF(E44=G44,"加速","")</f>
        <v>不使用增产剂</v>
      </c>
      <c r="I44" s="1" t="s">
        <v>97</v>
      </c>
      <c r="J44" s="1">
        <f t="shared" si="1"/>
        <v>6</v>
      </c>
      <c r="Q44" s="1">
        <f t="shared" si="2"/>
        <v>3.1830999999999999E-3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751351955.30726254</v>
      </c>
      <c r="D45" s="1" t="s">
        <v>96</v>
      </c>
      <c r="E45" s="1">
        <f>((0.1*G92)+60*S6+0.1*B16)/24</f>
        <v>376094972.06703907</v>
      </c>
      <c r="F45" s="1">
        <f>MIN(C45:E45)</f>
        <v>376094972.06703907</v>
      </c>
      <c r="G45" s="1">
        <f>F45</f>
        <v>376094972.06703907</v>
      </c>
      <c r="H45" s="1" t="str">
        <f t="shared" si="5"/>
        <v>加速</v>
      </c>
      <c r="I45" s="1" t="s">
        <v>101</v>
      </c>
      <c r="J45" s="1">
        <f t="shared" si="1"/>
        <v>0.37609497206703907</v>
      </c>
      <c r="K45" s="1" t="s">
        <v>240</v>
      </c>
      <c r="Q45" s="1">
        <f t="shared" si="2"/>
        <v>5.0781322321415315E-2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900000000</v>
      </c>
      <c r="D50" s="1">
        <f>((2*G42+G31)+(E6+B3*B9*2.5)/B2+3*B16)/2.5</f>
        <v>1056670391.0614525</v>
      </c>
      <c r="E50" s="1">
        <f>(2*(2*G42+G31)+(E6+2.5*B3*B9)/B2+6*B16)/4</f>
        <v>1095837988.8268156</v>
      </c>
      <c r="F50" s="1">
        <f t="shared" ref="F50:F77" si="6">MIN(C50:E50)</f>
        <v>900000000</v>
      </c>
      <c r="G50" s="1">
        <f t="shared" ref="G50:G77" si="7">F50</f>
        <v>900000000</v>
      </c>
      <c r="H50" s="1" t="str">
        <f t="shared" ref="H50:H77" si="8">IF(C50=G50,"不使用增产剂","")&amp;IF(D50=G50,"增产","")&amp;IF(E50=G50,"加速","")</f>
        <v>不使用增产剂</v>
      </c>
      <c r="I50" s="1" t="s">
        <v>103</v>
      </c>
      <c r="J50" s="1">
        <f t="shared" ref="J50:J78" si="9">G50/1000000000</f>
        <v>0.9</v>
      </c>
      <c r="Q50" s="1">
        <f t="shared" ref="Q50:Q78" si="10">60*318310/G50</f>
        <v>2.1220666666666665E-2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2160000000</v>
      </c>
      <c r="D51" s="1">
        <f>((3*G30)+3*(B6+C3*B9*2.5)/C2+3*B16)/1.25</f>
        <v>3265340782.1229048</v>
      </c>
      <c r="E51" s="1">
        <f>(2*(3*G30)+3*(B6+C3*B9*2.5)/C2+6*B16)/2</f>
        <v>2731675977.6536312</v>
      </c>
      <c r="F51" s="1">
        <f t="shared" si="6"/>
        <v>2160000000</v>
      </c>
      <c r="G51" s="1">
        <f t="shared" si="7"/>
        <v>2160000000</v>
      </c>
      <c r="H51" s="1" t="str">
        <f t="shared" si="8"/>
        <v>不使用增产剂</v>
      </c>
      <c r="I51" s="1" t="s">
        <v>105</v>
      </c>
      <c r="J51" s="1">
        <f t="shared" si="9"/>
        <v>2.16</v>
      </c>
      <c r="Q51" s="1">
        <f t="shared" si="10"/>
        <v>8.8419444444444439E-3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3960000000</v>
      </c>
      <c r="D52" s="1">
        <f>((4*G33+4*G51)+(12/C2)*(C6+C3*B9*2.5)+16*B16)/5</f>
        <v>4785787709.4972067</v>
      </c>
      <c r="E52" s="1">
        <f>(2*(4*G33+4*G51)+(12/C2)*(C6+C3*B9*2.5)+32*B16)/8</f>
        <v>4632234636.8715086</v>
      </c>
      <c r="F52" s="1">
        <f t="shared" si="6"/>
        <v>3960000000</v>
      </c>
      <c r="G52" s="1">
        <f t="shared" si="7"/>
        <v>3960000000</v>
      </c>
      <c r="H52" s="1" t="str">
        <f t="shared" si="8"/>
        <v>不使用增产剂</v>
      </c>
      <c r="I52" s="1" t="s">
        <v>107</v>
      </c>
      <c r="J52" s="1">
        <f t="shared" si="9"/>
        <v>3.96</v>
      </c>
      <c r="Q52" s="1">
        <f t="shared" si="10"/>
        <v>4.8228787878787874E-3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2340000000</v>
      </c>
      <c r="D53" s="1">
        <f>((2*G36+2*G33)+(5/B2)*(F6+2.5*B3*B9)+6*B16)/2.5</f>
        <v>3193340782.1229048</v>
      </c>
      <c r="E53" s="1">
        <f>(2*(2*G36+2*G33)+(5/B2)*(F6+2.5*B3*B9)+12*B16)/4</f>
        <v>2866675977.6536312</v>
      </c>
      <c r="F53" s="1">
        <f t="shared" si="6"/>
        <v>2340000000</v>
      </c>
      <c r="G53" s="1">
        <f t="shared" si="7"/>
        <v>2340000000</v>
      </c>
      <c r="H53" s="1" t="str">
        <f t="shared" si="8"/>
        <v>不使用增产剂</v>
      </c>
      <c r="I53" s="1" t="s">
        <v>109</v>
      </c>
      <c r="J53" s="1">
        <f t="shared" si="9"/>
        <v>2.34</v>
      </c>
      <c r="Q53" s="1">
        <f t="shared" si="10"/>
        <v>8.1617948717948724E-3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1440000000</v>
      </c>
      <c r="D54" s="1">
        <f>((3*G36)+(2/B2)*(D6+B3*B9*2.5)+3*B16)/2.5</f>
        <v>1704670391.0614524</v>
      </c>
      <c r="E54" s="1">
        <f>((6*G36)+(2/B2)*(D6+B3*B9*2.5)+6*B16)/4</f>
        <v>1680837988.8268156</v>
      </c>
      <c r="F54" s="1">
        <f t="shared" si="6"/>
        <v>1440000000</v>
      </c>
      <c r="G54" s="1">
        <f t="shared" si="7"/>
        <v>1440000000</v>
      </c>
      <c r="H54" s="1" t="str">
        <f t="shared" si="8"/>
        <v>不使用增产剂</v>
      </c>
      <c r="I54" s="1" t="s">
        <v>111</v>
      </c>
      <c r="J54" s="1">
        <f t="shared" si="9"/>
        <v>1.44</v>
      </c>
      <c r="Q54" s="1">
        <f t="shared" si="10"/>
        <v>1.3262916666666666E-2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7200000000</v>
      </c>
      <c r="D55" s="1">
        <f>((4*G50+2*G54)+(2/B2)*(E6+2.5*B3*B9)+6*B16)/1.25</f>
        <v>7106681564.2458096</v>
      </c>
      <c r="E55" s="1">
        <f>(2*(4*G50+2*G54)+(2/B2)*(E6+2.5*B3*B9)+12*B16)/2</f>
        <v>7983351955.3072624</v>
      </c>
      <c r="F55" s="1">
        <f t="shared" si="6"/>
        <v>7106681564.2458096</v>
      </c>
      <c r="G55" s="1">
        <f t="shared" si="7"/>
        <v>7106681564.2458096</v>
      </c>
      <c r="H55" s="1" t="str">
        <f t="shared" si="8"/>
        <v>增产</v>
      </c>
      <c r="I55" s="1" t="s">
        <v>113</v>
      </c>
      <c r="J55" s="1">
        <f t="shared" si="9"/>
        <v>7.1066815642458092</v>
      </c>
      <c r="Q55" s="1">
        <f t="shared" si="10"/>
        <v>2.6874146290845977E-3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720000000</v>
      </c>
      <c r="D56" s="1">
        <f>(G30+(1/B2)*(D6+2.5*B3*B9)+B16)/1.25</f>
        <v>1088446927.3743017</v>
      </c>
      <c r="E56" s="1">
        <f>(2*G30+(1/B2)*(D6+2.5*B3*B9)+2*B16)/2</f>
        <v>910558659.21787715</v>
      </c>
      <c r="F56" s="1">
        <f t="shared" si="6"/>
        <v>720000000</v>
      </c>
      <c r="G56" s="1">
        <f t="shared" si="7"/>
        <v>720000000</v>
      </c>
      <c r="H56" s="1" t="str">
        <f t="shared" si="8"/>
        <v>不使用增产剂</v>
      </c>
      <c r="I56" s="1" t="s">
        <v>115</v>
      </c>
      <c r="J56" s="1">
        <f t="shared" si="9"/>
        <v>0.72</v>
      </c>
      <c r="Q56" s="1">
        <f t="shared" si="10"/>
        <v>2.6525833333333332E-2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720000000</v>
      </c>
      <c r="D57" s="1">
        <f>((2*G30+G31)+(E6+B3*B9*2.5)/B2+3*B16)/2.5</f>
        <v>912670391.06145251</v>
      </c>
      <c r="E57" s="1">
        <f>(2*(2*G30+G31)+(E6+B3*B9*2.5)/B2+6*B16)/4</f>
        <v>915837988.82681561</v>
      </c>
      <c r="F57" s="1">
        <f t="shared" si="6"/>
        <v>720000000</v>
      </c>
      <c r="G57" s="1">
        <f t="shared" si="7"/>
        <v>720000000</v>
      </c>
      <c r="H57" s="1" t="str">
        <f t="shared" si="8"/>
        <v>不使用增产剂</v>
      </c>
      <c r="I57" s="1" t="s">
        <v>117</v>
      </c>
      <c r="J57" s="1">
        <f t="shared" si="9"/>
        <v>0.72</v>
      </c>
      <c r="Q57" s="1">
        <f t="shared" si="10"/>
        <v>2.6525833333333332E-2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2520000000</v>
      </c>
      <c r="D58" s="1">
        <f>((2*G32+G31)+2*(E6+B3*B9*2.5)/B2+3*B16)/1.25</f>
        <v>3121340782.1229048</v>
      </c>
      <c r="E58" s="1">
        <f>(2*(2*G32+G31)+2*(E6+B3*B9*2.5)/B2+6*B16)/2</f>
        <v>3001675977.6536312</v>
      </c>
      <c r="F58" s="1">
        <f t="shared" si="6"/>
        <v>2520000000</v>
      </c>
      <c r="G58" s="1">
        <f t="shared" si="7"/>
        <v>2520000000</v>
      </c>
      <c r="H58" s="1" t="str">
        <f t="shared" si="8"/>
        <v>不使用增产剂</v>
      </c>
      <c r="I58" s="1" t="s">
        <v>119</v>
      </c>
      <c r="J58" s="1">
        <f t="shared" si="9"/>
        <v>2.52</v>
      </c>
      <c r="Q58" s="1">
        <f t="shared" si="10"/>
        <v>7.5788095238095241E-3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7560000000</v>
      </c>
      <c r="D59" s="1">
        <f>((2*G57+2*G58)+(3/B2)*(E6+B3*B9*2.5)+4*B16)/1.25</f>
        <v>7665787709.4972057</v>
      </c>
      <c r="E59" s="1">
        <f>(2*(2*G57+2*G58)+(3/B2)*(E6+B3*B9*2.5)+8*B16)/2</f>
        <v>8232234636.8715086</v>
      </c>
      <c r="F59" s="1">
        <f t="shared" si="6"/>
        <v>7560000000</v>
      </c>
      <c r="G59" s="1">
        <f t="shared" si="7"/>
        <v>7560000000</v>
      </c>
      <c r="H59" s="1" t="str">
        <f t="shared" si="8"/>
        <v>不使用增产剂</v>
      </c>
      <c r="I59" s="1" t="s">
        <v>121</v>
      </c>
      <c r="J59" s="1">
        <f t="shared" si="9"/>
        <v>7.56</v>
      </c>
      <c r="Q59" s="1">
        <f t="shared" si="10"/>
        <v>2.5262698412698414E-3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3060000000</v>
      </c>
      <c r="D60" s="1">
        <f>((2*G30+G56+G50)+(2/B2)*(F6+2.5*B3*B9)+4*B16)/1.25</f>
        <v>3633787709.4972067</v>
      </c>
      <c r="E60" s="1">
        <f>(2*(2*G30+G56+G50)+(2/B2)*(F6+2.5*B3*B9)+8*B16)/2</f>
        <v>3642234636.8715086</v>
      </c>
      <c r="F60" s="1">
        <f t="shared" si="6"/>
        <v>3060000000</v>
      </c>
      <c r="G60" s="1">
        <f t="shared" si="7"/>
        <v>3060000000</v>
      </c>
      <c r="H60" s="1" t="str">
        <f t="shared" si="8"/>
        <v>不使用增产剂</v>
      </c>
      <c r="I60" s="1" t="s">
        <v>123</v>
      </c>
      <c r="J60" s="1">
        <f t="shared" si="9"/>
        <v>3.06</v>
      </c>
      <c r="Q60" s="1">
        <f t="shared" si="10"/>
        <v>6.2413725490196078E-3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8640000000</v>
      </c>
      <c r="D61" s="1">
        <f>((2*G60+2*G50)+(2/B2)*(E6+2.5*B3*B9)+4*B16)/1.25</f>
        <v>8097787709.4972057</v>
      </c>
      <c r="E61" s="1">
        <f>(2*(2*G60+2*G50)+(2/B2)*(E6+2.5*B3*B9)+8*B16)/2</f>
        <v>9222234636.8715076</v>
      </c>
      <c r="F61" s="1">
        <f t="shared" si="6"/>
        <v>8097787709.4972057</v>
      </c>
      <c r="G61" s="1">
        <f t="shared" si="7"/>
        <v>8097787709.4972057</v>
      </c>
      <c r="H61" s="1" t="str">
        <f t="shared" si="8"/>
        <v>增产</v>
      </c>
      <c r="I61" s="1" t="s">
        <v>125</v>
      </c>
      <c r="J61" s="1">
        <f t="shared" si="9"/>
        <v>8.0977877094972062</v>
      </c>
      <c r="Q61" s="1">
        <f t="shared" si="10"/>
        <v>2.3584960096695146E-3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((J22+3*G33)+(4/B2)*(E6+B3*B9))</f>
        <v>19665787709.497208</v>
      </c>
      <c r="D62" s="1">
        <f>((J22+3*G33)+(4/B2)*(E6+B3*B9*2.5)+4*B16)/1.25</f>
        <v>17782417877.094975</v>
      </c>
      <c r="E62" s="1">
        <f>(2*(J22+3*G33)+(4/B2)*(E6+B3*B9*2.5)+8*B16)/2</f>
        <v>20428022346.368717</v>
      </c>
      <c r="F62" s="1">
        <f t="shared" si="6"/>
        <v>17782417877.094975</v>
      </c>
      <c r="G62" s="1">
        <f t="shared" si="7"/>
        <v>17782417877.094975</v>
      </c>
      <c r="H62" s="1" t="str">
        <f t="shared" si="8"/>
        <v>增产</v>
      </c>
      <c r="I62" s="1" t="s">
        <v>235</v>
      </c>
      <c r="J62" s="1">
        <f t="shared" si="9"/>
        <v>17.782417877094975</v>
      </c>
      <c r="Q62" s="1">
        <f t="shared" si="10"/>
        <v>1.0740159258432658E-3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2880000000</v>
      </c>
      <c r="D63" s="1">
        <f>((J22+2*G39)+(4/B2)*(F6+2.5*B3*B9)+22*B16)/1.25</f>
        <v>18654462569.832405</v>
      </c>
      <c r="E63" s="1">
        <f>(2*(J22+2*G39)+(4/B2)*(F6+2.5*B3*B9)+44*B16)/2</f>
        <v>21518078212.290504</v>
      </c>
      <c r="F63" s="1">
        <f t="shared" si="6"/>
        <v>2880000000</v>
      </c>
      <c r="G63" s="1">
        <f t="shared" si="7"/>
        <v>2880000000</v>
      </c>
      <c r="H63" s="1" t="str">
        <f t="shared" si="8"/>
        <v>不使用增产剂</v>
      </c>
      <c r="I63" s="1" t="s">
        <v>128</v>
      </c>
      <c r="J63" s="1">
        <f t="shared" si="9"/>
        <v>2.88</v>
      </c>
      <c r="Q63" s="1">
        <f t="shared" si="10"/>
        <v>6.631458333333333E-3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20662417877.094975</v>
      </c>
      <c r="D64" s="1">
        <f>((G62+2*G39)+(4/B2)*(F6+2.5*B3*B9)+18*B16)/1.25</f>
        <v>19705978994.41341</v>
      </c>
      <c r="E64" s="1">
        <f>(2*(G62+2*G39)+(4/B2)*(F6+2.5*B3*B9)+36*B16)/2</f>
        <v>22832473743.016762</v>
      </c>
      <c r="F64" s="1">
        <f t="shared" si="6"/>
        <v>19705978994.41341</v>
      </c>
      <c r="G64" s="1">
        <f t="shared" si="7"/>
        <v>19705978994.41341</v>
      </c>
      <c r="H64" s="1" t="str">
        <f t="shared" si="8"/>
        <v>增产</v>
      </c>
      <c r="I64" s="1" t="s">
        <v>130</v>
      </c>
      <c r="J64" s="1">
        <f t="shared" si="9"/>
        <v>19.70597899441341</v>
      </c>
      <c r="Q64" s="1">
        <f t="shared" si="10"/>
        <v>9.6917793353044782E-4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((D22+2*G53)+(12/B2)*(E6+B3*B9))</f>
        <v>28705978994.41341</v>
      </c>
      <c r="D65" s="1">
        <f>((D22+2*G53)+(12/B2)*(E6+2.5*B3*B9)+3*B16)/1.25</f>
        <v>28390123977.653633</v>
      </c>
      <c r="E65" s="1">
        <f>(2*(D22+2*G53)+(12/B2)*(E6+2.5*B3*B9)+6*B16)/2</f>
        <v>30087654972.067043</v>
      </c>
      <c r="F65" s="1">
        <f t="shared" si="6"/>
        <v>28390123977.653633</v>
      </c>
      <c r="G65" s="1">
        <f t="shared" si="7"/>
        <v>28390123977.653633</v>
      </c>
      <c r="H65" s="1" t="str">
        <f t="shared" si="8"/>
        <v>增产</v>
      </c>
      <c r="I65" s="1" t="s">
        <v>132</v>
      </c>
      <c r="J65" s="1">
        <f t="shared" si="9"/>
        <v>28.390123977653634</v>
      </c>
      <c r="Q65" s="1">
        <f t="shared" si="10"/>
        <v>6.727198519820781E-4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2160000000</v>
      </c>
      <c r="D66" s="1">
        <f>((2*G31)+(4/B2)*(E6+2.5*B3*B9)+12*B16)/1.25</f>
        <v>4421363128.4916201</v>
      </c>
      <c r="E66" s="1">
        <f>(2*(2*G31)+(4/B2)*(E6+2.5*B3*B9)+24*B16)/2</f>
        <v>3726703910.6145253</v>
      </c>
      <c r="F66" s="1">
        <f t="shared" si="6"/>
        <v>2160000000</v>
      </c>
      <c r="G66" s="1">
        <f t="shared" si="7"/>
        <v>2160000000</v>
      </c>
      <c r="H66" s="1" t="str">
        <f t="shared" si="8"/>
        <v>不使用增产剂</v>
      </c>
      <c r="I66" s="1" t="s">
        <v>134</v>
      </c>
      <c r="J66" s="1">
        <f t="shared" si="9"/>
        <v>2.16</v>
      </c>
      <c r="Q66" s="1">
        <f t="shared" si="10"/>
        <v>8.8419444444444439E-3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19795575418.994411</v>
      </c>
      <c r="D67" s="1">
        <f>((2*G61+2*G31+2*G39)+(4/B2)*(F6+2.5*B3*B9)+6*B16)/1.25</f>
        <v>18047141899.441338</v>
      </c>
      <c r="E67" s="1">
        <f>(2*(2*G61+2*G31+2*G39)+(4/B2)*(F6+2.5*B3*B9)+12*B16)/2</f>
        <v>20758927374.301674</v>
      </c>
      <c r="F67" s="1">
        <f t="shared" si="6"/>
        <v>18047141899.441338</v>
      </c>
      <c r="G67" s="1">
        <f t="shared" si="7"/>
        <v>18047141899.441338</v>
      </c>
      <c r="H67" s="1" t="str">
        <f t="shared" si="8"/>
        <v>增产</v>
      </c>
      <c r="I67" s="1" t="s">
        <v>136</v>
      </c>
      <c r="J67" s="1">
        <f t="shared" si="9"/>
        <v>18.047141899441339</v>
      </c>
      <c r="Q67" s="1">
        <f t="shared" si="10"/>
        <v>1.0582617517176619E-3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((2*B22+2*G30+10*C22)+(8/F2)*(L6+F3*B9))</f>
        <v>101040000000</v>
      </c>
      <c r="D68" s="1">
        <f>((2*B22+2*G30+10*C22)+(8/F2)*(L6+2.5*F3*B9)+14*B16)/1.25</f>
        <v>197158256983.24023</v>
      </c>
      <c r="E68" s="1">
        <f>(2*(2*B22+2*G30+10*C22)+(8/F2)*(L6+2.5*F3*B9)+28*B16)/2</f>
        <v>126447821229.05028</v>
      </c>
      <c r="F68" s="1">
        <f t="shared" si="6"/>
        <v>101040000000</v>
      </c>
      <c r="G68" s="1">
        <f t="shared" si="7"/>
        <v>101040000000</v>
      </c>
      <c r="H68" s="1" t="str">
        <f t="shared" si="8"/>
        <v>不使用增产剂</v>
      </c>
      <c r="I68" s="1" t="s">
        <v>138</v>
      </c>
      <c r="J68" s="1">
        <f t="shared" si="9"/>
        <v>101.04</v>
      </c>
      <c r="Q68" s="1">
        <f t="shared" si="10"/>
        <v>1.8902019002375297E-4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4680000000</v>
      </c>
      <c r="D69" s="1">
        <f>((2*G54+G57)+(3/B2)*(E6+2.5*B3*B9)+3*B16)/1.25</f>
        <v>5281340782.1229048</v>
      </c>
      <c r="E69" s="1">
        <f>(2*(2*G54+G57)+(3/B2)*(E6+2.5*B3*B9)+6*B16)/2</f>
        <v>5251675977.6536312</v>
      </c>
      <c r="F69" s="1">
        <f t="shared" si="6"/>
        <v>4680000000</v>
      </c>
      <c r="G69" s="1">
        <f t="shared" si="7"/>
        <v>4680000000</v>
      </c>
      <c r="H69" s="1" t="str">
        <f t="shared" si="8"/>
        <v>不使用增产剂</v>
      </c>
      <c r="I69" s="1" t="s">
        <v>140</v>
      </c>
      <c r="J69" s="1">
        <f t="shared" si="9"/>
        <v>4.68</v>
      </c>
      <c r="Q69" s="1">
        <f t="shared" si="10"/>
        <v>4.0808974358974362E-3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1800000000</v>
      </c>
      <c r="D70" s="1">
        <f>((G57)+(3/B2)*(E6+2.5*B3*B9)+2*B16)/1.25</f>
        <v>2896893854.7486033</v>
      </c>
      <c r="E70" s="1">
        <f>(2*(G57)+(3/B2)*(E6+2.5*B3*B9)+4*B16)/2</f>
        <v>2271117318.4357543</v>
      </c>
      <c r="F70" s="1">
        <f t="shared" si="6"/>
        <v>1800000000</v>
      </c>
      <c r="G70" s="1">
        <f t="shared" si="7"/>
        <v>1800000000</v>
      </c>
      <c r="H70" s="1" t="str">
        <f t="shared" si="8"/>
        <v>不使用增产剂</v>
      </c>
      <c r="I70" s="1" t="s">
        <v>142</v>
      </c>
      <c r="J70" s="1">
        <f t="shared" si="9"/>
        <v>1.8</v>
      </c>
      <c r="Q70" s="1">
        <f t="shared" si="10"/>
        <v>1.0610333333333333E-2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((G39+E22)+(4/B2)*(E6+B3*B9))/2</f>
        <v>1980000000</v>
      </c>
      <c r="D71" s="1">
        <f>((G39+E22)+(4/B2)*(E6+2.5*B3*B9)+2*B16)/2.5</f>
        <v>2528446927.3743014</v>
      </c>
      <c r="E71" s="1">
        <f>(2*(G39+E22)+(4/B2)*(E6+2.5*B3*B9)+4*B16)/4</f>
        <v>2260558659.2178769</v>
      </c>
      <c r="F71" s="1">
        <f t="shared" si="6"/>
        <v>1980000000</v>
      </c>
      <c r="G71" s="1">
        <f t="shared" si="7"/>
        <v>1980000000</v>
      </c>
      <c r="H71" s="1" t="str">
        <f t="shared" si="8"/>
        <v>不使用增产剂</v>
      </c>
      <c r="I71" s="1" t="s">
        <v>144</v>
      </c>
      <c r="J71" s="1">
        <f t="shared" si="9"/>
        <v>1.98</v>
      </c>
      <c r="Q71" s="1">
        <f t="shared" si="10"/>
        <v>9.6457575757575749E-3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((2*F22)+(2/F2)*(L6+F3*B9))/2</f>
        <v>12000000000</v>
      </c>
      <c r="D72" s="1" t="s">
        <v>96</v>
      </c>
      <c r="E72" s="1">
        <f>(2*(2*F22)+(2/F2)*(L6+2.5*F3*B9)+4*B16)/4</f>
        <v>15100558659.217876</v>
      </c>
      <c r="F72" s="1">
        <f t="shared" si="6"/>
        <v>12000000000</v>
      </c>
      <c r="G72" s="1">
        <f t="shared" si="7"/>
        <v>12000000000</v>
      </c>
      <c r="H72" s="1" t="str">
        <f t="shared" si="8"/>
        <v>不使用增产剂</v>
      </c>
      <c r="I72" s="1" t="s">
        <v>146</v>
      </c>
      <c r="J72" s="1">
        <f t="shared" si="9"/>
        <v>12</v>
      </c>
      <c r="Q72" s="1">
        <f t="shared" si="10"/>
        <v>1.59155E-3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6720000000</v>
      </c>
      <c r="D73" s="1">
        <f>((2*G40+G35)+(3/D2)*(I6+2.5*D3*B9)+3*B16)/1.25</f>
        <v>8209340782.1229048</v>
      </c>
      <c r="E73" s="1">
        <f>(2*(2*G40+G35)+(3/D2)*(I6+2.5*D3*B9)+6*B16)/2</f>
        <v>7561675977.6536312</v>
      </c>
      <c r="F73" s="1">
        <f t="shared" si="6"/>
        <v>6720000000</v>
      </c>
      <c r="G73" s="1">
        <f t="shared" si="7"/>
        <v>6720000000</v>
      </c>
      <c r="H73" s="1" t="str">
        <f t="shared" si="8"/>
        <v>不使用增产剂</v>
      </c>
      <c r="I73" s="1" t="s">
        <v>148</v>
      </c>
      <c r="J73" s="1">
        <f t="shared" si="9"/>
        <v>6.72</v>
      </c>
      <c r="Q73" s="1">
        <f t="shared" si="10"/>
        <v>2.8420535714285713E-3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((2*G41+2*I22+G73)+(8/B2)*(F6+B3*B9))</f>
        <v>15360000000</v>
      </c>
      <c r="D74" s="1">
        <f>((2*G41+2*I22+G73)+(8/B2)*(F6+2.5*B3*B9)+5*B16)/1.25</f>
        <v>16146234636.87151</v>
      </c>
      <c r="E74" s="1">
        <f>(2*(2*G41+2*I22+G73)+(8/B2)*(F6+2.5*B3*B9)+10*B16)/2</f>
        <v>16582793296.089386</v>
      </c>
      <c r="F74" s="1">
        <f t="shared" si="6"/>
        <v>15360000000</v>
      </c>
      <c r="G74" s="1">
        <f t="shared" si="7"/>
        <v>15360000000</v>
      </c>
      <c r="H74" s="1" t="str">
        <f t="shared" si="8"/>
        <v>不使用增产剂</v>
      </c>
      <c r="I74" s="1" t="s">
        <v>150</v>
      </c>
      <c r="J74" s="1">
        <f t="shared" si="9"/>
        <v>15.36</v>
      </c>
      <c r="Q74" s="1">
        <f t="shared" si="10"/>
        <v>1.2433984374999999E-3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2880000000</v>
      </c>
      <c r="D75" s="1">
        <f>((3*G39+G33)+(4/D2)*(I6+2.5*D3*B9)+4*B16)/2.5</f>
        <v>4192893854.7486029</v>
      </c>
      <c r="E75" s="1">
        <f>((3*G39+G33)+(2/D2)*(I6+2.5*D3*B9)+4*B16)/2</f>
        <v>3441117318.4357543</v>
      </c>
      <c r="F75" s="1">
        <f t="shared" si="6"/>
        <v>2880000000</v>
      </c>
      <c r="G75" s="1">
        <f t="shared" si="7"/>
        <v>2880000000</v>
      </c>
      <c r="H75" s="1" t="str">
        <f t="shared" si="8"/>
        <v>不使用增产剂</v>
      </c>
      <c r="I75" s="1" t="s">
        <v>152</v>
      </c>
      <c r="J75" s="1">
        <f t="shared" si="9"/>
        <v>2.88</v>
      </c>
      <c r="Q75" s="1">
        <f t="shared" si="10"/>
        <v>6.631458333333333E-3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1440000000</v>
      </c>
      <c r="D76" s="1">
        <f>((G35)+2*(B6+2.5*C3*B9)/C2+B16)/1.25</f>
        <v>2096446927.3743014</v>
      </c>
      <c r="E76" s="1">
        <f>((G35)+1*(B6+2.5*C3*B9)/C2+B16)/1</f>
        <v>1720558659.2178771</v>
      </c>
      <c r="F76" s="1">
        <f t="shared" si="6"/>
        <v>1440000000</v>
      </c>
      <c r="G76" s="1">
        <f t="shared" si="7"/>
        <v>1440000000</v>
      </c>
      <c r="H76" s="1" t="str">
        <f t="shared" si="8"/>
        <v>不使用增产剂</v>
      </c>
      <c r="I76" s="1" t="s">
        <v>227</v>
      </c>
      <c r="J76" s="1">
        <f t="shared" si="9"/>
        <v>1.44</v>
      </c>
      <c r="Q76" s="1">
        <f t="shared" si="10"/>
        <v>1.3262916666666666E-2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1440000000</v>
      </c>
      <c r="D77" s="1">
        <f>((G32)+2*(B6+2.5*C3*B9)/C2+B16)/1.25</f>
        <v>2096446927.3743014</v>
      </c>
      <c r="E77" s="1">
        <f>((G32)+1*(B6+2.5*C3*B9)/C2+B16)/1</f>
        <v>1720558659.2178771</v>
      </c>
      <c r="F77" s="1">
        <f t="shared" si="6"/>
        <v>1440000000</v>
      </c>
      <c r="G77" s="1">
        <f t="shared" si="7"/>
        <v>1440000000</v>
      </c>
      <c r="H77" s="1" t="str">
        <f t="shared" si="8"/>
        <v>不使用增产剂</v>
      </c>
      <c r="I77" s="1" t="s">
        <v>228</v>
      </c>
      <c r="J77" s="1">
        <f t="shared" si="9"/>
        <v>1.44</v>
      </c>
      <c r="Q77" s="1">
        <f t="shared" si="10"/>
        <v>1.3262916666666666E-2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19680000000</v>
      </c>
      <c r="D78" s="1">
        <f>((2*G73+F40)+(6/D2)*(I6+D3*B9)+4*B16)/1.25</f>
        <v>16065787709.497208</v>
      </c>
      <c r="E78" s="1">
        <f>((2*G73+F40)+(3/D2)*(I6+D3*B9)+4*B16)/1</f>
        <v>17922234636.87151</v>
      </c>
      <c r="F78" s="1">
        <f t="shared" ref="F78" si="11">MIN(C78:E78)</f>
        <v>16065787709.497208</v>
      </c>
      <c r="G78" s="1">
        <f t="shared" ref="G78" si="12">F78</f>
        <v>16065787709.497208</v>
      </c>
      <c r="H78" s="1" t="str">
        <f t="shared" ref="H78" si="13">IF(C78=G78,"不使用增产剂","")&amp;IF(D78=G78,"增产","")&amp;IF(E78=G78,"加速","")</f>
        <v>增产</v>
      </c>
      <c r="I78" s="1" t="s">
        <v>236</v>
      </c>
      <c r="J78" s="1">
        <f t="shared" si="9"/>
        <v>16.065787709497208</v>
      </c>
      <c r="Q78" s="1">
        <f t="shared" si="10"/>
        <v>1.1887745777139805E-3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19615575418.994411</v>
      </c>
      <c r="D91" s="1">
        <f>((2*G61+3*G42+G35)+(3/B2)*(F6+2.5*B3*B9)+6*B16)/1.25</f>
        <v>17471141899.441338</v>
      </c>
      <c r="E91" s="1">
        <f>(2*(2*G61+3*G42+G35)+(3/B2)*(F6+2.5*B3*B9)+12*B16)/2</f>
        <v>20488927374.301674</v>
      </c>
      <c r="F91" s="1">
        <f t="shared" ref="F91:F106" si="14">MIN(C91:E91)</f>
        <v>17471141899.441338</v>
      </c>
      <c r="G91" s="1">
        <f t="shared" ref="G91:G106" si="15">F91</f>
        <v>17471141899.441338</v>
      </c>
      <c r="H91" s="1" t="str">
        <f t="shared" ref="H91:H106" si="16">IF(C91=G91,"不使用增产剂","")&amp;IF(D91=G91,"增产","")&amp;IF(E91=G91,"加速","")</f>
        <v>增产</v>
      </c>
      <c r="I91" s="1" t="s">
        <v>155</v>
      </c>
      <c r="J91" s="1">
        <f t="shared" ref="J91:J106" si="17">G91/1000000000</f>
        <v>17.471141899441339</v>
      </c>
      <c r="Q91" s="1">
        <f t="shared" ref="Q91:Q106" si="18">60*318310/G91</f>
        <v>1.0931512152969637E-3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(4*H22+G68)+(6/B2)*(E6+B3*B9)</f>
        <v>108960000000</v>
      </c>
      <c r="D92" s="1">
        <f>((4*H22+G68)+(6/B2)*(E6+2.5*B3*B9)+5*B16)/1.25</f>
        <v>90162234636.871506</v>
      </c>
      <c r="E92" s="1">
        <f>(2*(4*H22+G68)+(6/B2)*(E6+2.5*B3*B9)+10*B16)/2</f>
        <v>110002793296.08939</v>
      </c>
      <c r="F92" s="1">
        <f t="shared" si="14"/>
        <v>90162234636.871506</v>
      </c>
      <c r="G92" s="1">
        <f t="shared" si="15"/>
        <v>90162234636.871506</v>
      </c>
      <c r="H92" s="1" t="str">
        <f t="shared" si="16"/>
        <v>增产</v>
      </c>
      <c r="I92" s="1" t="s">
        <v>157</v>
      </c>
      <c r="J92" s="1">
        <f t="shared" si="17"/>
        <v>90.162234636871503</v>
      </c>
      <c r="Q92" s="1">
        <f t="shared" si="18"/>
        <v>2.1182482972964935E-4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74060247955.307266</v>
      </c>
      <c r="D93" s="1">
        <f>((2*G59+2*G65)+(6/B2)*(E6+2.5*B3*B9)+4*B16)/1.25</f>
        <v>62161986073.743019</v>
      </c>
      <c r="E93" s="1">
        <f>(2*(2*G59+2*G65)+(6/B2)*(E6+2.5*B3*B9)+8*B16)/2</f>
        <v>75002482592.178772</v>
      </c>
      <c r="F93" s="1">
        <f t="shared" si="14"/>
        <v>62161986073.743019</v>
      </c>
      <c r="G93" s="1">
        <f t="shared" si="15"/>
        <v>62161986073.743019</v>
      </c>
      <c r="H93" s="1" t="str">
        <f t="shared" si="16"/>
        <v>增产</v>
      </c>
      <c r="I93" s="1" t="s">
        <v>159</v>
      </c>
      <c r="J93" s="1">
        <f t="shared" si="17"/>
        <v>62.161986073743016</v>
      </c>
      <c r="Q93" s="1">
        <f t="shared" si="18"/>
        <v>3.0723921815083665E-4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12600000000</v>
      </c>
      <c r="D94" s="1">
        <f>((4*G41+G52+G32)+(6/B2)*(F6+2.5*B3*B9)+6*B16)/1.25</f>
        <v>13154681564.24581</v>
      </c>
      <c r="E94" s="1">
        <f>(2*(4*G41+G52+G32)+(6/B2)*(F6+2.5*B3*B9)+12*B16)/2</f>
        <v>13743351955.307262</v>
      </c>
      <c r="F94" s="1">
        <f t="shared" si="14"/>
        <v>12600000000</v>
      </c>
      <c r="G94" s="1">
        <f t="shared" si="15"/>
        <v>12600000000</v>
      </c>
      <c r="H94" s="1" t="str">
        <f t="shared" si="16"/>
        <v>不使用增产剂</v>
      </c>
      <c r="I94" s="1" t="s">
        <v>161</v>
      </c>
      <c r="J94" s="1">
        <f t="shared" si="17"/>
        <v>12.6</v>
      </c>
      <c r="Q94" s="1">
        <f t="shared" si="18"/>
        <v>1.5157619047619047E-3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69300000000</v>
      </c>
      <c r="D95" s="1">
        <f>((3*G94+3*G71+3*G59)+(8/B2)*(F6+2.5*B3*B9)+9*B16)/1.25</f>
        <v>59620022346.368713</v>
      </c>
      <c r="E95" s="1">
        <f>(2*(3*G94+3*G71+3*G59)+(8/B2)*(F6+2.5*B3*B9)+18*B16)/2</f>
        <v>70925027932.960892</v>
      </c>
      <c r="F95" s="1">
        <f t="shared" si="14"/>
        <v>59620022346.368713</v>
      </c>
      <c r="G95" s="1">
        <f t="shared" si="15"/>
        <v>59620022346.368713</v>
      </c>
      <c r="H95" s="1" t="str">
        <f t="shared" si="16"/>
        <v>增产</v>
      </c>
      <c r="I95" s="1" t="s">
        <v>163</v>
      </c>
      <c r="J95" s="1">
        <f t="shared" si="17"/>
        <v>59.620022346368714</v>
      </c>
      <c r="Q95" s="1">
        <f t="shared" si="18"/>
        <v>3.2033869241183271E-4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((B22+G59)+(20/B2)*(E6+B3*B9))</f>
        <v>16920000000</v>
      </c>
      <c r="D96" s="1">
        <f>((B22+G59)+(20/B2)*(E6+2.5*B3*B9)+2*B16)/1.25</f>
        <v>22336893854.748604</v>
      </c>
      <c r="E96" s="1">
        <f>(2*(B22+G59)+(20/B2)*(E6+2.5*B3*B9)+4*B16)/2</f>
        <v>18921117318.435753</v>
      </c>
      <c r="F96" s="1">
        <f t="shared" si="14"/>
        <v>16920000000</v>
      </c>
      <c r="G96" s="1">
        <f t="shared" si="15"/>
        <v>16920000000</v>
      </c>
      <c r="H96" s="1" t="str">
        <f t="shared" si="16"/>
        <v>不使用增产剂</v>
      </c>
      <c r="I96" s="1" t="s">
        <v>165</v>
      </c>
      <c r="J96" s="1">
        <f t="shared" si="17"/>
        <v>16.920000000000002</v>
      </c>
      <c r="Q96" s="1">
        <f t="shared" si="18"/>
        <v>1.1287588652482269E-3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9516266901.4525146</v>
      </c>
      <c r="D97" s="1">
        <f>(G114+(10/B2)*(D6+2.5*B3*B9)+B16)/10</f>
        <v>8163069387.0837994</v>
      </c>
      <c r="E97" s="1">
        <f>(2*G114+(10/B2)*(D6+2.5*B3*B9)+2*B16)/16</f>
        <v>9641336733.8547497</v>
      </c>
      <c r="F97" s="1">
        <f t="shared" si="14"/>
        <v>8163069387.0837994</v>
      </c>
      <c r="G97" s="1">
        <f t="shared" si="15"/>
        <v>8163069387.0837994</v>
      </c>
      <c r="H97" s="1" t="str">
        <f t="shared" si="16"/>
        <v>增产</v>
      </c>
      <c r="I97" s="1" t="s">
        <v>167</v>
      </c>
      <c r="J97" s="1">
        <f t="shared" si="17"/>
        <v>8.1630693870837998</v>
      </c>
      <c r="Q97" s="1">
        <f t="shared" si="18"/>
        <v>2.3396346514240329E-3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297226300639.10614</v>
      </c>
      <c r="D98" s="1">
        <f>((2*G95+4*G103+2*G93)+(6/B2)*(F6+2.5*B3*B9)+8*B16)/1.25</f>
        <v>241016615930.27936</v>
      </c>
      <c r="E98" s="1">
        <f>(2*(2*G95+4*G103+2*G93)+(6/B2)*(F6+2.5*B3*B9)+16*B16)/2</f>
        <v>298570769912.84918</v>
      </c>
      <c r="F98" s="1">
        <f t="shared" si="14"/>
        <v>241016615930.27936</v>
      </c>
      <c r="G98" s="1">
        <f t="shared" si="15"/>
        <v>241016615930.27936</v>
      </c>
      <c r="H98" s="1" t="str">
        <f t="shared" si="16"/>
        <v>增产</v>
      </c>
      <c r="I98" s="1" t="s">
        <v>169</v>
      </c>
      <c r="J98" s="1">
        <f t="shared" si="17"/>
        <v>241.01661593027936</v>
      </c>
      <c r="Q98" s="1">
        <f t="shared" si="18"/>
        <v>7.9241839515018303E-5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180000000</v>
      </c>
      <c r="D99" s="1">
        <f>((0.5/B2)*(D6+2.5*B3*B9)+B16)/1.25</f>
        <v>440446927.37430173</v>
      </c>
      <c r="E99" s="1">
        <f>((0.5/B2)*(D6+2.5*B3*B9)+2*B16)/2</f>
        <v>325558659.21787709</v>
      </c>
      <c r="F99" s="1">
        <f t="shared" si="14"/>
        <v>180000000</v>
      </c>
      <c r="G99" s="1">
        <f t="shared" si="15"/>
        <v>180000000</v>
      </c>
      <c r="H99" s="1" t="str">
        <f t="shared" si="16"/>
        <v>不使用增产剂</v>
      </c>
      <c r="I99" s="1" t="s">
        <v>171</v>
      </c>
      <c r="J99" s="1">
        <f t="shared" si="17"/>
        <v>0.18</v>
      </c>
      <c r="Q99" s="1">
        <f t="shared" si="18"/>
        <v>0.10610333333333333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((2*G99+H22)+(1/B2)*(E6+B3*B9))</f>
        <v>2160000000</v>
      </c>
      <c r="D100" s="1">
        <f>((2*G99+H22)+(1/B2)*(E6+2.5*B3*B9)+3*B16)/1.25</f>
        <v>2401340782.1229048</v>
      </c>
      <c r="E100" s="1">
        <f>(2*(2*G99+H22)+(1/B2)*(E6+2.5*B3*B9)+6*B16)/2</f>
        <v>2551675977.6536312</v>
      </c>
      <c r="F100" s="1">
        <f t="shared" si="14"/>
        <v>2160000000</v>
      </c>
      <c r="G100" s="1">
        <f t="shared" si="15"/>
        <v>2160000000</v>
      </c>
      <c r="H100" s="1" t="str">
        <f t="shared" si="16"/>
        <v>不使用增产剂</v>
      </c>
      <c r="I100" s="1" t="s">
        <v>173</v>
      </c>
      <c r="J100" s="1">
        <f t="shared" si="17"/>
        <v>2.16</v>
      </c>
      <c r="Q100" s="1">
        <f t="shared" si="18"/>
        <v>8.8419444444444439E-3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((2*G100+G22)+(2/B2)*(E6+B3*B9))</f>
        <v>7920000000</v>
      </c>
      <c r="D101" s="1">
        <f>((2*G100+G22)+(2/B2)*(E6+2.5*B3*B9)+3*B16)/1.25</f>
        <v>7441340782.1229048</v>
      </c>
      <c r="E101" s="1">
        <f>(2*(2*G100+G22)+(2/B2)*(E6+2.5*B3*B9)+6*B16)/2</f>
        <v>8401675977.6536312</v>
      </c>
      <c r="F101" s="1">
        <f t="shared" si="14"/>
        <v>7441340782.1229048</v>
      </c>
      <c r="G101" s="1">
        <f t="shared" si="15"/>
        <v>7441340782.1229048</v>
      </c>
      <c r="H101" s="1" t="str">
        <f t="shared" si="16"/>
        <v>增产</v>
      </c>
      <c r="I101" s="1" t="s">
        <v>40</v>
      </c>
      <c r="J101" s="1">
        <f t="shared" si="17"/>
        <v>7.4413407821229045</v>
      </c>
      <c r="Q101" s="1">
        <f t="shared" si="18"/>
        <v>2.5665536036036038E-3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1440000000</v>
      </c>
      <c r="D102" s="1">
        <f>(G33+(6/B2)*(E6+2.5*B3*B9)+11*B16)/2.5</f>
        <v>2890458100.5586596</v>
      </c>
      <c r="E102" s="1">
        <f>(2*G33+(6/B2)*(E6+2.5*B3*B9)+22*B16)/4</f>
        <v>2263072625.6983242</v>
      </c>
      <c r="F102" s="1">
        <f t="shared" si="14"/>
        <v>1440000000</v>
      </c>
      <c r="G102" s="1">
        <f t="shared" si="15"/>
        <v>1440000000</v>
      </c>
      <c r="H102" s="1" t="str">
        <f t="shared" si="16"/>
        <v>不使用增产剂</v>
      </c>
      <c r="I102" s="1" t="s">
        <v>176</v>
      </c>
      <c r="J102" s="1">
        <f t="shared" si="17"/>
        <v>1.44</v>
      </c>
      <c r="Q102" s="1">
        <f t="shared" si="18"/>
        <v>1.3262916666666666E-2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((G52+20*C22+G91)+(12/B2)*(F6+B3*B9))/2</f>
        <v>12875570949.720669</v>
      </c>
      <c r="D103" s="1">
        <f>((G52+20*C22+G91)+(12/B2)*(F6+2.5*B3*B9)+22*B16)/2.5</f>
        <v>13777372960.893854</v>
      </c>
      <c r="E103" s="1">
        <f>(2*(G52+20*C22+G91)+(12/B2)*(F6+2.5*B3*B9)+44*B16)/4</f>
        <v>14521716201.117317</v>
      </c>
      <c r="F103" s="1">
        <f t="shared" si="14"/>
        <v>12875570949.720669</v>
      </c>
      <c r="G103" s="1">
        <f t="shared" si="15"/>
        <v>12875570949.720669</v>
      </c>
      <c r="H103" s="1" t="str">
        <f t="shared" si="16"/>
        <v>不使用增产剂</v>
      </c>
      <c r="I103" s="1" t="s">
        <v>178</v>
      </c>
      <c r="J103" s="1">
        <f t="shared" si="17"/>
        <v>12.875570949720668</v>
      </c>
      <c r="Q103" s="1">
        <f t="shared" si="18"/>
        <v>1.4833206290098024E-3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86760000000</v>
      </c>
      <c r="D104" s="1" t="s">
        <v>96</v>
      </c>
      <c r="E104" s="1">
        <f>(2*(12*G72+G96+G52)+(24/B2)*(G6+2.5*B3*B9)+52*B16)/4</f>
        <v>89147262569.832397</v>
      </c>
      <c r="F104" s="1">
        <f t="shared" si="14"/>
        <v>86760000000</v>
      </c>
      <c r="G104" s="1">
        <f t="shared" si="15"/>
        <v>86760000000</v>
      </c>
      <c r="H104" s="1" t="str">
        <f t="shared" si="16"/>
        <v>不使用增产剂</v>
      </c>
      <c r="I104" s="1" t="s">
        <v>180</v>
      </c>
      <c r="J104" s="1">
        <f t="shared" si="17"/>
        <v>86.76</v>
      </c>
      <c r="Q104" s="1">
        <f t="shared" si="18"/>
        <v>2.2013139695712311E-4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6840000000</v>
      </c>
      <c r="D105" s="1">
        <f>((2*G51+3*G31)+(4/B2)*(E6+2.5*B3*B9)+5*B16)/1.25</f>
        <v>7602234636.8715086</v>
      </c>
      <c r="E105" s="1">
        <f>(2*(2*G51+3*G31)+(4/B2)*(E6+2.5*B3*B9)+10*B16)/2</f>
        <v>7702793296.089386</v>
      </c>
      <c r="F105" s="1">
        <f t="shared" si="14"/>
        <v>6840000000</v>
      </c>
      <c r="G105" s="1">
        <f t="shared" si="15"/>
        <v>6840000000</v>
      </c>
      <c r="H105" s="1" t="str">
        <f t="shared" si="16"/>
        <v>不使用增产剂</v>
      </c>
      <c r="I105" s="1" t="s">
        <v>182</v>
      </c>
      <c r="J105" s="1">
        <f t="shared" si="17"/>
        <v>6.84</v>
      </c>
      <c r="Q105" s="1">
        <f t="shared" si="18"/>
        <v>2.7921929824561405E-3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62448938547.486031</v>
      </c>
      <c r="D106" s="1">
        <f>((5*G52+5*G61)+(6/B2)*(E6+2.5*B3*B9)+10*B16)/1.25</f>
        <v>53355620111.731842</v>
      </c>
      <c r="E106" s="1">
        <f>(2*(5*G52+5*G61)+(6/B2)*(E6+2.5*B3*B9)+20*B16)/2</f>
        <v>63994525139.664803</v>
      </c>
      <c r="F106" s="1">
        <f t="shared" si="14"/>
        <v>53355620111.731842</v>
      </c>
      <c r="G106" s="1">
        <f t="shared" si="15"/>
        <v>53355620111.731842</v>
      </c>
      <c r="H106" s="1" t="str">
        <f t="shared" si="16"/>
        <v>增产</v>
      </c>
      <c r="I106" s="1" t="s">
        <v>184</v>
      </c>
      <c r="J106" s="1">
        <f t="shared" si="17"/>
        <v>53.355620111731845</v>
      </c>
      <c r="Q106" s="1">
        <f t="shared" si="18"/>
        <v>3.5794917124017453E-4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3060000000</v>
      </c>
      <c r="D110" s="1">
        <f>((G50+G57)+(3/G2)*(P6+2.5*G3*B9)+2*B16)/1.25</f>
        <v>4336893854.7486029</v>
      </c>
      <c r="E110" s="1">
        <f>(2*(G50+G57)+(3/G2)*(P6+2.5*G3*B9)+4*B16)/2</f>
        <v>3621117318.4357543</v>
      </c>
      <c r="F110" s="1">
        <f t="shared" ref="F110:F115" si="19">MIN(C110:E110)</f>
        <v>3060000000</v>
      </c>
      <c r="G110" s="1">
        <f t="shared" ref="G110:G115" si="20">F110</f>
        <v>3060000000</v>
      </c>
      <c r="H110" s="1" t="str">
        <f t="shared" ref="H110:H115" si="21">IF(C110=G110,"不使用增产剂","")&amp;IF(D110=G110,"增产","")&amp;IF(E110=G110,"加速","")</f>
        <v>不使用增产剂</v>
      </c>
      <c r="I110" s="1" t="s">
        <v>187</v>
      </c>
      <c r="J110" s="1">
        <f t="shared" ref="J110:J115" si="22">G110/1000000000</f>
        <v>3.06</v>
      </c>
      <c r="Q110" s="1">
        <f t="shared" ref="Q110:Q115" si="23">60*318310/G110</f>
        <v>6.2413725490196078E-3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4320000000</v>
      </c>
      <c r="D111" s="1">
        <f>((2*G35)+(6/G2)*(P6+2.5*G3*B9)+4*B16)/1.25</f>
        <v>7233787709.4972057</v>
      </c>
      <c r="E111" s="1">
        <f>(2*(2*G35)+(6/G2)*(P6+2.5*G3*B9)+8*B16)/2</f>
        <v>5442234636.8715086</v>
      </c>
      <c r="F111" s="1">
        <f t="shared" si="19"/>
        <v>4320000000</v>
      </c>
      <c r="G111" s="1">
        <f t="shared" si="20"/>
        <v>4320000000</v>
      </c>
      <c r="H111" s="1" t="str">
        <f t="shared" si="21"/>
        <v>不使用增产剂</v>
      </c>
      <c r="I111" s="1" t="s">
        <v>189</v>
      </c>
      <c r="J111" s="1">
        <f t="shared" si="22"/>
        <v>4.32</v>
      </c>
      <c r="Q111" s="1">
        <f t="shared" si="23"/>
        <v>4.420972222222222E-3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((H22+G62)+(8/G2)*(P6+G3*B9))</f>
        <v>23062417877.094975</v>
      </c>
      <c r="D112" s="1">
        <f>((H22+G62)+(8/G2)*(P6+2.5*G3*B9)+2*B16)/1.25</f>
        <v>23218828156.424583</v>
      </c>
      <c r="E112" s="1">
        <f>(2*(H22+G62)+(8/G2)*(P6+2.5*G3*B9)+4*B16)/2</f>
        <v>24223535195.530727</v>
      </c>
      <c r="F112" s="1">
        <f t="shared" si="19"/>
        <v>23062417877.094975</v>
      </c>
      <c r="G112" s="1">
        <f t="shared" si="20"/>
        <v>23062417877.094975</v>
      </c>
      <c r="H112" s="1" t="str">
        <f t="shared" si="21"/>
        <v>不使用增产剂</v>
      </c>
      <c r="I112" s="1" t="s">
        <v>191</v>
      </c>
      <c r="J112" s="1">
        <f t="shared" si="22"/>
        <v>23.062417877094976</v>
      </c>
      <c r="Q112" s="1">
        <f t="shared" si="23"/>
        <v>8.2812652609890738E-4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35280000000</v>
      </c>
      <c r="D113" s="1">
        <f>((2*G59+G74)+(10/G2)*(P6+2.5*G3*B9)+3*B16)/1.25</f>
        <v>34225340782.122906</v>
      </c>
      <c r="E113" s="1">
        <f>(2*(2*G59+G74)+(10/G2)*(P6+2.5*G3*B9)+6*B16)/2</f>
        <v>36781675977.653633</v>
      </c>
      <c r="F113" s="1">
        <f t="shared" si="19"/>
        <v>34225340782.122906</v>
      </c>
      <c r="G113" s="1">
        <f t="shared" si="20"/>
        <v>34225340782.122906</v>
      </c>
      <c r="H113" s="1" t="str">
        <f t="shared" si="21"/>
        <v>增产</v>
      </c>
      <c r="I113" s="1" t="s">
        <v>193</v>
      </c>
      <c r="J113" s="1">
        <f t="shared" si="22"/>
        <v>34.225340782122906</v>
      </c>
      <c r="Q113" s="1">
        <f t="shared" si="23"/>
        <v>5.5802512300990345E-4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81922110355.307266</v>
      </c>
      <c r="D114" s="1">
        <f>((G93+G92)+(24/G2)*(P6+2.5*G3*B9)+2*B16)/2.5</f>
        <v>72530135211.620117</v>
      </c>
      <c r="E114" s="1">
        <f>(2*(G93+G92)+(24/G2)*(P6+2.5*G3*B9)+4*B16)/4</f>
        <v>83462669014.525146</v>
      </c>
      <c r="F114" s="1">
        <f t="shared" si="19"/>
        <v>72530135211.620117</v>
      </c>
      <c r="G114" s="1">
        <f t="shared" si="20"/>
        <v>72530135211.620117</v>
      </c>
      <c r="H114" s="1" t="str">
        <f t="shared" si="21"/>
        <v>增产</v>
      </c>
      <c r="I114" s="1" t="s">
        <v>195</v>
      </c>
      <c r="J114" s="1">
        <f t="shared" si="22"/>
        <v>72.53013521162012</v>
      </c>
      <c r="Q114" s="1">
        <f t="shared" si="23"/>
        <v>2.6331951463038494E-4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156397893870.83801</v>
      </c>
      <c r="D115" s="1">
        <f>((G110+G111+G112+G113+G114+G72)+(15/G2)*(Q6+2.5*G3*B9)+6*B16)/1.25</f>
        <v>134240996660.91621</v>
      </c>
      <c r="E115" s="1">
        <f>(2*(G110+G111+G112+G113+G114+G72)+(15/G2)*(Q6+2.5*G3*B9)+12*B16)/2</f>
        <v>158801245826.14526</v>
      </c>
      <c r="F115" s="1">
        <f t="shared" si="19"/>
        <v>134240996660.91621</v>
      </c>
      <c r="G115" s="1">
        <f t="shared" si="20"/>
        <v>134240996660.91621</v>
      </c>
      <c r="H115" s="1" t="str">
        <f t="shared" si="21"/>
        <v>增产</v>
      </c>
      <c r="I115" s="1" t="s">
        <v>197</v>
      </c>
      <c r="J115" s="1">
        <f t="shared" si="22"/>
        <v>134.24099666091621</v>
      </c>
      <c r="Q115" s="1">
        <f t="shared" si="23"/>
        <v>1.4227099377280242E-4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71" priority="34" operator="equal">
      <formula>"不使用增产剂"</formula>
    </cfRule>
    <cfRule type="cellIs" dxfId="70" priority="35" operator="equal">
      <formula>"加速"</formula>
    </cfRule>
    <cfRule type="cellIs" dxfId="69" priority="36" operator="equal">
      <formula>"增产"</formula>
    </cfRule>
  </conditionalFormatting>
  <conditionalFormatting sqref="A49:F49">
    <cfRule type="cellIs" dxfId="68" priority="31" operator="equal">
      <formula>"不使用增产剂"</formula>
    </cfRule>
    <cfRule type="cellIs" dxfId="67" priority="32" operator="equal">
      <formula>"加速"</formula>
    </cfRule>
    <cfRule type="cellIs" dxfId="66" priority="33" operator="equal">
      <formula>"增产"</formula>
    </cfRule>
  </conditionalFormatting>
  <conditionalFormatting sqref="A90:F90">
    <cfRule type="cellIs" dxfId="65" priority="28" operator="equal">
      <formula>"不使用增产剂"</formula>
    </cfRule>
    <cfRule type="cellIs" dxfId="64" priority="29" operator="equal">
      <formula>"加速"</formula>
    </cfRule>
    <cfRule type="cellIs" dxfId="63" priority="30" operator="equal">
      <formula>"增产"</formula>
    </cfRule>
  </conditionalFormatting>
  <conditionalFormatting sqref="A109:F109">
    <cfRule type="cellIs" dxfId="62" priority="25" operator="equal">
      <formula>"不使用增产剂"</formula>
    </cfRule>
    <cfRule type="cellIs" dxfId="61" priority="26" operator="equal">
      <formula>"加速"</formula>
    </cfRule>
    <cfRule type="cellIs" dxfId="60" priority="27" operator="equal">
      <formula>"增产"</formula>
    </cfRule>
  </conditionalFormatting>
  <conditionalFormatting sqref="I30:I45">
    <cfRule type="cellIs" dxfId="59" priority="22" operator="equal">
      <formula>"不使用增产剂"</formula>
    </cfRule>
    <cfRule type="cellIs" dxfId="58" priority="23" operator="equal">
      <formula>"加速"</formula>
    </cfRule>
    <cfRule type="cellIs" dxfId="57" priority="24" operator="equal">
      <formula>"增产"</formula>
    </cfRule>
  </conditionalFormatting>
  <conditionalFormatting sqref="I50:I74">
    <cfRule type="cellIs" dxfId="56" priority="19" operator="equal">
      <formula>"不使用增产剂"</formula>
    </cfRule>
    <cfRule type="cellIs" dxfId="55" priority="20" operator="equal">
      <formula>"加速"</formula>
    </cfRule>
    <cfRule type="cellIs" dxfId="54" priority="21" operator="equal">
      <formula>"增产"</formula>
    </cfRule>
  </conditionalFormatting>
  <conditionalFormatting sqref="I91:I106">
    <cfRule type="cellIs" dxfId="53" priority="16" operator="equal">
      <formula>"不使用增产剂"</formula>
    </cfRule>
    <cfRule type="cellIs" dxfId="52" priority="17" operator="equal">
      <formula>"加速"</formula>
    </cfRule>
    <cfRule type="cellIs" dxfId="51" priority="18" operator="equal">
      <formula>"增产"</formula>
    </cfRule>
  </conditionalFormatting>
  <conditionalFormatting sqref="I110:I115">
    <cfRule type="cellIs" dxfId="50" priority="13" operator="equal">
      <formula>"不使用增产剂"</formula>
    </cfRule>
    <cfRule type="cellIs" dxfId="49" priority="14" operator="equal">
      <formula>"加速"</formula>
    </cfRule>
    <cfRule type="cellIs" dxfId="48" priority="15" operator="equal">
      <formula>"增产"</formula>
    </cfRule>
  </conditionalFormatting>
  <conditionalFormatting sqref="A75">
    <cfRule type="cellIs" dxfId="47" priority="10" operator="equal">
      <formula>"不使用增产剂"</formula>
    </cfRule>
    <cfRule type="cellIs" dxfId="46" priority="11" operator="equal">
      <formula>"加速"</formula>
    </cfRule>
    <cfRule type="cellIs" dxfId="45" priority="12" operator="equal">
      <formula>"增产"</formula>
    </cfRule>
  </conditionalFormatting>
  <conditionalFormatting sqref="I75">
    <cfRule type="cellIs" dxfId="44" priority="7" operator="equal">
      <formula>"不使用增产剂"</formula>
    </cfRule>
    <cfRule type="cellIs" dxfId="43" priority="8" operator="equal">
      <formula>"加速"</formula>
    </cfRule>
    <cfRule type="cellIs" dxfId="42" priority="9" operator="equal">
      <formula>"增产"</formula>
    </cfRule>
  </conditionalFormatting>
  <conditionalFormatting sqref="A77">
    <cfRule type="cellIs" dxfId="41" priority="4" operator="equal">
      <formula>"不使用增产剂"</formula>
    </cfRule>
    <cfRule type="cellIs" dxfId="40" priority="5" operator="equal">
      <formula>"加速"</formula>
    </cfRule>
    <cfRule type="cellIs" dxfId="39" priority="6" operator="equal">
      <formula>"增产"</formula>
    </cfRule>
  </conditionalFormatting>
  <conditionalFormatting sqref="I77">
    <cfRule type="cellIs" dxfId="38" priority="1" operator="equal">
      <formula>"不使用增产剂"</formula>
    </cfRule>
    <cfRule type="cellIs" dxfId="37" priority="2" operator="equal">
      <formula>"加速"</formula>
    </cfRule>
    <cfRule type="cellIs" dxfId="36" priority="3" operator="equal">
      <formula>"增产"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D461-360C-45B9-A8D0-1FC7D82742C3}">
  <dimension ref="A1:U115"/>
  <sheetViews>
    <sheetView workbookViewId="0">
      <selection activeCell="G16" sqref="G1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22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0.75</v>
      </c>
      <c r="C2" s="1">
        <v>1</v>
      </c>
      <c r="D2" s="1">
        <v>1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0.27</v>
      </c>
      <c r="C3" s="1">
        <v>0.36</v>
      </c>
      <c r="D3" s="1">
        <v>0.72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239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1000000000</v>
      </c>
      <c r="C9" s="1">
        <f>(F104+F101/74+50*R6)/7200</f>
        <v>12014412.746079413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12001111.111111112</v>
      </c>
      <c r="D10" s="1">
        <f>100*R6/7200</f>
        <v>0</v>
      </c>
    </row>
    <row r="14" spans="1:21" x14ac:dyDescent="0.2">
      <c r="A14" s="1" t="s">
        <v>248</v>
      </c>
      <c r="B14" s="1">
        <v>15000000</v>
      </c>
      <c r="C14" s="1">
        <v>1.125</v>
      </c>
      <c r="D14" s="1">
        <v>1.25</v>
      </c>
      <c r="E14" s="1">
        <v>1.3</v>
      </c>
    </row>
    <row r="15" spans="1:21" x14ac:dyDescent="0.2">
      <c r="A15" s="1" t="s">
        <v>37</v>
      </c>
      <c r="B15" s="1" t="s">
        <v>249</v>
      </c>
      <c r="C15" s="1" t="s">
        <v>251</v>
      </c>
      <c r="D15" s="1" t="s">
        <v>252</v>
      </c>
      <c r="E15" s="1" t="s">
        <v>250</v>
      </c>
      <c r="F15" s="1" t="s">
        <v>39</v>
      </c>
      <c r="G15" s="1" t="s">
        <v>242</v>
      </c>
      <c r="H15" s="1" t="s">
        <v>243</v>
      </c>
      <c r="I15" s="1" t="s">
        <v>244</v>
      </c>
      <c r="J15" s="1" t="s">
        <v>245</v>
      </c>
      <c r="K15" s="1" t="s">
        <v>246</v>
      </c>
    </row>
    <row r="16" spans="1:21" ht="14.25" customHeight="1" x14ac:dyDescent="0.2">
      <c r="A16" s="1" t="s">
        <v>40</v>
      </c>
      <c r="B16" s="1">
        <v>100558659.2178771</v>
      </c>
      <c r="C16" s="1">
        <v>1.25</v>
      </c>
      <c r="D16" s="1">
        <v>2</v>
      </c>
      <c r="E16" s="1">
        <v>2.5</v>
      </c>
      <c r="F16" s="1">
        <f>F101/74</f>
        <v>95771771.771771759</v>
      </c>
      <c r="G16" s="1">
        <v>0</v>
      </c>
      <c r="H16" s="1">
        <v>97297297.297297299</v>
      </c>
      <c r="I16" s="1">
        <v>97297297.297297299</v>
      </c>
      <c r="J16" s="1">
        <v>100452885.31775019</v>
      </c>
      <c r="K16" s="1">
        <f>(J16-I16)/(1-(H16-J16)/(G16-I16))+I16</f>
        <v>100558659.2178771</v>
      </c>
    </row>
    <row r="17" spans="1:18" ht="15" customHeight="1" x14ac:dyDescent="0.2">
      <c r="A17" s="1" t="s">
        <v>173</v>
      </c>
      <c r="B17" s="1">
        <v>80000000</v>
      </c>
      <c r="C17" s="1">
        <v>1.2</v>
      </c>
      <c r="D17" s="1">
        <v>1.5</v>
      </c>
      <c r="E17" s="1">
        <v>1.7</v>
      </c>
      <c r="F17" s="1">
        <f>G100/27</f>
        <v>76148148.148148149</v>
      </c>
    </row>
    <row r="18" spans="1:18" x14ac:dyDescent="0.2">
      <c r="A18" s="1" t="s">
        <v>171</v>
      </c>
      <c r="B18" s="1">
        <v>15000000</v>
      </c>
      <c r="C18" s="1">
        <v>1.125</v>
      </c>
      <c r="D18" s="1">
        <v>1.25</v>
      </c>
      <c r="E18" s="1">
        <v>1.3</v>
      </c>
      <c r="F18" s="1">
        <f>G99/12</f>
        <v>15000000</v>
      </c>
    </row>
    <row r="21" spans="1:18" x14ac:dyDescent="0.2">
      <c r="A21" s="1" t="s">
        <v>41</v>
      </c>
      <c r="B21" s="1" t="s">
        <v>42</v>
      </c>
      <c r="C21" s="1" t="s">
        <v>43</v>
      </c>
      <c r="D21" s="1" t="s">
        <v>44</v>
      </c>
      <c r="E21" s="1" t="s">
        <v>45</v>
      </c>
      <c r="F21" s="1" t="s">
        <v>46</v>
      </c>
      <c r="G21" s="1" t="s">
        <v>47</v>
      </c>
      <c r="H21" s="1" t="s">
        <v>233</v>
      </c>
      <c r="I21" s="1" t="s">
        <v>231</v>
      </c>
      <c r="J21" s="1" t="s">
        <v>232</v>
      </c>
    </row>
    <row r="22" spans="1:18" x14ac:dyDescent="0.2">
      <c r="A22" s="1" t="s">
        <v>48</v>
      </c>
      <c r="B22" s="1" t="s">
        <v>49</v>
      </c>
      <c r="C22" s="1">
        <v>0</v>
      </c>
      <c r="D22" s="1" t="s">
        <v>49</v>
      </c>
      <c r="E22" s="1" t="s">
        <v>49</v>
      </c>
      <c r="F22" s="1">
        <v>0</v>
      </c>
      <c r="G22" s="1" t="s">
        <v>49</v>
      </c>
      <c r="H22" s="1" t="s">
        <v>49</v>
      </c>
      <c r="I22" s="1" t="s">
        <v>49</v>
      </c>
      <c r="J22" s="1">
        <v>0</v>
      </c>
    </row>
    <row r="23" spans="1:18" x14ac:dyDescent="0.2">
      <c r="A23" s="1" t="s">
        <v>51</v>
      </c>
      <c r="B23" s="1">
        <f>G67</f>
        <v>17263253772.290813</v>
      </c>
      <c r="C23" s="1">
        <f>G43</f>
        <v>4278245240.429491</v>
      </c>
      <c r="D23" s="1">
        <f>G64</f>
        <v>20613069958.847733</v>
      </c>
      <c r="E23" s="1">
        <f>G69</f>
        <v>4399111111.1111107</v>
      </c>
      <c r="F23" s="1">
        <f>10*S6</f>
        <v>0</v>
      </c>
      <c r="G23" s="1">
        <f>G75</f>
        <v>2880000000</v>
      </c>
      <c r="H23" s="1">
        <f>G76</f>
        <v>1440000000</v>
      </c>
      <c r="I23" s="1">
        <f>G77</f>
        <v>1440000000</v>
      </c>
      <c r="J23" s="1">
        <f>G78</f>
        <v>17966666666.666664</v>
      </c>
    </row>
    <row r="24" spans="1:18" x14ac:dyDescent="0.2">
      <c r="A24" s="1" t="s">
        <v>52</v>
      </c>
      <c r="B24" s="1">
        <f>G66</f>
        <v>2160000000</v>
      </c>
      <c r="C24" s="1">
        <f>G44</f>
        <v>6000000000</v>
      </c>
      <c r="D24" s="1">
        <f>G63</f>
        <v>2880000000</v>
      </c>
      <c r="E24" s="1">
        <f>G70</f>
        <v>1788000000</v>
      </c>
      <c r="F24" s="1">
        <f>G45</f>
        <v>406295833.33333331</v>
      </c>
      <c r="G24" s="1">
        <f>G41</f>
        <v>1440000000</v>
      </c>
      <c r="H24" s="1">
        <f>G38</f>
        <v>270000000</v>
      </c>
      <c r="I24" s="1">
        <f>G37</f>
        <v>270000000</v>
      </c>
      <c r="J24" s="1" t="s">
        <v>234</v>
      </c>
    </row>
    <row r="25" spans="1:18" x14ac:dyDescent="0.2">
      <c r="A25" s="1" t="s">
        <v>53</v>
      </c>
      <c r="B25" s="1">
        <f>B24</f>
        <v>2160000000</v>
      </c>
      <c r="C25" s="1">
        <f>C22</f>
        <v>0</v>
      </c>
      <c r="D25" s="1">
        <f>D23</f>
        <v>20613069958.847733</v>
      </c>
      <c r="E25" s="1">
        <f>E24</f>
        <v>1788000000</v>
      </c>
      <c r="F25" s="1">
        <f>F23</f>
        <v>0</v>
      </c>
      <c r="G25" s="1">
        <f>G23</f>
        <v>2880000000</v>
      </c>
      <c r="H25" s="1">
        <f>H23</f>
        <v>1440000000</v>
      </c>
      <c r="I25" s="1">
        <f>I23</f>
        <v>1440000000</v>
      </c>
      <c r="J25" s="1">
        <f>J23</f>
        <v>17966666666.666664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360000000</v>
      </c>
      <c r="D30" s="1">
        <f>((B6+C3*B9*E14)/C2+B14)/C14</f>
        <v>429333333.33333331</v>
      </c>
      <c r="E30" s="1">
        <f>((B6+C3*B9*E14)/C2+2*B14)/D14</f>
        <v>398400000</v>
      </c>
      <c r="F30" s="1">
        <f>MIN(C30:E30)</f>
        <v>360000000</v>
      </c>
      <c r="G30" s="1">
        <f>F30</f>
        <v>360000000</v>
      </c>
      <c r="H30" s="1" t="str">
        <f t="shared" ref="H30:H37" si="0">IF(C30=G30,"不使用增产剂","")&amp;IF(D30=G30,"增产","")&amp;IF(E30=G30,"加速","")</f>
        <v>不使用增产剂</v>
      </c>
      <c r="I30" s="1" t="s">
        <v>66</v>
      </c>
      <c r="J30" s="1">
        <f t="shared" ref="J30:J45" si="1">G30/1000000000</f>
        <v>0.36</v>
      </c>
      <c r="Q30" s="1">
        <f t="shared" ref="Q30:Q45" si="2">60*318310/G30</f>
        <v>5.3051666666666664E-2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360000000</v>
      </c>
      <c r="D31" s="1">
        <f>((B6+C3*B9*E14)/C2+B14)/C14</f>
        <v>429333333.33333331</v>
      </c>
      <c r="E31" s="1">
        <f>((B6+C3*B9*2.5)/C2+2*B14)/2</f>
        <v>465000000</v>
      </c>
      <c r="F31" s="1">
        <f t="shared" ref="F31:F44" si="3">MIN(C31:E31)</f>
        <v>360000000</v>
      </c>
      <c r="G31" s="1">
        <f t="shared" ref="G31:G44" si="4">F31</f>
        <v>360000000</v>
      </c>
      <c r="H31" s="1" t="str">
        <f t="shared" si="0"/>
        <v>不使用增产剂</v>
      </c>
      <c r="I31" s="1" t="s">
        <v>69</v>
      </c>
      <c r="J31" s="1">
        <f t="shared" si="1"/>
        <v>0.36</v>
      </c>
      <c r="Q31" s="1">
        <f t="shared" si="2"/>
        <v>5.3051666666666664E-2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720000000</v>
      </c>
      <c r="D32" s="1">
        <f>(2*(B6+C3*B9*E14)/C2+2*B14)/C14</f>
        <v>858666666.66666663</v>
      </c>
      <c r="E32" s="1">
        <f>(2*(B6+C3*B9*2.5)/C2+4*B14)/2</f>
        <v>930000000</v>
      </c>
      <c r="F32" s="1">
        <f t="shared" si="3"/>
        <v>720000000</v>
      </c>
      <c r="G32" s="1">
        <f t="shared" si="4"/>
        <v>720000000</v>
      </c>
      <c r="H32" s="1" t="str">
        <f>IF(C32=G32,"不使用增产剂","")&amp;IF(D32=G32,"增产","")&amp;IF(E32=G32,"加速","")</f>
        <v>不使用增产剂</v>
      </c>
      <c r="I32" s="1" t="s">
        <v>71</v>
      </c>
      <c r="J32" s="1">
        <f t="shared" si="1"/>
        <v>0.72</v>
      </c>
      <c r="Q32" s="1">
        <f t="shared" si="2"/>
        <v>2.6525833333333332E-2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720000000</v>
      </c>
      <c r="D33" s="1">
        <f>(2*(B6+C3*B9*E14)/C2+2*B14)/C14</f>
        <v>858666666.66666663</v>
      </c>
      <c r="E33" s="1">
        <f>(2*(B6+C3*B9*2.5)/C2+4*B14)/2</f>
        <v>930000000</v>
      </c>
      <c r="F33" s="1">
        <f t="shared" si="3"/>
        <v>720000000</v>
      </c>
      <c r="G33" s="1">
        <f t="shared" si="4"/>
        <v>720000000</v>
      </c>
      <c r="H33" s="1" t="str">
        <f t="shared" si="0"/>
        <v>不使用增产剂</v>
      </c>
      <c r="I33" s="1" t="s">
        <v>73</v>
      </c>
      <c r="J33" s="1">
        <f t="shared" si="1"/>
        <v>0.72</v>
      </c>
      <c r="Q33" s="1">
        <f t="shared" si="2"/>
        <v>2.6525833333333332E-2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360000000</v>
      </c>
      <c r="D34" s="1">
        <f>((B6+C3*B9*E14)/C2+B14)/C14</f>
        <v>429333333.33333331</v>
      </c>
      <c r="E34" s="1">
        <f>((B6+C3*B9*2.5)/C2+2*B14)/2</f>
        <v>465000000</v>
      </c>
      <c r="F34" s="1">
        <f t="shared" si="3"/>
        <v>360000000</v>
      </c>
      <c r="G34" s="1">
        <f t="shared" si="4"/>
        <v>360000000</v>
      </c>
      <c r="H34" s="1" t="str">
        <f t="shared" si="0"/>
        <v>不使用增产剂</v>
      </c>
      <c r="I34" s="1" t="s">
        <v>75</v>
      </c>
      <c r="J34" s="1">
        <f t="shared" si="1"/>
        <v>0.36</v>
      </c>
      <c r="Q34" s="1">
        <f t="shared" si="2"/>
        <v>5.3051666666666664E-2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720000000</v>
      </c>
      <c r="D35" s="1">
        <f>(2*(B6+C3*B9*E14)/C2+2*B14)/C14</f>
        <v>858666666.66666663</v>
      </c>
      <c r="E35" s="1">
        <f>(2*(B6+C3*B9*2.5)/C2+4*B14)/2</f>
        <v>930000000</v>
      </c>
      <c r="F35" s="1">
        <f t="shared" si="3"/>
        <v>720000000</v>
      </c>
      <c r="G35" s="1">
        <f t="shared" si="4"/>
        <v>720000000</v>
      </c>
      <c r="H35" s="1" t="str">
        <f t="shared" si="0"/>
        <v>不使用增产剂</v>
      </c>
      <c r="I35" s="1" t="s">
        <v>77</v>
      </c>
      <c r="J35" s="1">
        <f t="shared" si="1"/>
        <v>0.72</v>
      </c>
      <c r="Q35" s="1">
        <f t="shared" si="2"/>
        <v>2.6525833333333332E-2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720000000</v>
      </c>
      <c r="D36" s="1">
        <f>(2*(B6+C3*B9*E14)/C2+2*B14)/C14</f>
        <v>858666666.66666663</v>
      </c>
      <c r="E36" s="1">
        <f>(2*(B6+C3*B9*2.5)/C2+4*B14)/2</f>
        <v>930000000</v>
      </c>
      <c r="F36" s="1">
        <f t="shared" si="3"/>
        <v>720000000</v>
      </c>
      <c r="G36" s="1">
        <f t="shared" si="4"/>
        <v>720000000</v>
      </c>
      <c r="H36" s="1" t="str">
        <f t="shared" si="0"/>
        <v>不使用增产剂</v>
      </c>
      <c r="I36" s="1" t="s">
        <v>79</v>
      </c>
      <c r="J36" s="1">
        <f t="shared" si="1"/>
        <v>0.72</v>
      </c>
      <c r="Q36" s="1">
        <f t="shared" si="2"/>
        <v>2.6525833333333332E-2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270000000</v>
      </c>
      <c r="D37" s="1">
        <f>(1.5*(D6+B3*B9*E14)/B2+B14)/C14</f>
        <v>637333333.33333337</v>
      </c>
      <c r="E37" s="1">
        <f>(1.5*(D6+B3*B9*2.5)/B2+2*B14)/4</f>
        <v>345000000</v>
      </c>
      <c r="F37" s="1">
        <f t="shared" si="3"/>
        <v>270000000</v>
      </c>
      <c r="G37" s="1">
        <f t="shared" si="4"/>
        <v>270000000</v>
      </c>
      <c r="H37" s="1" t="str">
        <f t="shared" si="0"/>
        <v>不使用增产剂</v>
      </c>
      <c r="I37" s="1" t="s">
        <v>81</v>
      </c>
      <c r="J37" s="1">
        <f t="shared" si="1"/>
        <v>0.27</v>
      </c>
      <c r="Q37" s="1">
        <f t="shared" si="2"/>
        <v>7.0735555555555552E-2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270000000</v>
      </c>
      <c r="D38" s="1">
        <f>(1.5*(B6+C3*B9*E14)/C2+B14)/(2*C14)</f>
        <v>318666666.66666669</v>
      </c>
      <c r="E38" s="1">
        <f>(1.5*(B6+C3*B9*2.5)/C2+2*B14)/4</f>
        <v>345000000</v>
      </c>
      <c r="F38" s="1">
        <f t="shared" si="3"/>
        <v>270000000</v>
      </c>
      <c r="G38" s="1">
        <f t="shared" si="4"/>
        <v>270000000</v>
      </c>
      <c r="H38" s="1" t="str">
        <f>IF(C38=G38,"不使用增产剂","")&amp;IF(D38=G38,"增产","")&amp;IF(E38=G38,"加速","")</f>
        <v>不使用增产剂</v>
      </c>
      <c r="I38" s="1" t="s">
        <v>83</v>
      </c>
      <c r="J38" s="1">
        <f t="shared" si="1"/>
        <v>0.27</v>
      </c>
      <c r="Q38" s="1">
        <f t="shared" si="2"/>
        <v>7.0735555555555552E-2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720000000</v>
      </c>
      <c r="D39" s="1">
        <f>(2*(I6+D3*B9*E14)/D2+2*B14)/(2*C14)</f>
        <v>845333333.33333337</v>
      </c>
      <c r="E39" s="1">
        <f>(2*(I6+D3*B9*2.5)/D2+4*B14)/4</f>
        <v>915000000</v>
      </c>
      <c r="F39" s="1">
        <f t="shared" si="3"/>
        <v>720000000</v>
      </c>
      <c r="G39" s="1">
        <f t="shared" si="4"/>
        <v>720000000</v>
      </c>
      <c r="H39" s="1" t="str">
        <f t="shared" ref="H39:H45" si="5">IF(C39=G39,"不使用增产剂","")&amp;IF(D39=G39,"增产","")&amp;IF(E39=G39,"加速","")</f>
        <v>不使用增产剂</v>
      </c>
      <c r="I39" s="1" t="s">
        <v>85</v>
      </c>
      <c r="J39" s="1">
        <f t="shared" si="1"/>
        <v>0.72</v>
      </c>
      <c r="Q39" s="1">
        <f t="shared" si="2"/>
        <v>2.6525833333333332E-2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1920000000</v>
      </c>
      <c r="D40" s="1">
        <f>((4/E2)*(N6+B9*E3*E14)+2*B14)/(2*C14)</f>
        <v>2232000000</v>
      </c>
      <c r="E40" s="1">
        <f>((4/E2)*(N6+B9*E3*2.5)+4*B14)/4</f>
        <v>2415000000</v>
      </c>
      <c r="F40" s="1">
        <f t="shared" si="3"/>
        <v>1920000000</v>
      </c>
      <c r="G40" s="1">
        <f t="shared" si="4"/>
        <v>1920000000</v>
      </c>
      <c r="H40" s="1" t="str">
        <f t="shared" si="5"/>
        <v>不使用增产剂</v>
      </c>
      <c r="I40" s="1" t="s">
        <v>87</v>
      </c>
      <c r="J40" s="1">
        <f t="shared" si="1"/>
        <v>1.92</v>
      </c>
      <c r="Q40" s="1">
        <f t="shared" si="2"/>
        <v>9.9471874999999994E-3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1440000000</v>
      </c>
      <c r="D41" s="1">
        <f>(4*(I6+D3*B9*E14)/D2+6*B14)/(2*C14)</f>
        <v>1704000000</v>
      </c>
      <c r="E41" s="1">
        <f>(4*(I6+D3*B9*2.5)/D2+12*B14)/4</f>
        <v>1845000000</v>
      </c>
      <c r="F41" s="1">
        <f t="shared" si="3"/>
        <v>1440000000</v>
      </c>
      <c r="G41" s="1">
        <f t="shared" si="4"/>
        <v>1440000000</v>
      </c>
      <c r="H41" s="1" t="str">
        <f t="shared" si="5"/>
        <v>不使用增产剂</v>
      </c>
      <c r="I41" s="1" t="s">
        <v>89</v>
      </c>
      <c r="J41" s="1">
        <f t="shared" si="1"/>
        <v>1.44</v>
      </c>
      <c r="Q41" s="1">
        <f t="shared" si="2"/>
        <v>1.3262916666666666E-2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540000000</v>
      </c>
      <c r="D42" s="1">
        <f>(1.5*(B6+C3*B9*E14)/C2+B14)/C14</f>
        <v>637333333.33333337</v>
      </c>
      <c r="E42" s="1">
        <f>(1.5*(B6+C3*B9*2.5)/C2+2*B14)/2</f>
        <v>690000000</v>
      </c>
      <c r="F42" s="1">
        <f t="shared" si="3"/>
        <v>540000000</v>
      </c>
      <c r="G42" s="1">
        <f t="shared" si="4"/>
        <v>540000000</v>
      </c>
      <c r="H42" s="1" t="str">
        <f t="shared" si="5"/>
        <v>不使用增产剂</v>
      </c>
      <c r="I42" s="1" t="s">
        <v>91</v>
      </c>
      <c r="J42" s="1">
        <f t="shared" si="1"/>
        <v>0.54</v>
      </c>
      <c r="Q42" s="1">
        <f t="shared" si="2"/>
        <v>3.5367777777777776E-2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(T6+B9*H3+H2*B14)/H2</f>
        <v>4278245240.429491</v>
      </c>
      <c r="F43" s="1">
        <f t="shared" si="3"/>
        <v>4278245240.429491</v>
      </c>
      <c r="G43" s="1">
        <f t="shared" si="4"/>
        <v>4278245240.429491</v>
      </c>
      <c r="H43" s="1" t="str">
        <f t="shared" si="5"/>
        <v>加速</v>
      </c>
      <c r="I43" s="1" t="s">
        <v>93</v>
      </c>
      <c r="J43" s="1">
        <f t="shared" si="1"/>
        <v>4.2782452404294906</v>
      </c>
      <c r="K43" s="1" t="s">
        <v>241</v>
      </c>
      <c r="Q43" s="1">
        <f t="shared" si="2"/>
        <v>4.4641199666437779E-3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6000000000</v>
      </c>
      <c r="D44" s="1">
        <f>(2.5*(J6+F3*B9*E14)/F2+10*B14)/(5*C14)</f>
        <v>6960000000</v>
      </c>
      <c r="E44" s="1">
        <f>(2.5*(J6+F3*B9*2.5)/F2+20*B14)/10</f>
        <v>7530000000</v>
      </c>
      <c r="F44" s="1">
        <f t="shared" si="3"/>
        <v>6000000000</v>
      </c>
      <c r="G44" s="1">
        <f t="shared" si="4"/>
        <v>6000000000</v>
      </c>
      <c r="H44" s="1" t="str">
        <f>IF(C44=G44,"不使用增产剂","")&amp;IF(D44=G44,"增产","")&amp;IF(E44=G44,"加速","")</f>
        <v>不使用增产剂</v>
      </c>
      <c r="I44" s="1" t="s">
        <v>97</v>
      </c>
      <c r="J44" s="1">
        <f t="shared" si="1"/>
        <v>6</v>
      </c>
      <c r="Q44" s="1">
        <f t="shared" si="2"/>
        <v>3.1830999999999999E-3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812466666.66666663</v>
      </c>
      <c r="D45" s="1" t="s">
        <v>96</v>
      </c>
      <c r="E45" s="1">
        <f>((0.1*G92)+60*S6+0.1*B14)/24</f>
        <v>406295833.33333331</v>
      </c>
      <c r="F45" s="1">
        <f>MIN(C45:E45)</f>
        <v>406295833.33333331</v>
      </c>
      <c r="G45" s="1">
        <f>F45</f>
        <v>406295833.33333331</v>
      </c>
      <c r="H45" s="1" t="str">
        <f t="shared" si="5"/>
        <v>加速</v>
      </c>
      <c r="I45" s="1" t="s">
        <v>101</v>
      </c>
      <c r="J45" s="1">
        <f t="shared" si="1"/>
        <v>0.4062958333333333</v>
      </c>
      <c r="K45" s="1" t="s">
        <v>240</v>
      </c>
      <c r="Q45" s="1">
        <f t="shared" si="2"/>
        <v>4.7006635148855003E-2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900000000</v>
      </c>
      <c r="D50" s="1">
        <f>((2*G42+G31)+(E6+B3*B9*E14)/B2+3*B14)/(2*C14)</f>
        <v>868000000</v>
      </c>
      <c r="E50" s="1">
        <f>(2*(2*G42+G31)+(E6+2.5*B3*B9)/B2+6*B14)/4</f>
        <v>967500000</v>
      </c>
      <c r="F50" s="1">
        <f t="shared" ref="F50:F78" si="6">MIN(C50:E50)</f>
        <v>868000000</v>
      </c>
      <c r="G50" s="1">
        <f t="shared" ref="G50:G78" si="7">F50</f>
        <v>868000000</v>
      </c>
      <c r="H50" s="1" t="str">
        <f t="shared" ref="H50:H78" si="8">IF(C50=G50,"不使用增产剂","")&amp;IF(D50=G50,"增产","")&amp;IF(E50=G50,"加速","")</f>
        <v>增产</v>
      </c>
      <c r="I50" s="1" t="s">
        <v>103</v>
      </c>
      <c r="J50" s="1">
        <f t="shared" ref="J50:J78" si="9">G50/1000000000</f>
        <v>0.86799999999999999</v>
      </c>
      <c r="Q50" s="1">
        <f t="shared" ref="Q50:Q78" si="10">60*318310/G50</f>
        <v>2.2002995391705069E-2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2160000000</v>
      </c>
      <c r="D51" s="1">
        <f>((3*G30)+3*(B6+C3*B9*E14)/C2+3*B14)/C14</f>
        <v>2248000000</v>
      </c>
      <c r="E51" s="1">
        <f>(2*(3*G30)+3*(B6+C3*B9*2.5)/C2+6*B14)/2</f>
        <v>2475000000</v>
      </c>
      <c r="F51" s="1">
        <f t="shared" si="6"/>
        <v>2160000000</v>
      </c>
      <c r="G51" s="1">
        <f t="shared" si="7"/>
        <v>2160000000</v>
      </c>
      <c r="H51" s="1" t="str">
        <f t="shared" si="8"/>
        <v>不使用增产剂</v>
      </c>
      <c r="I51" s="1" t="s">
        <v>105</v>
      </c>
      <c r="J51" s="1">
        <f t="shared" si="9"/>
        <v>2.16</v>
      </c>
      <c r="Q51" s="1">
        <f t="shared" si="10"/>
        <v>8.8419444444444439E-3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3960000000</v>
      </c>
      <c r="D52" s="1">
        <f>((4*G33+4*G51)+(12/C2)*(C6+C3*B9*E14)+16*B14)/(4*C14)</f>
        <v>3861333333.3333335</v>
      </c>
      <c r="E52" s="1">
        <f>(2*(4*G33+4*G51)+(12/C2)*(C6+C3*B9*2.5)+32*B14)/8</f>
        <v>4290000000</v>
      </c>
      <c r="F52" s="1">
        <f t="shared" si="6"/>
        <v>3861333333.3333335</v>
      </c>
      <c r="G52" s="1">
        <f t="shared" si="7"/>
        <v>3861333333.3333335</v>
      </c>
      <c r="H52" s="1" t="str">
        <f t="shared" si="8"/>
        <v>增产</v>
      </c>
      <c r="I52" s="1" t="s">
        <v>107</v>
      </c>
      <c r="J52" s="1">
        <f t="shared" si="9"/>
        <v>3.8613333333333335</v>
      </c>
      <c r="Q52" s="1">
        <f t="shared" si="10"/>
        <v>4.9461153314917126E-3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2340000000</v>
      </c>
      <c r="D53" s="1">
        <f>((2*G36+2*G33)+(5/B2)*(F6+E14*B3*B9)+6*B14)/(2*C14)</f>
        <v>2360000000</v>
      </c>
      <c r="E53" s="1">
        <f>(2*(2*G36+2*G33)+(5/B2)*(F6+2.5*B3*B9)+12*B14)/4</f>
        <v>2610000000</v>
      </c>
      <c r="F53" s="1">
        <f t="shared" si="6"/>
        <v>2340000000</v>
      </c>
      <c r="G53" s="1">
        <f t="shared" si="7"/>
        <v>2340000000</v>
      </c>
      <c r="H53" s="1" t="str">
        <f t="shared" si="8"/>
        <v>不使用增产剂</v>
      </c>
      <c r="I53" s="1" t="s">
        <v>109</v>
      </c>
      <c r="J53" s="1">
        <f t="shared" si="9"/>
        <v>2.34</v>
      </c>
      <c r="Q53" s="1">
        <f t="shared" si="10"/>
        <v>8.1617948717948724E-3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1440000000</v>
      </c>
      <c r="D54" s="1">
        <f>((3*G36)+(2/B2)*(D6+B3*B9*E14)+3*B14)/(2*C14)</f>
        <v>1396000000</v>
      </c>
      <c r="E54" s="1">
        <f>((6*G36)+(2/B2)*(D6+B3*B9*2.5)+6*B14)/4</f>
        <v>1552500000</v>
      </c>
      <c r="F54" s="1">
        <f t="shared" si="6"/>
        <v>1396000000</v>
      </c>
      <c r="G54" s="1">
        <f t="shared" si="7"/>
        <v>1396000000</v>
      </c>
      <c r="H54" s="1" t="str">
        <f t="shared" si="8"/>
        <v>增产</v>
      </c>
      <c r="I54" s="1" t="s">
        <v>111</v>
      </c>
      <c r="J54" s="1">
        <f t="shared" si="9"/>
        <v>1.3959999999999999</v>
      </c>
      <c r="Q54" s="1">
        <f t="shared" si="10"/>
        <v>1.3680945558739254E-2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6984000000</v>
      </c>
      <c r="D55" s="1">
        <f>((4*G50+2*G54)+(2/B2)*(E6+E14*B3*B9)+6*B14)/C14</f>
        <v>6480000000</v>
      </c>
      <c r="E55" s="1">
        <f>(2*(4*G50+2*G54)+(2/B2)*(E6+2.5*B3*B9)+12*B14)/2</f>
        <v>7254000000</v>
      </c>
      <c r="F55" s="1">
        <f t="shared" si="6"/>
        <v>6480000000</v>
      </c>
      <c r="G55" s="1">
        <f t="shared" si="7"/>
        <v>6480000000</v>
      </c>
      <c r="H55" s="1" t="str">
        <f t="shared" si="8"/>
        <v>增产</v>
      </c>
      <c r="I55" s="1" t="s">
        <v>113</v>
      </c>
      <c r="J55" s="1">
        <f t="shared" si="9"/>
        <v>6.48</v>
      </c>
      <c r="Q55" s="1">
        <f t="shared" si="10"/>
        <v>2.9473148148148149E-3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720000000</v>
      </c>
      <c r="D56" s="1">
        <f>(G30+(1/B2)*(D6+E14*B3*B9)+B14)/C14</f>
        <v>749333333.33333337</v>
      </c>
      <c r="E56" s="1">
        <f>(2*G30+(1/B2)*(D6+2.5*B3*B9)+2*B14)/2</f>
        <v>825000000</v>
      </c>
      <c r="F56" s="1">
        <f t="shared" si="6"/>
        <v>720000000</v>
      </c>
      <c r="G56" s="1">
        <f t="shared" si="7"/>
        <v>720000000</v>
      </c>
      <c r="H56" s="1" t="str">
        <f t="shared" si="8"/>
        <v>不使用增产剂</v>
      </c>
      <c r="I56" s="1" t="s">
        <v>115</v>
      </c>
      <c r="J56" s="1">
        <f t="shared" si="9"/>
        <v>0.72</v>
      </c>
      <c r="Q56" s="1">
        <f t="shared" si="10"/>
        <v>2.6525833333333332E-2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720000000</v>
      </c>
      <c r="D57" s="1">
        <f>((2*G30+G31)+(E6+B3*B9*E14)/B2+3*B14)/(2*C14)</f>
        <v>708000000</v>
      </c>
      <c r="E57" s="1">
        <f>(2*(2*G30+G31)+(E6+B3*B9*2.5)/B2+6*B14)/4</f>
        <v>787500000</v>
      </c>
      <c r="F57" s="1">
        <f t="shared" si="6"/>
        <v>708000000</v>
      </c>
      <c r="G57" s="1">
        <f t="shared" si="7"/>
        <v>708000000</v>
      </c>
      <c r="H57" s="1" t="str">
        <f t="shared" si="8"/>
        <v>增产</v>
      </c>
      <c r="I57" s="1" t="s">
        <v>117</v>
      </c>
      <c r="J57" s="1">
        <f t="shared" si="9"/>
        <v>0.70799999999999996</v>
      </c>
      <c r="Q57" s="1">
        <f t="shared" si="10"/>
        <v>2.697542372881356E-2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2520000000</v>
      </c>
      <c r="D58" s="1">
        <f>((2*G32+G31)+2*(E6+B3*B9*E14)/B2+3*B14)/C14</f>
        <v>2472000000</v>
      </c>
      <c r="E58" s="1">
        <f>(2*(2*G32+G31)+2*(E6+B3*B9*2.5)/B2+6*B14)/2</f>
        <v>2745000000</v>
      </c>
      <c r="F58" s="1">
        <f t="shared" si="6"/>
        <v>2472000000</v>
      </c>
      <c r="G58" s="1">
        <f t="shared" si="7"/>
        <v>2472000000</v>
      </c>
      <c r="H58" s="1" t="str">
        <f t="shared" si="8"/>
        <v>增产</v>
      </c>
      <c r="I58" s="1" t="s">
        <v>119</v>
      </c>
      <c r="J58" s="1">
        <f t="shared" si="9"/>
        <v>2.472</v>
      </c>
      <c r="Q58" s="1">
        <f t="shared" si="10"/>
        <v>7.7259708737864074E-3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7440000000</v>
      </c>
      <c r="D59" s="1">
        <f>((2*G57+2*G58)+(3/B2)*(E6+B3*B9*E14)+4*B14)/C14</f>
        <v>6954666666.666667</v>
      </c>
      <c r="E59" s="1">
        <f>(2*(2*G57+2*G58)+(3/B2)*(E6+B3*B9*2.5)+8*B14)/2</f>
        <v>7770000000</v>
      </c>
      <c r="F59" s="1">
        <f t="shared" si="6"/>
        <v>6954666666.666667</v>
      </c>
      <c r="G59" s="1">
        <f t="shared" si="7"/>
        <v>6954666666.666667</v>
      </c>
      <c r="H59" s="1" t="str">
        <f t="shared" si="8"/>
        <v>增产</v>
      </c>
      <c r="I59" s="1" t="s">
        <v>121</v>
      </c>
      <c r="J59" s="1">
        <f t="shared" si="9"/>
        <v>6.9546666666666672</v>
      </c>
      <c r="Q59" s="1">
        <f t="shared" si="10"/>
        <v>2.7461560582822085E-3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3028000000</v>
      </c>
      <c r="D60" s="1">
        <f>((2*G30+G56+G50)+(2/B2)*(F6+E14*B3*B9)+4*B14)/C14</f>
        <v>2936888888.8888888</v>
      </c>
      <c r="E60" s="1">
        <f>(2*(2*G30+G56+G50)+(2/B2)*(F6+2.5*B3*B9)+8*B14)/2</f>
        <v>3268000000</v>
      </c>
      <c r="F60" s="1">
        <f t="shared" si="6"/>
        <v>2936888888.8888888</v>
      </c>
      <c r="G60" s="1">
        <f t="shared" si="7"/>
        <v>2936888888.8888888</v>
      </c>
      <c r="H60" s="1" t="str">
        <f t="shared" si="8"/>
        <v>增产</v>
      </c>
      <c r="I60" s="1" t="s">
        <v>123</v>
      </c>
      <c r="J60" s="1">
        <f t="shared" si="9"/>
        <v>2.9368888888888889</v>
      </c>
      <c r="Q60" s="1">
        <f t="shared" si="10"/>
        <v>6.5030039346246973E-3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8329777777.7777777</v>
      </c>
      <c r="D61" s="1">
        <f>((2*G60+2*G50)+(2/B2)*(E6+E14*B3*B9)+4*B14)/C14</f>
        <v>7649580246.9135809</v>
      </c>
      <c r="E61" s="1">
        <f>(2*(2*G60+2*G50)+(2/B2)*(E6+2.5*B3*B9)+8*B14)/2</f>
        <v>8569777777.7777777</v>
      </c>
      <c r="F61" s="1">
        <f t="shared" si="6"/>
        <v>7649580246.9135809</v>
      </c>
      <c r="G61" s="1">
        <f t="shared" si="7"/>
        <v>7649580246.9135809</v>
      </c>
      <c r="H61" s="1" t="str">
        <f t="shared" si="8"/>
        <v>增产</v>
      </c>
      <c r="I61" s="1" t="s">
        <v>125</v>
      </c>
      <c r="J61" s="1">
        <f t="shared" si="9"/>
        <v>7.6495802469135805</v>
      </c>
      <c r="Q61" s="1">
        <f t="shared" si="10"/>
        <v>2.4966860119816142E-3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((J25+3*G33)+(4/B2)*(E6+B3*B9))</f>
        <v>21566666666.666664</v>
      </c>
      <c r="D62" s="1">
        <f>((J25+3*G33)+(4/B2)*(E6+B3*B9*E14)+4*B14)/C14</f>
        <v>19607703703.703701</v>
      </c>
      <c r="E62" s="1">
        <f>(2*(J25+3*G33)+(4/B2)*(E6+B3*B9*2.5)+8*B14)/2</f>
        <v>21986666666.666664</v>
      </c>
      <c r="F62" s="1">
        <f t="shared" si="6"/>
        <v>19607703703.703701</v>
      </c>
      <c r="G62" s="1">
        <f t="shared" si="7"/>
        <v>19607703703.703701</v>
      </c>
      <c r="H62" s="1" t="str">
        <f t="shared" si="8"/>
        <v>增产</v>
      </c>
      <c r="I62" s="1" t="s">
        <v>235</v>
      </c>
      <c r="J62" s="1">
        <f t="shared" si="9"/>
        <v>19.607703703703702</v>
      </c>
      <c r="Q62" s="1">
        <f t="shared" si="10"/>
        <v>9.7403552647485508E-4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2880000000</v>
      </c>
      <c r="D63" s="1">
        <f>((J25+2*G39)+(4/B2)*(F6+E14*B3*B9)+22*B14)/C14</f>
        <v>19207703703.703701</v>
      </c>
      <c r="E63" s="1">
        <f>(2*(J25+2*G39)+(4/B2)*(F6+2.5*B3*B9)+44*B14)/2</f>
        <v>21536666666.666664</v>
      </c>
      <c r="F63" s="1">
        <f t="shared" si="6"/>
        <v>2880000000</v>
      </c>
      <c r="G63" s="1">
        <f t="shared" si="7"/>
        <v>2880000000</v>
      </c>
      <c r="H63" s="1" t="str">
        <f t="shared" si="8"/>
        <v>不使用增产剂</v>
      </c>
      <c r="I63" s="1" t="s">
        <v>128</v>
      </c>
      <c r="J63" s="1">
        <f t="shared" si="9"/>
        <v>2.88</v>
      </c>
      <c r="Q63" s="1">
        <f t="shared" si="10"/>
        <v>6.631458333333333E-3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22487703703.703701</v>
      </c>
      <c r="D64" s="1">
        <f>((G62+2*G39)+(4/B2)*(F6+E14*B3*B9)+18*B14)/C14</f>
        <v>20613069958.847733</v>
      </c>
      <c r="E64" s="1">
        <f>(2*(G62+2*G39)+(4/B2)*(F6+2.5*B3*B9)+36*B14)/2</f>
        <v>23117703703.703701</v>
      </c>
      <c r="F64" s="1">
        <f t="shared" si="6"/>
        <v>20613069958.847733</v>
      </c>
      <c r="G64" s="1">
        <f t="shared" si="7"/>
        <v>20613069958.847733</v>
      </c>
      <c r="H64" s="1" t="str">
        <f t="shared" si="8"/>
        <v>增产</v>
      </c>
      <c r="I64" s="1" t="s">
        <v>130</v>
      </c>
      <c r="J64" s="1">
        <f t="shared" si="9"/>
        <v>20.613069958847731</v>
      </c>
      <c r="Q64" s="1">
        <f t="shared" si="10"/>
        <v>9.2652865575718491E-4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((D25+2*G53)+(12/B2)*(E6+B3*B9))</f>
        <v>29613069958.847733</v>
      </c>
      <c r="D65" s="1">
        <f>((D25+2*G53)+(12/B2)*(E6+E14*B3*B9)+3*B14)/C14</f>
        <v>27514728852.309097</v>
      </c>
      <c r="E65" s="1">
        <f>(2*(D25+2*G53)+(12/B2)*(E6+2.5*B3*B9)+6*B14)/2</f>
        <v>30738069958.847733</v>
      </c>
      <c r="F65" s="1">
        <f t="shared" si="6"/>
        <v>27514728852.309097</v>
      </c>
      <c r="G65" s="1">
        <f t="shared" si="7"/>
        <v>27514728852.309097</v>
      </c>
      <c r="H65" s="1" t="str">
        <f t="shared" si="8"/>
        <v>增产</v>
      </c>
      <c r="I65" s="1" t="s">
        <v>132</v>
      </c>
      <c r="J65" s="1">
        <f t="shared" si="9"/>
        <v>27.514728852309098</v>
      </c>
      <c r="Q65" s="1">
        <f t="shared" si="10"/>
        <v>6.9412277702301259E-4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2160000000</v>
      </c>
      <c r="D66" s="1">
        <f>((2*G31)+(4/B2)*(E6+E14*B3*B9)+12*B14)/C14</f>
        <v>2464000000</v>
      </c>
      <c r="E66" s="1">
        <f>(2*(2*G31)+(4/B2)*(E6+2.5*B3*B9)+24*B14)/2</f>
        <v>2700000000</v>
      </c>
      <c r="F66" s="1">
        <f t="shared" si="6"/>
        <v>2160000000</v>
      </c>
      <c r="G66" s="1">
        <f t="shared" si="7"/>
        <v>2160000000</v>
      </c>
      <c r="H66" s="1" t="str">
        <f t="shared" si="8"/>
        <v>不使用增产剂</v>
      </c>
      <c r="I66" s="1" t="s">
        <v>134</v>
      </c>
      <c r="J66" s="1">
        <f t="shared" si="9"/>
        <v>2.16</v>
      </c>
      <c r="Q66" s="1">
        <f t="shared" si="10"/>
        <v>8.8419444444444439E-3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18899160493.827164</v>
      </c>
      <c r="D67" s="1">
        <f>((2*G61+2*G31+2*G39)+(4/B2)*(F6+E14*B3*B9)+6*B14)/C14</f>
        <v>17263253772.290813</v>
      </c>
      <c r="E67" s="1">
        <f>(2*(2*G61+2*G31+2*G39)+(4/B2)*(F6+2.5*B3*B9)+12*B14)/2</f>
        <v>19349160493.827164</v>
      </c>
      <c r="F67" s="1">
        <f t="shared" si="6"/>
        <v>17263253772.290813</v>
      </c>
      <c r="G67" s="1">
        <f t="shared" si="7"/>
        <v>17263253772.290813</v>
      </c>
      <c r="H67" s="1" t="str">
        <f t="shared" si="8"/>
        <v>增产</v>
      </c>
      <c r="I67" s="1" t="s">
        <v>136</v>
      </c>
      <c r="J67" s="1">
        <f t="shared" si="9"/>
        <v>17.263253772290813</v>
      </c>
      <c r="Q67" s="1">
        <f t="shared" si="10"/>
        <v>1.1063151971185811E-3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((2*B25+2*G30+10*C25)+(8/F2)*(L6+F3*B9))</f>
        <v>101040000000</v>
      </c>
      <c r="D68" s="1">
        <f>((2*B25+2*G30+10*C25)+(8/F2)*(L6+E14*F3*B9)+14*B14)/C14</f>
        <v>115600000000.00002</v>
      </c>
      <c r="E68" s="1">
        <f>(2*(2*B25+2*G30+10*C25)+(8/F2)*(L6+2.5*F3*B9)+28*B14)/2</f>
        <v>125250000000</v>
      </c>
      <c r="F68" s="1">
        <f t="shared" si="6"/>
        <v>101040000000</v>
      </c>
      <c r="G68" s="1">
        <f t="shared" si="7"/>
        <v>101040000000</v>
      </c>
      <c r="H68" s="1" t="str">
        <f t="shared" si="8"/>
        <v>不使用增产剂</v>
      </c>
      <c r="I68" s="1" t="s">
        <v>138</v>
      </c>
      <c r="J68" s="1">
        <f t="shared" si="9"/>
        <v>101.04</v>
      </c>
      <c r="Q68" s="1">
        <f t="shared" si="10"/>
        <v>1.8902019002375297E-4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4580000000</v>
      </c>
      <c r="D69" s="1">
        <f>((2*G54+G57)+(3/B2)*(E6+E14*B3*B9)+3*B14)/C14</f>
        <v>4399111111.1111107</v>
      </c>
      <c r="E69" s="1">
        <f>(2*(2*G54+G57)+(3/B2)*(E6+2.5*B3*B9)+6*B14)/2</f>
        <v>4895000000</v>
      </c>
      <c r="F69" s="1">
        <f t="shared" si="6"/>
        <v>4399111111.1111107</v>
      </c>
      <c r="G69" s="1">
        <f t="shared" si="7"/>
        <v>4399111111.1111107</v>
      </c>
      <c r="H69" s="1" t="str">
        <f t="shared" si="8"/>
        <v>增产</v>
      </c>
      <c r="I69" s="1" t="s">
        <v>140</v>
      </c>
      <c r="J69" s="1">
        <f t="shared" si="9"/>
        <v>4.399111111111111</v>
      </c>
      <c r="Q69" s="1">
        <f t="shared" si="10"/>
        <v>4.341467973327945E-3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1788000000</v>
      </c>
      <c r="D70" s="1">
        <f>((G57)+(3/B2)*(E6+E14*B3*B9)+2*B14)/C14</f>
        <v>1904000000.0000002</v>
      </c>
      <c r="E70" s="1">
        <f>(2*(G57)+(3/B2)*(E6+2.5*B3*B9)+4*B14)/2</f>
        <v>2088000000</v>
      </c>
      <c r="F70" s="1">
        <f t="shared" si="6"/>
        <v>1788000000</v>
      </c>
      <c r="G70" s="1">
        <f t="shared" si="7"/>
        <v>1788000000</v>
      </c>
      <c r="H70" s="1" t="str">
        <f t="shared" si="8"/>
        <v>不使用增产剂</v>
      </c>
      <c r="I70" s="1" t="s">
        <v>142</v>
      </c>
      <c r="J70" s="1">
        <f t="shared" si="9"/>
        <v>1.788</v>
      </c>
      <c r="Q70" s="1">
        <f t="shared" si="10"/>
        <v>1.0681543624161073E-2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((G39+E25)+(4/B2)*(E6+B3*B9))/2</f>
        <v>1974000000</v>
      </c>
      <c r="D71" s="1">
        <f>((G39+E25)+(4/B2)*(E6+E14*B3*B9)+2*B14)/C14</f>
        <v>3920000000</v>
      </c>
      <c r="E71" s="1">
        <f>(2*(G39+E25)+(4/B2)*(E6+2.5*B3*B9)+4*B14)/4</f>
        <v>2169000000</v>
      </c>
      <c r="F71" s="1">
        <f t="shared" si="6"/>
        <v>1974000000</v>
      </c>
      <c r="G71" s="1">
        <f t="shared" si="7"/>
        <v>1974000000</v>
      </c>
      <c r="H71" s="1" t="str">
        <f t="shared" si="8"/>
        <v>不使用增产剂</v>
      </c>
      <c r="I71" s="1" t="s">
        <v>144</v>
      </c>
      <c r="J71" s="1">
        <f t="shared" si="9"/>
        <v>1.974</v>
      </c>
      <c r="Q71" s="1">
        <f t="shared" si="10"/>
        <v>9.6750759878419454E-3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((2*F25)+(2/F2)*(L6+F3*B9))/2</f>
        <v>12000000000</v>
      </c>
      <c r="D72" s="1" t="s">
        <v>96</v>
      </c>
      <c r="E72" s="1">
        <f>(2*(2*F25)+(2/F2)*(L6+2.5*F3*B9)+4*B14)/4</f>
        <v>15015000000</v>
      </c>
      <c r="F72" s="1">
        <f t="shared" si="6"/>
        <v>12000000000</v>
      </c>
      <c r="G72" s="1">
        <f t="shared" si="7"/>
        <v>12000000000</v>
      </c>
      <c r="H72" s="1" t="str">
        <f t="shared" si="8"/>
        <v>不使用增产剂</v>
      </c>
      <c r="I72" s="1" t="s">
        <v>146</v>
      </c>
      <c r="J72" s="1">
        <f t="shared" si="9"/>
        <v>12</v>
      </c>
      <c r="Q72" s="1">
        <f t="shared" si="10"/>
        <v>1.59155E-3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6720000000</v>
      </c>
      <c r="D73" s="1">
        <f>((2*G40+G35)+(3/D2)*(I6+E14*D3*B9)+3*B14)/C14</f>
        <v>6589333333.333333</v>
      </c>
      <c r="E73" s="1">
        <f>(2*(2*G40+G35)+(3/D2)*(I6+2.5*D3*B9)+6*B14)/2</f>
        <v>7305000000</v>
      </c>
      <c r="F73" s="1">
        <f t="shared" si="6"/>
        <v>6589333333.333333</v>
      </c>
      <c r="G73" s="1">
        <f t="shared" si="7"/>
        <v>6589333333.333333</v>
      </c>
      <c r="H73" s="1" t="str">
        <f t="shared" si="8"/>
        <v>增产</v>
      </c>
      <c r="I73" s="1" t="s">
        <v>148</v>
      </c>
      <c r="J73" s="1">
        <f t="shared" si="9"/>
        <v>6.5893333333333333</v>
      </c>
      <c r="Q73" s="1">
        <f t="shared" si="10"/>
        <v>2.8984115742614327E-3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((2*G41+2*I25+G73)+(8/B2)*(F6+B3*B9))</f>
        <v>15229333333.333332</v>
      </c>
      <c r="D74" s="1">
        <f>((2*G41+2*I25+G73)+(8/B2)*(F6+E14*B3*B9)+5*B14)/C14</f>
        <v>14371851851.851851</v>
      </c>
      <c r="E74" s="1">
        <f>(2*(2*G41+2*I25+G73)+(8/B2)*(F6+2.5*B3*B9)+10*B14)/2</f>
        <v>16024333333.333332</v>
      </c>
      <c r="F74" s="1">
        <f t="shared" si="6"/>
        <v>14371851851.851851</v>
      </c>
      <c r="G74" s="1">
        <f t="shared" si="7"/>
        <v>14371851851.851851</v>
      </c>
      <c r="H74" s="1" t="str">
        <f t="shared" si="8"/>
        <v>增产</v>
      </c>
      <c r="I74" s="1" t="s">
        <v>150</v>
      </c>
      <c r="J74" s="1">
        <f t="shared" si="9"/>
        <v>14.371851851851851</v>
      </c>
      <c r="Q74" s="1">
        <f t="shared" si="10"/>
        <v>1.328889289763942E-3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2880000000</v>
      </c>
      <c r="D75" s="1">
        <f>((3*G39+G33)+(4/D2)*(I6+E14*D3*B9)+4*B14)/(2*C14)</f>
        <v>2970666666.6666665</v>
      </c>
      <c r="E75" s="1">
        <f>((3*G39+G33)+(2/D2)*(I6+2.5*D3*B9)+4*B14)/2</f>
        <v>3270000000</v>
      </c>
      <c r="F75" s="1">
        <f t="shared" si="6"/>
        <v>2880000000</v>
      </c>
      <c r="G75" s="1">
        <f t="shared" si="7"/>
        <v>2880000000</v>
      </c>
      <c r="H75" s="1" t="str">
        <f t="shared" si="8"/>
        <v>不使用增产剂</v>
      </c>
      <c r="I75" s="1" t="s">
        <v>152</v>
      </c>
      <c r="J75" s="1">
        <f t="shared" si="9"/>
        <v>2.88</v>
      </c>
      <c r="Q75" s="1">
        <f t="shared" si="10"/>
        <v>6.631458333333333E-3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1440000000</v>
      </c>
      <c r="D76" s="1">
        <f>((G35)+2*(B6+E14*C3*B9)/C2+B14)/C14</f>
        <v>1485333333.3333333</v>
      </c>
      <c r="E76" s="1">
        <f>((G35)+1*(B6+2.5*C3*B9)/C2+B14)/1</f>
        <v>1635000000</v>
      </c>
      <c r="F76" s="1">
        <f t="shared" si="6"/>
        <v>1440000000</v>
      </c>
      <c r="G76" s="1">
        <f t="shared" si="7"/>
        <v>1440000000</v>
      </c>
      <c r="H76" s="1" t="str">
        <f t="shared" si="8"/>
        <v>不使用增产剂</v>
      </c>
      <c r="I76" s="1" t="s">
        <v>227</v>
      </c>
      <c r="J76" s="1">
        <f t="shared" si="9"/>
        <v>1.44</v>
      </c>
      <c r="Q76" s="1">
        <f t="shared" si="10"/>
        <v>1.3262916666666666E-2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1440000000</v>
      </c>
      <c r="D77" s="1">
        <f>((G32)+2*(B6+E14*C3*B9)/C2+B14)/C14</f>
        <v>1485333333.3333333</v>
      </c>
      <c r="E77" s="1">
        <f>((G32)+1*(B6+2.5*C3*B9)/C2+B14)/1</f>
        <v>1635000000</v>
      </c>
      <c r="F77" s="1">
        <f t="shared" si="6"/>
        <v>1440000000</v>
      </c>
      <c r="G77" s="1">
        <f t="shared" si="7"/>
        <v>1440000000</v>
      </c>
      <c r="H77" s="1" t="str">
        <f t="shared" si="8"/>
        <v>不使用增产剂</v>
      </c>
      <c r="I77" s="1" t="s">
        <v>228</v>
      </c>
      <c r="J77" s="1">
        <f t="shared" si="9"/>
        <v>1.44</v>
      </c>
      <c r="Q77" s="1">
        <f t="shared" si="10"/>
        <v>1.3262916666666666E-2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19418666666.666664</v>
      </c>
      <c r="D78" s="1">
        <f>((2*G73+F40)+(6/D2)*(I6+E14*D3*B9)+4*B14)/C14</f>
        <v>18466370370.370369</v>
      </c>
      <c r="E78" s="1">
        <f>((2*G73+F40)+(3/D2)*(I6+E14*D3*B9)+4*B14)/1</f>
        <v>17966666666.666664</v>
      </c>
      <c r="F78" s="1">
        <f t="shared" si="6"/>
        <v>17966666666.666664</v>
      </c>
      <c r="G78" s="1">
        <f t="shared" si="7"/>
        <v>17966666666.666664</v>
      </c>
      <c r="H78" s="1" t="str">
        <f t="shared" si="8"/>
        <v>加速</v>
      </c>
      <c r="I78" s="1" t="s">
        <v>236</v>
      </c>
      <c r="J78" s="1">
        <f t="shared" si="9"/>
        <v>17.966666666666665</v>
      </c>
      <c r="Q78" s="1">
        <f t="shared" si="10"/>
        <v>1.0630018552875698E-3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18719160493.827164</v>
      </c>
      <c r="D91" s="1">
        <f>((2*G61+3*G42+G35)+(3/B2)*(F6+E14*B3*B9)+6*B14)/C14</f>
        <v>17007253772.290812</v>
      </c>
      <c r="E91" s="1">
        <f>(2*(2*G61+3*G42+G35)+(3/B2)*(F6+2.5*B3*B9)+12*B14)/2</f>
        <v>19079160493.827164</v>
      </c>
      <c r="F91" s="1">
        <f t="shared" ref="F91:F106" si="11">MIN(C91:E91)</f>
        <v>17007253772.290812</v>
      </c>
      <c r="G91" s="1">
        <f t="shared" ref="G91:G106" si="12">F91</f>
        <v>17007253772.290812</v>
      </c>
      <c r="H91" s="1" t="str">
        <f t="shared" ref="H91:H106" si="13">IF(C91=G91,"不使用增产剂","")&amp;IF(D91=G91,"增产","")&amp;IF(E91=G91,"加速","")</f>
        <v>增产</v>
      </c>
      <c r="I91" s="1" t="s">
        <v>155</v>
      </c>
      <c r="J91" s="1">
        <f t="shared" ref="J91:J106" si="14">G91/1000000000</f>
        <v>17.007253772290813</v>
      </c>
      <c r="Q91" s="1">
        <f t="shared" ref="Q91:Q106" si="15">60*318310/G91</f>
        <v>1.1229678968580176E-3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(4*H25+G68)+(6/B2)*(E6+B3*B9)</f>
        <v>108960000000</v>
      </c>
      <c r="D92" s="1">
        <f>((4*H25+G68)+(6/B2)*(E6+E14*B3*B9)+5*B14)/C14</f>
        <v>97496000000</v>
      </c>
      <c r="E92" s="1">
        <f>(2*(4*H25+G68)+(6/B2)*(E6+2.5*B3*B9)+10*B14)/2</f>
        <v>109575000000</v>
      </c>
      <c r="F92" s="1">
        <f t="shared" si="11"/>
        <v>97496000000</v>
      </c>
      <c r="G92" s="1">
        <f t="shared" si="12"/>
        <v>97496000000</v>
      </c>
      <c r="H92" s="1" t="str">
        <f t="shared" si="13"/>
        <v>增产</v>
      </c>
      <c r="I92" s="1" t="s">
        <v>157</v>
      </c>
      <c r="J92" s="1">
        <f t="shared" si="14"/>
        <v>97.495999999999995</v>
      </c>
      <c r="Q92" s="1">
        <f t="shared" si="15"/>
        <v>1.9589111348157872E-4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71098791037.951523</v>
      </c>
      <c r="D93" s="1">
        <f>((2*G59+2*G65)+(6/B2)*(E6+E14*B3*B9)+4*B14)/C14</f>
        <v>63828258700.401352</v>
      </c>
      <c r="E93" s="1">
        <f>(2*(2*G59+2*G65)+(6/B2)*(E6+2.5*B3*B9)+8*B14)/2</f>
        <v>71698791037.951523</v>
      </c>
      <c r="F93" s="1">
        <f t="shared" si="11"/>
        <v>63828258700.401352</v>
      </c>
      <c r="G93" s="1">
        <f t="shared" si="12"/>
        <v>63828258700.401352</v>
      </c>
      <c r="H93" s="1" t="str">
        <f t="shared" si="13"/>
        <v>增产</v>
      </c>
      <c r="I93" s="1" t="s">
        <v>159</v>
      </c>
      <c r="J93" s="1">
        <f t="shared" si="14"/>
        <v>63.828258700401349</v>
      </c>
      <c r="Q93" s="1">
        <f t="shared" si="15"/>
        <v>2.9921856539507805E-4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12501333333.333334</v>
      </c>
      <c r="D94" s="1">
        <f>((4*G41+G52+G32)+(6/B2)*(F6+E14*B3*B9)+6*B14)/C14</f>
        <v>11768296296.296297</v>
      </c>
      <c r="E94" s="1">
        <f>(2*(4*G41+G52+G32)+(6/B2)*(F6+2.5*B3*B9)+12*B14)/2</f>
        <v>13131333333.333334</v>
      </c>
      <c r="F94" s="1">
        <f t="shared" si="11"/>
        <v>11768296296.296297</v>
      </c>
      <c r="G94" s="1">
        <f t="shared" si="12"/>
        <v>11768296296.296297</v>
      </c>
      <c r="H94" s="1" t="str">
        <f t="shared" si="13"/>
        <v>增产</v>
      </c>
      <c r="I94" s="1" t="s">
        <v>161</v>
      </c>
      <c r="J94" s="1">
        <f t="shared" si="14"/>
        <v>11.768296296296297</v>
      </c>
      <c r="Q94" s="1">
        <f t="shared" si="15"/>
        <v>1.6228857193212145E-3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64970888888.888893</v>
      </c>
      <c r="D95" s="1">
        <f>((3*G94+3*G71+3*G59)+(8/B2)*(F6+E14*B3*B9)+9*B14)/C14</f>
        <v>58639901234.567902</v>
      </c>
      <c r="E95" s="1">
        <f>(2*(3*G94+3*G71+3*G59)+(8/B2)*(F6+2.5*B3*B9)+18*B14)/2</f>
        <v>65825888888.888893</v>
      </c>
      <c r="F95" s="1">
        <f t="shared" si="11"/>
        <v>58639901234.567902</v>
      </c>
      <c r="G95" s="1">
        <f t="shared" si="12"/>
        <v>58639901234.567902</v>
      </c>
      <c r="H95" s="1" t="str">
        <f t="shared" si="13"/>
        <v>增产</v>
      </c>
      <c r="I95" s="1" t="s">
        <v>163</v>
      </c>
      <c r="J95" s="1">
        <f t="shared" si="14"/>
        <v>58.639901234567901</v>
      </c>
      <c r="Q95" s="1">
        <f t="shared" si="15"/>
        <v>3.2569290871761357E-4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((B25+G59)+(20/B2)*(E6+B3*B9))</f>
        <v>16314666666.666668</v>
      </c>
      <c r="D96" s="1">
        <f>((B25+G59)+(20/B2)*(E6+E14*B3*B9)+2*B14)/C14</f>
        <v>16448592592.592598</v>
      </c>
      <c r="E96" s="1">
        <f>(2*(B25+G59)+(20/B2)*(E6+2.5*B3*B9)+4*B14)/2</f>
        <v>18144666666.666668</v>
      </c>
      <c r="F96" s="1">
        <f t="shared" si="11"/>
        <v>16314666666.666668</v>
      </c>
      <c r="G96" s="1">
        <f t="shared" si="12"/>
        <v>16314666666.666668</v>
      </c>
      <c r="H96" s="1" t="str">
        <f t="shared" si="13"/>
        <v>不使用增产剂</v>
      </c>
      <c r="I96" s="1" t="s">
        <v>165</v>
      </c>
      <c r="J96" s="1">
        <f t="shared" si="14"/>
        <v>16.314666666666668</v>
      </c>
      <c r="Q96" s="1">
        <f t="shared" si="15"/>
        <v>1.1706399150049035E-3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10246125483.355631</v>
      </c>
      <c r="D97" s="1">
        <f>(G114+(10/B2)*(D6+E14*B3*B9)+B14)/(8*C14)</f>
        <v>9229333762.9827824</v>
      </c>
      <c r="E97" s="1">
        <f>(2*G114+(10/B2)*(D6+2.5*B3*B9)+2*B14)/16</f>
        <v>10360500483.355631</v>
      </c>
      <c r="F97" s="1">
        <f t="shared" si="11"/>
        <v>9229333762.9827824</v>
      </c>
      <c r="G97" s="1">
        <f t="shared" si="12"/>
        <v>9229333762.9827824</v>
      </c>
      <c r="H97" s="1" t="str">
        <f t="shared" si="13"/>
        <v>增产</v>
      </c>
      <c r="I97" s="1" t="s">
        <v>167</v>
      </c>
      <c r="J97" s="1">
        <f t="shared" si="14"/>
        <v>9.2293337629827832</v>
      </c>
      <c r="Q97" s="1">
        <f t="shared" si="15"/>
        <v>2.0693368005176159E-3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297473494081.18677</v>
      </c>
      <c r="D98" s="1">
        <f>((2*G95+4*G103+2*G93)+(6/B2)*(F6+E14*B3*B9)+8*B14)/C14</f>
        <v>265103550294.38824</v>
      </c>
      <c r="E98" s="1">
        <f>(2*(2*G95+4*G103+2*G93)+(6/B2)*(F6+2.5*B3*B9)+16*B14)/2</f>
        <v>298133494081.18677</v>
      </c>
      <c r="F98" s="1">
        <f t="shared" si="11"/>
        <v>265103550294.38824</v>
      </c>
      <c r="G98" s="1">
        <f t="shared" si="12"/>
        <v>265103550294.38824</v>
      </c>
      <c r="H98" s="1" t="str">
        <f t="shared" si="13"/>
        <v>增产</v>
      </c>
      <c r="I98" s="1" t="s">
        <v>169</v>
      </c>
      <c r="J98" s="1">
        <f t="shared" si="14"/>
        <v>265.10355029438824</v>
      </c>
      <c r="Q98" s="1">
        <f t="shared" si="15"/>
        <v>7.2042037833109637E-5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180000000</v>
      </c>
      <c r="D99" s="1">
        <f>((0.5/B2)*(D6+E14*B3*B9)+B14)/C14</f>
        <v>221333333.33333337</v>
      </c>
      <c r="E99" s="1">
        <f>((0.5/B2)*(D6+2.5*B3*B9)+2*B14)/2</f>
        <v>240000000</v>
      </c>
      <c r="F99" s="1">
        <f t="shared" si="11"/>
        <v>180000000</v>
      </c>
      <c r="G99" s="1">
        <f t="shared" si="12"/>
        <v>180000000</v>
      </c>
      <c r="H99" s="1" t="str">
        <f t="shared" si="13"/>
        <v>不使用增产剂</v>
      </c>
      <c r="I99" s="1" t="s">
        <v>171</v>
      </c>
      <c r="J99" s="1">
        <f t="shared" si="14"/>
        <v>0.18</v>
      </c>
      <c r="Q99" s="1">
        <f t="shared" si="15"/>
        <v>0.10610333333333333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((2*G99+H25)+(1/B2)*(E6+B3*B9))</f>
        <v>2160000000</v>
      </c>
      <c r="D100" s="1">
        <f>((2*G99+H25)+(1/B2)*(E6+E14*B3*B9)+3*B14)/C14</f>
        <v>2056000000</v>
      </c>
      <c r="E100" s="1">
        <f>(2*(2*G99+H25)+(1/B2)*(E6+2.5*B3*B9)+6*B14)/2</f>
        <v>2295000000</v>
      </c>
      <c r="F100" s="1">
        <f t="shared" si="11"/>
        <v>2056000000</v>
      </c>
      <c r="G100" s="1">
        <f t="shared" si="12"/>
        <v>2056000000</v>
      </c>
      <c r="H100" s="1" t="str">
        <f t="shared" si="13"/>
        <v>增产</v>
      </c>
      <c r="I100" s="1" t="s">
        <v>173</v>
      </c>
      <c r="J100" s="1">
        <f t="shared" si="14"/>
        <v>2.056</v>
      </c>
      <c r="Q100" s="1">
        <f t="shared" si="15"/>
        <v>9.2892023346303493E-3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((2*G100+G25)+(2/B2)*(E6+B3*B9))</f>
        <v>7712000000</v>
      </c>
      <c r="D101" s="1">
        <f>((2*G100+G25)+(2/B2)*(E6+E14*B3*B9)+3*B14)/C14</f>
        <v>7087111111.1111107</v>
      </c>
      <c r="E101" s="1">
        <f>(2*(2*G100+G25)+(2/B2)*(E6+2.5*B3*B9)+6*B14)/2</f>
        <v>7937000000</v>
      </c>
      <c r="F101" s="1">
        <f t="shared" si="11"/>
        <v>7087111111.1111107</v>
      </c>
      <c r="G101" s="1">
        <f t="shared" si="12"/>
        <v>7087111111.1111107</v>
      </c>
      <c r="H101" s="1" t="str">
        <f t="shared" si="13"/>
        <v>增产</v>
      </c>
      <c r="I101" s="1" t="s">
        <v>40</v>
      </c>
      <c r="J101" s="1">
        <f t="shared" si="14"/>
        <v>7.0871111111111107</v>
      </c>
      <c r="Q101" s="1">
        <f t="shared" si="15"/>
        <v>2.6948356954722189E-3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1440000000</v>
      </c>
      <c r="D102" s="1">
        <f>(G33+(6/B2)*(E6+E14*B3*B9)+11*B14)/C14</f>
        <v>3282666666.666667</v>
      </c>
      <c r="E102" s="1">
        <f>(2*G33+(6/B2)*(E6+2.5*B3*B9)+22*B14)/4</f>
        <v>1792500000</v>
      </c>
      <c r="F102" s="1">
        <f t="shared" si="11"/>
        <v>1440000000</v>
      </c>
      <c r="G102" s="1">
        <f t="shared" si="12"/>
        <v>1440000000</v>
      </c>
      <c r="H102" s="1" t="str">
        <f t="shared" si="13"/>
        <v>不使用增产剂</v>
      </c>
      <c r="I102" s="1" t="s">
        <v>176</v>
      </c>
      <c r="J102" s="1">
        <f t="shared" si="14"/>
        <v>1.44</v>
      </c>
      <c r="Q102" s="1">
        <f t="shared" si="15"/>
        <v>1.3262916666666666E-2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((G52+20*C25+G91)+(12/B2)*(F6+B3*B9))/2</f>
        <v>12594293552.812073</v>
      </c>
      <c r="D103" s="1">
        <f>((G52+20*C25+G91)+(12/B2)*(F6+E14*B3*B9)+22*B14)/C14</f>
        <v>23835188538.332573</v>
      </c>
      <c r="E103" s="1">
        <f>(2*(G52+20*C25+G91)+(12/B2)*(F6+2.5*B3*B9)+44*B14)/4</f>
        <v>13299293552.812073</v>
      </c>
      <c r="F103" s="1">
        <f t="shared" si="11"/>
        <v>12594293552.812073</v>
      </c>
      <c r="G103" s="1">
        <f t="shared" si="12"/>
        <v>12594293552.812073</v>
      </c>
      <c r="H103" s="1" t="str">
        <f t="shared" si="13"/>
        <v>不使用增产剂</v>
      </c>
      <c r="I103" s="1" t="s">
        <v>178</v>
      </c>
      <c r="J103" s="1">
        <f t="shared" si="14"/>
        <v>12.594293552812072</v>
      </c>
      <c r="Q103" s="1">
        <f t="shared" si="15"/>
        <v>1.5164486932048393E-3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86408000000</v>
      </c>
      <c r="D104" s="1" t="s">
        <v>96</v>
      </c>
      <c r="E104" s="1">
        <f>(2*(12*G72+G96+G52)+(24/B2)*(G6+2.5*B3*B9)+52*B14)/4</f>
        <v>87683000000</v>
      </c>
      <c r="F104" s="1">
        <f t="shared" si="11"/>
        <v>86408000000</v>
      </c>
      <c r="G104" s="1">
        <f t="shared" si="12"/>
        <v>86408000000</v>
      </c>
      <c r="H104" s="1" t="str">
        <f t="shared" si="13"/>
        <v>不使用增产剂</v>
      </c>
      <c r="I104" s="1" t="s">
        <v>180</v>
      </c>
      <c r="J104" s="1">
        <f t="shared" si="14"/>
        <v>86.408000000000001</v>
      </c>
      <c r="Q104" s="1">
        <f t="shared" si="15"/>
        <v>2.2102814554207943E-4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6840000000</v>
      </c>
      <c r="D105" s="1">
        <f>((2*G51+3*G31)+(4/B2)*(E6+E14*B3*B9)+5*B14)/C14</f>
        <v>6530666666.666667</v>
      </c>
      <c r="E105" s="1">
        <f>(2*(2*G51+3*G31)+(4/B2)*(E6+2.5*B3*B9)+10*B14)/2</f>
        <v>7275000000</v>
      </c>
      <c r="F105" s="1">
        <f t="shared" si="11"/>
        <v>6530666666.666667</v>
      </c>
      <c r="G105" s="1">
        <f t="shared" si="12"/>
        <v>6530666666.666667</v>
      </c>
      <c r="H105" s="1" t="str">
        <f t="shared" si="13"/>
        <v>增产</v>
      </c>
      <c r="I105" s="1" t="s">
        <v>182</v>
      </c>
      <c r="J105" s="1">
        <f t="shared" si="14"/>
        <v>6.5306666666666668</v>
      </c>
      <c r="Q105" s="1">
        <f t="shared" si="15"/>
        <v>2.9244487545937114E-3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59714567901.234573</v>
      </c>
      <c r="D106" s="1">
        <f>((5*G52+5*G61)+(6/B2)*(E6+E14*B3*B9)+10*B14)/C14</f>
        <v>53788949245.54184</v>
      </c>
      <c r="E106" s="1">
        <f>(2*(5*G52+5*G61)+(6/B2)*(E6+2.5*B3*B9)+20*B14)/2</f>
        <v>60404567901.234573</v>
      </c>
      <c r="F106" s="1">
        <f t="shared" si="11"/>
        <v>53788949245.54184</v>
      </c>
      <c r="G106" s="1">
        <f t="shared" si="12"/>
        <v>53788949245.54184</v>
      </c>
      <c r="H106" s="1" t="str">
        <f t="shared" si="13"/>
        <v>增产</v>
      </c>
      <c r="I106" s="1" t="s">
        <v>184</v>
      </c>
      <c r="J106" s="1">
        <f t="shared" si="14"/>
        <v>53.788949245541836</v>
      </c>
      <c r="Q106" s="1">
        <f t="shared" si="15"/>
        <v>3.5506549705621807E-4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3016000000</v>
      </c>
      <c r="D110" s="1">
        <f>((G50+G57)+(3/G2)*(P6+E14*G3*B9)+2*B14)/C14</f>
        <v>3091555555.5555553</v>
      </c>
      <c r="E110" s="1">
        <f>(2*(G50+G57)+(3/G2)*(P6+2.5*G3*B9)+4*B14)/2</f>
        <v>3406000000</v>
      </c>
      <c r="F110" s="1">
        <f t="shared" ref="F110:F115" si="16">MIN(C110:E110)</f>
        <v>3016000000</v>
      </c>
      <c r="G110" s="1">
        <f t="shared" ref="G110:G115" si="17">F110</f>
        <v>3016000000</v>
      </c>
      <c r="H110" s="1" t="str">
        <f t="shared" ref="H110:H115" si="18">IF(C110=G110,"不使用增产剂","")&amp;IF(D110=G110,"增产","")&amp;IF(E110=G110,"加速","")</f>
        <v>不使用增产剂</v>
      </c>
      <c r="I110" s="1" t="s">
        <v>187</v>
      </c>
      <c r="J110" s="1">
        <f t="shared" ref="J110:J115" si="19">G110/1000000000</f>
        <v>3.016</v>
      </c>
      <c r="Q110" s="1">
        <f t="shared" ref="Q110:Q115" si="20">60*318310/G110</f>
        <v>6.3324270557029178E-3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4320000000</v>
      </c>
      <c r="D111" s="1">
        <f>((2*G35)+(6/G2)*(P6+E14*G3*B9)+4*B14)/C14</f>
        <v>4661333333.333333</v>
      </c>
      <c r="E111" s="1">
        <f>(2*(2*G35)+(6/G2)*(P6+2.5*G3*B9)+8*B14)/2</f>
        <v>5100000000</v>
      </c>
      <c r="F111" s="1">
        <f t="shared" si="16"/>
        <v>4320000000</v>
      </c>
      <c r="G111" s="1">
        <f t="shared" si="17"/>
        <v>4320000000</v>
      </c>
      <c r="H111" s="1" t="str">
        <f t="shared" si="18"/>
        <v>不使用增产剂</v>
      </c>
      <c r="I111" s="1" t="s">
        <v>189</v>
      </c>
      <c r="J111" s="1">
        <f t="shared" si="19"/>
        <v>4.32</v>
      </c>
      <c r="Q111" s="1">
        <f t="shared" si="20"/>
        <v>4.420972222222222E-3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((H25+G62)+(8/G2)*(P6+G3*B9))</f>
        <v>24887703703.703701</v>
      </c>
      <c r="D112" s="1">
        <f>((H25+G62)+(8/G2)*(P6+E14*G3*B9)+2*B14)/C14</f>
        <v>23173069958.847733</v>
      </c>
      <c r="E112" s="1">
        <f>(2*(H25+G62)+(8/G2)*(P6+2.5*G3*B9)+4*B14)/2</f>
        <v>25877703703.703701</v>
      </c>
      <c r="F112" s="1">
        <f t="shared" si="16"/>
        <v>23173069958.847733</v>
      </c>
      <c r="G112" s="1">
        <f t="shared" si="17"/>
        <v>23173069958.847733</v>
      </c>
      <c r="H112" s="1" t="str">
        <f t="shared" si="18"/>
        <v>增产</v>
      </c>
      <c r="I112" s="1" t="s">
        <v>191</v>
      </c>
      <c r="J112" s="1">
        <f t="shared" si="19"/>
        <v>23.173069958847734</v>
      </c>
      <c r="Q112" s="1">
        <f t="shared" si="20"/>
        <v>8.2417219789680666E-4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33081185185.185184</v>
      </c>
      <c r="D113" s="1">
        <f>((2*G59+G74)+(10/G2)*(P6+E14*G3*B9)+3*B14)/C14</f>
        <v>30725497942.386826</v>
      </c>
      <c r="E113" s="1">
        <f>(2*(2*G59+G74)+(10/G2)*(P6+2.5*G3*B9)+6*B14)/2</f>
        <v>34326185185.185184</v>
      </c>
      <c r="F113" s="1">
        <f t="shared" si="16"/>
        <v>30725497942.386826</v>
      </c>
      <c r="G113" s="1">
        <f t="shared" si="17"/>
        <v>30725497942.386826</v>
      </c>
      <c r="H113" s="1" t="str">
        <f t="shared" si="18"/>
        <v>增产</v>
      </c>
      <c r="I113" s="1" t="s">
        <v>193</v>
      </c>
      <c r="J113" s="1">
        <f t="shared" si="19"/>
        <v>30.725497942386827</v>
      </c>
      <c r="Q113" s="1">
        <f t="shared" si="20"/>
        <v>6.2158797347439761E-4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86422129350.200684</v>
      </c>
      <c r="D114" s="1">
        <f>((G93+G92)+(24/G2)*(P6+E14*G3*B9)+2*B14)/(2*C14)</f>
        <v>78369003866.845047</v>
      </c>
      <c r="E114" s="1">
        <f>(2*(G93+G92)+(24/G2)*(P6+2.5*G3*B9)+4*B14)/4</f>
        <v>87877129350.200684</v>
      </c>
      <c r="F114" s="1">
        <f t="shared" si="16"/>
        <v>78369003866.845047</v>
      </c>
      <c r="G114" s="1">
        <f t="shared" si="17"/>
        <v>78369003866.845047</v>
      </c>
      <c r="H114" s="1" t="str">
        <f t="shared" si="18"/>
        <v>增产</v>
      </c>
      <c r="I114" s="1" t="s">
        <v>195</v>
      </c>
      <c r="J114" s="1">
        <f t="shared" si="19"/>
        <v>78.369003866845048</v>
      </c>
      <c r="Q114" s="1">
        <f t="shared" si="20"/>
        <v>2.437009411584456E-4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158803571768.07959</v>
      </c>
      <c r="D115" s="1">
        <f>((G110+G111+G112+G113+G114+G72)+(15/G2)*(Q6+E14*G3*B9)+6*B14)/C14</f>
        <v>143158730460.5152</v>
      </c>
      <c r="E115" s="1">
        <f>(2*(G110+G111+G112+G113+G114+G72)+(15/G2)*(Q6+2.5*G3*B9)+12*B14)/2</f>
        <v>160693571768.07959</v>
      </c>
      <c r="F115" s="1">
        <f t="shared" si="16"/>
        <v>143158730460.5152</v>
      </c>
      <c r="G115" s="1">
        <f t="shared" si="17"/>
        <v>143158730460.5152</v>
      </c>
      <c r="H115" s="1" t="str">
        <f t="shared" si="18"/>
        <v>增产</v>
      </c>
      <c r="I115" s="1" t="s">
        <v>197</v>
      </c>
      <c r="J115" s="1">
        <f t="shared" si="19"/>
        <v>143.15873046051519</v>
      </c>
      <c r="Q115" s="1">
        <f t="shared" si="20"/>
        <v>1.3340855942605337E-4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45:G47 A43:B44 F43:G44 A26:H38 A39:G42 F48 H39:H49 A110:H115 A50:H74 A91:H106 B75 F75:H78">
    <cfRule type="cellIs" dxfId="35" priority="34" operator="equal">
      <formula>"不使用增产剂"</formula>
    </cfRule>
    <cfRule type="cellIs" dxfId="34" priority="35" operator="equal">
      <formula>"加速"</formula>
    </cfRule>
    <cfRule type="cellIs" dxfId="33" priority="36" operator="equal">
      <formula>"增产"</formula>
    </cfRule>
  </conditionalFormatting>
  <conditionalFormatting sqref="A49:F49">
    <cfRule type="cellIs" dxfId="32" priority="31" operator="equal">
      <formula>"不使用增产剂"</formula>
    </cfRule>
    <cfRule type="cellIs" dxfId="31" priority="32" operator="equal">
      <formula>"加速"</formula>
    </cfRule>
    <cfRule type="cellIs" dxfId="30" priority="33" operator="equal">
      <formula>"增产"</formula>
    </cfRule>
  </conditionalFormatting>
  <conditionalFormatting sqref="A90:F90">
    <cfRule type="cellIs" dxfId="29" priority="28" operator="equal">
      <formula>"不使用增产剂"</formula>
    </cfRule>
    <cfRule type="cellIs" dxfId="28" priority="29" operator="equal">
      <formula>"加速"</formula>
    </cfRule>
    <cfRule type="cellIs" dxfId="27" priority="30" operator="equal">
      <formula>"增产"</formula>
    </cfRule>
  </conditionalFormatting>
  <conditionalFormatting sqref="A109:F109">
    <cfRule type="cellIs" dxfId="26" priority="25" operator="equal">
      <formula>"不使用增产剂"</formula>
    </cfRule>
    <cfRule type="cellIs" dxfId="25" priority="26" operator="equal">
      <formula>"加速"</formula>
    </cfRule>
    <cfRule type="cellIs" dxfId="24" priority="27" operator="equal">
      <formula>"增产"</formula>
    </cfRule>
  </conditionalFormatting>
  <conditionalFormatting sqref="I30:I45">
    <cfRule type="cellIs" dxfId="23" priority="22" operator="equal">
      <formula>"不使用增产剂"</formula>
    </cfRule>
    <cfRule type="cellIs" dxfId="22" priority="23" operator="equal">
      <formula>"加速"</formula>
    </cfRule>
    <cfRule type="cellIs" dxfId="21" priority="24" operator="equal">
      <formula>"增产"</formula>
    </cfRule>
  </conditionalFormatting>
  <conditionalFormatting sqref="I50:I74">
    <cfRule type="cellIs" dxfId="20" priority="19" operator="equal">
      <formula>"不使用增产剂"</formula>
    </cfRule>
    <cfRule type="cellIs" dxfId="19" priority="20" operator="equal">
      <formula>"加速"</formula>
    </cfRule>
    <cfRule type="cellIs" dxfId="18" priority="21" operator="equal">
      <formula>"增产"</formula>
    </cfRule>
  </conditionalFormatting>
  <conditionalFormatting sqref="I91:I106">
    <cfRule type="cellIs" dxfId="17" priority="16" operator="equal">
      <formula>"不使用增产剂"</formula>
    </cfRule>
    <cfRule type="cellIs" dxfId="16" priority="17" operator="equal">
      <formula>"加速"</formula>
    </cfRule>
    <cfRule type="cellIs" dxfId="15" priority="18" operator="equal">
      <formula>"增产"</formula>
    </cfRule>
  </conditionalFormatting>
  <conditionalFormatting sqref="I110:I115">
    <cfRule type="cellIs" dxfId="14" priority="13" operator="equal">
      <formula>"不使用增产剂"</formula>
    </cfRule>
    <cfRule type="cellIs" dxfId="13" priority="14" operator="equal">
      <formula>"加速"</formula>
    </cfRule>
    <cfRule type="cellIs" dxfId="12" priority="15" operator="equal">
      <formula>"增产"</formula>
    </cfRule>
  </conditionalFormatting>
  <conditionalFormatting sqref="A75">
    <cfRule type="cellIs" dxfId="11" priority="10" operator="equal">
      <formula>"不使用增产剂"</formula>
    </cfRule>
    <cfRule type="cellIs" dxfId="10" priority="11" operator="equal">
      <formula>"加速"</formula>
    </cfRule>
    <cfRule type="cellIs" dxfId="9" priority="12" operator="equal">
      <formula>"增产"</formula>
    </cfRule>
  </conditionalFormatting>
  <conditionalFormatting sqref="I75">
    <cfRule type="cellIs" dxfId="8" priority="7" operator="equal">
      <formula>"不使用增产剂"</formula>
    </cfRule>
    <cfRule type="cellIs" dxfId="7" priority="8" operator="equal">
      <formula>"加速"</formula>
    </cfRule>
    <cfRule type="cellIs" dxfId="6" priority="9" operator="equal">
      <formula>"增产"</formula>
    </cfRule>
  </conditionalFormatting>
  <conditionalFormatting sqref="A77">
    <cfRule type="cellIs" dxfId="5" priority="4" operator="equal">
      <formula>"不使用增产剂"</formula>
    </cfRule>
    <cfRule type="cellIs" dxfId="4" priority="5" operator="equal">
      <formula>"加速"</formula>
    </cfRule>
    <cfRule type="cellIs" dxfId="3" priority="6" operator="equal">
      <formula>"增产"</formula>
    </cfRule>
  </conditionalFormatting>
  <conditionalFormatting sqref="I77">
    <cfRule type="cellIs" dxfId="2" priority="1" operator="equal">
      <formula>"不使用增产剂"</formula>
    </cfRule>
    <cfRule type="cellIs" dxfId="1" priority="2" operator="equal">
      <formula>"加速"</formula>
    </cfRule>
    <cfRule type="cellIs" dxfId="0" priority="3" operator="equal">
      <formula>"增产"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8157-8E85-424B-B738-199384E5EC06}">
  <dimension ref="A1:U13"/>
  <sheetViews>
    <sheetView workbookViewId="0">
      <selection activeCell="O10" sqref="O10:O11"/>
    </sheetView>
  </sheetViews>
  <sheetFormatPr defaultRowHeight="14.25" x14ac:dyDescent="0.2"/>
  <cols>
    <col min="1" max="1" width="22.125" customWidth="1"/>
    <col min="7" max="7" width="17.875" customWidth="1"/>
    <col min="8" max="8" width="12.875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s="1" customFormat="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s="1" customFormat="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9" spans="1:21" x14ac:dyDescent="0.2">
      <c r="A9" s="1" t="s">
        <v>203</v>
      </c>
      <c r="B9" s="1" t="s">
        <v>207</v>
      </c>
      <c r="C9" s="1" t="s">
        <v>208</v>
      </c>
      <c r="D9" s="1" t="s">
        <v>209</v>
      </c>
      <c r="E9" s="1" t="s">
        <v>210</v>
      </c>
      <c r="F9" s="1" t="s">
        <v>211</v>
      </c>
      <c r="G9" s="1" t="s">
        <v>212</v>
      </c>
      <c r="H9" s="1" t="s">
        <v>213</v>
      </c>
      <c r="I9" s="1" t="s">
        <v>214</v>
      </c>
      <c r="J9" s="1" t="s">
        <v>215</v>
      </c>
      <c r="K9" s="1" t="s">
        <v>216</v>
      </c>
      <c r="L9" s="1" t="s">
        <v>217</v>
      </c>
      <c r="M9" s="1" t="s">
        <v>218</v>
      </c>
      <c r="N9" s="1" t="s">
        <v>219</v>
      </c>
      <c r="O9" s="1" t="s">
        <v>220</v>
      </c>
      <c r="P9" s="1" t="s">
        <v>221</v>
      </c>
      <c r="Q9" s="1" t="s">
        <v>222</v>
      </c>
      <c r="R9" s="1" t="s">
        <v>223</v>
      </c>
      <c r="S9" s="1" t="s">
        <v>224</v>
      </c>
      <c r="T9" s="1" t="s">
        <v>225</v>
      </c>
      <c r="U9" s="1" t="s">
        <v>226</v>
      </c>
    </row>
    <row r="10" spans="1:21" x14ac:dyDescent="0.2">
      <c r="A10" s="1" t="s">
        <v>205</v>
      </c>
      <c r="B10" s="1">
        <v>1</v>
      </c>
      <c r="C10" s="1">
        <v>0.5</v>
      </c>
      <c r="D10" s="1">
        <v>1</v>
      </c>
      <c r="E10" s="1">
        <v>1</v>
      </c>
      <c r="F10" s="1">
        <v>1</v>
      </c>
      <c r="G10" s="1">
        <v>8</v>
      </c>
      <c r="H10" s="1">
        <v>1</v>
      </c>
      <c r="I10" s="1">
        <v>1</v>
      </c>
      <c r="J10" s="1">
        <v>2</v>
      </c>
      <c r="K10" s="1">
        <v>0.75</v>
      </c>
      <c r="L10" s="1">
        <v>1</v>
      </c>
      <c r="M10" s="1">
        <v>1.5</v>
      </c>
      <c r="N10" s="1">
        <v>1</v>
      </c>
      <c r="O10" s="1">
        <v>1</v>
      </c>
      <c r="P10" s="1">
        <v>2</v>
      </c>
      <c r="Q10" s="1">
        <v>1</v>
      </c>
      <c r="R10" s="1">
        <v>1</v>
      </c>
      <c r="S10" s="1">
        <v>1</v>
      </c>
      <c r="T10" s="1">
        <v>50</v>
      </c>
      <c r="U10" s="1">
        <v>1</v>
      </c>
    </row>
    <row r="11" spans="1:21" x14ac:dyDescent="0.2">
      <c r="A11" s="1" t="s">
        <v>204</v>
      </c>
      <c r="B11" s="1">
        <v>0.08</v>
      </c>
      <c r="C11" s="1">
        <v>0.42</v>
      </c>
      <c r="D11" s="1">
        <v>2.94</v>
      </c>
      <c r="E11" s="1">
        <v>0.3</v>
      </c>
      <c r="F11" s="1">
        <v>0.3</v>
      </c>
      <c r="G11" s="1">
        <v>30</v>
      </c>
      <c r="H11" s="1">
        <v>0</v>
      </c>
      <c r="I11" s="1">
        <v>0.36</v>
      </c>
      <c r="J11" s="1">
        <v>1.44</v>
      </c>
      <c r="K11" s="1">
        <v>0.27</v>
      </c>
      <c r="L11" s="1">
        <v>0.54</v>
      </c>
      <c r="M11" s="1">
        <v>1.08</v>
      </c>
      <c r="N11" s="1">
        <v>0.96</v>
      </c>
      <c r="O11" s="1">
        <v>0.72</v>
      </c>
      <c r="P11" s="1">
        <v>2.16</v>
      </c>
      <c r="Q11" s="1">
        <v>0.72</v>
      </c>
      <c r="R11" s="1">
        <v>12</v>
      </c>
      <c r="S11" s="1">
        <v>0.48</v>
      </c>
      <c r="T11" s="1">
        <v>45</v>
      </c>
      <c r="U11" s="1">
        <v>0.9</v>
      </c>
    </row>
    <row r="13" spans="1:21" x14ac:dyDescent="0.2">
      <c r="A13" s="1" t="s">
        <v>206</v>
      </c>
      <c r="B13" s="1">
        <v>0</v>
      </c>
      <c r="C13" s="1">
        <v>15</v>
      </c>
      <c r="D13" s="1">
        <v>25</v>
      </c>
      <c r="E13" s="1">
        <v>12</v>
      </c>
      <c r="F13" s="1">
        <v>50</v>
      </c>
      <c r="G13" s="1">
        <v>0</v>
      </c>
      <c r="H13" s="1">
        <v>54.82</v>
      </c>
      <c r="I13" s="1">
        <v>5.76</v>
      </c>
      <c r="J13" s="1">
        <v>5.76</v>
      </c>
      <c r="K13" s="1">
        <v>10.24</v>
      </c>
      <c r="L13" s="1">
        <v>10.24</v>
      </c>
      <c r="M13" s="1">
        <v>10.24</v>
      </c>
      <c r="N13" s="1">
        <v>18</v>
      </c>
      <c r="O13" s="1">
        <v>23.76</v>
      </c>
      <c r="P13" s="1">
        <v>23.76</v>
      </c>
      <c r="Q13" s="1">
        <v>12.96</v>
      </c>
      <c r="R13" s="1">
        <v>45.12</v>
      </c>
      <c r="S13" s="1">
        <v>20.25</v>
      </c>
      <c r="T13" s="1">
        <v>64</v>
      </c>
      <c r="U13" s="1">
        <v>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8CC2-0D24-4788-BA5C-EEC56D063114}">
  <dimension ref="A1:U10"/>
  <sheetViews>
    <sheetView workbookViewId="0">
      <selection activeCell="A3" sqref="A3:XFD3"/>
    </sheetView>
  </sheetViews>
  <sheetFormatPr defaultRowHeight="14.25" x14ac:dyDescent="0.2"/>
  <cols>
    <col min="1" max="1" width="34.125" customWidth="1"/>
  </cols>
  <sheetData>
    <row r="1" spans="1:21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spans="1:21" s="1" customFormat="1" x14ac:dyDescent="0.2">
      <c r="A2" s="1" t="s">
        <v>247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v>26.4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s="1" customFormat="1" x14ac:dyDescent="0.2">
      <c r="A3" s="1" t="s">
        <v>199</v>
      </c>
      <c r="B3" s="1">
        <v>10.5</v>
      </c>
      <c r="C3" s="1">
        <v>12</v>
      </c>
      <c r="D3" s="1">
        <v>16</v>
      </c>
      <c r="E3" s="1">
        <v>16</v>
      </c>
      <c r="F3" s="1">
        <v>16</v>
      </c>
      <c r="G3" s="1">
        <v>16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s="1" customFormat="1" x14ac:dyDescent="0.2">
      <c r="A4" s="1" t="s">
        <v>200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s="1" customFormat="1" x14ac:dyDescent="0.2">
      <c r="A5" s="1" t="s">
        <v>201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s="1" customFormat="1" x14ac:dyDescent="0.2">
      <c r="A6" s="1" t="s">
        <v>202</v>
      </c>
      <c r="B6" s="1">
        <f>J30+2*J28</f>
        <v>0</v>
      </c>
      <c r="C6" s="1">
        <f>J30+4*J28</f>
        <v>0</v>
      </c>
      <c r="D6" s="1">
        <f>J30+2*J28</f>
        <v>0</v>
      </c>
      <c r="E6" s="1">
        <f>J30+3*J28</f>
        <v>0</v>
      </c>
      <c r="F6" s="1">
        <f>J30+4*J28</f>
        <v>0</v>
      </c>
      <c r="G6" s="1">
        <f>J30+5*J28</f>
        <v>0</v>
      </c>
      <c r="H6" s="1">
        <f>J30+2*J28</f>
        <v>0</v>
      </c>
      <c r="I6" s="1">
        <f>J30+3*J28</f>
        <v>0</v>
      </c>
      <c r="J6" s="1">
        <f>J30+2*J28</f>
        <v>0</v>
      </c>
      <c r="K6" s="1">
        <f>J30+3*J28</f>
        <v>0</v>
      </c>
      <c r="L6" s="1">
        <f>J30+4*J28</f>
        <v>0</v>
      </c>
      <c r="M6" s="1">
        <f>J30+2*J28</f>
        <v>0</v>
      </c>
      <c r="N6" s="1">
        <f>J30+3*J28</f>
        <v>0</v>
      </c>
      <c r="O6" s="1">
        <f>J30+J28</f>
        <v>0</v>
      </c>
      <c r="P6" s="1">
        <f>J30+3*J28</f>
        <v>0</v>
      </c>
      <c r="Q6" s="1">
        <f>J30+7*J28</f>
        <v>0</v>
      </c>
      <c r="R6" s="1">
        <f>J30+J28</f>
        <v>0</v>
      </c>
      <c r="S6" s="1">
        <f>J30+J28</f>
        <v>0</v>
      </c>
      <c r="T6" s="1">
        <f>J30+J28/3</f>
        <v>0</v>
      </c>
      <c r="U6" s="1">
        <f>J30</f>
        <v>0</v>
      </c>
    </row>
    <row r="7" spans="1:21" s="1" customFormat="1" x14ac:dyDescent="0.2">
      <c r="A7" s="1" t="s">
        <v>253</v>
      </c>
      <c r="B7" s="1">
        <v>68</v>
      </c>
      <c r="C7" s="1">
        <v>116</v>
      </c>
      <c r="D7" s="1">
        <v>76</v>
      </c>
      <c r="E7" s="1">
        <v>104</v>
      </c>
      <c r="F7" s="1">
        <v>132</v>
      </c>
      <c r="G7" s="1">
        <v>160</v>
      </c>
      <c r="H7" s="1">
        <v>100</v>
      </c>
      <c r="I7" s="1">
        <v>140</v>
      </c>
      <c r="J7" s="1">
        <v>84</v>
      </c>
      <c r="K7" s="1">
        <v>116</v>
      </c>
      <c r="L7" s="1">
        <v>128</v>
      </c>
      <c r="M7" s="1">
        <v>68</v>
      </c>
      <c r="N7" s="1">
        <v>92</v>
      </c>
      <c r="O7" s="1">
        <v>332</v>
      </c>
      <c r="P7" s="1">
        <v>396</v>
      </c>
      <c r="Q7" s="1">
        <v>524</v>
      </c>
      <c r="R7" s="1">
        <v>60</v>
      </c>
      <c r="S7" s="1">
        <v>88</v>
      </c>
      <c r="T7" s="1">
        <v>128</v>
      </c>
      <c r="U7" s="1">
        <v>44</v>
      </c>
    </row>
    <row r="8" spans="1:21" s="1" customFormat="1" x14ac:dyDescent="0.2">
      <c r="A8" s="1" t="s">
        <v>239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">
      <c r="A9" t="s">
        <v>254</v>
      </c>
      <c r="B9">
        <v>0.54805434782608697</v>
      </c>
      <c r="C9">
        <v>0.95348913043478267</v>
      </c>
      <c r="D9">
        <v>0.57183212560386476</v>
      </c>
      <c r="E9">
        <v>0.77454951690821261</v>
      </c>
      <c r="F9">
        <v>0.97726690821256046</v>
      </c>
      <c r="G9">
        <v>1.1799842995169081</v>
      </c>
      <c r="H9">
        <v>0.67288768115942021</v>
      </c>
      <c r="I9">
        <v>0.87560507246376806</v>
      </c>
      <c r="J9">
        <v>0.62533212560386475</v>
      </c>
      <c r="K9">
        <v>0.8280495169082126</v>
      </c>
      <c r="L9">
        <v>1.0307669082125603</v>
      </c>
      <c r="M9">
        <v>0.53616545893719803</v>
      </c>
      <c r="N9">
        <v>0.73888285024154587</v>
      </c>
      <c r="O9">
        <v>1.4057608695652175</v>
      </c>
      <c r="P9">
        <v>1.8111956521739132</v>
      </c>
      <c r="Q9">
        <v>2.6220652173913042</v>
      </c>
      <c r="R9">
        <v>0.27400362318840576</v>
      </c>
      <c r="S9">
        <v>0.27400362318840576</v>
      </c>
      <c r="T9">
        <v>0.1388586956521739</v>
      </c>
      <c r="U9">
        <v>44</v>
      </c>
    </row>
    <row r="10" spans="1:21" s="1" customFormat="1" x14ac:dyDescent="0.2">
      <c r="A10" s="1" t="s">
        <v>257</v>
      </c>
      <c r="B10" s="1">
        <v>6.96</v>
      </c>
      <c r="C10" s="1">
        <v>8.16</v>
      </c>
      <c r="D10" s="1">
        <v>10.88</v>
      </c>
      <c r="E10" s="1">
        <v>10.88</v>
      </c>
      <c r="F10" s="1">
        <v>11.52</v>
      </c>
      <c r="G10" s="1">
        <v>11.52</v>
      </c>
      <c r="H10" s="1">
        <v>26.4</v>
      </c>
      <c r="I10" s="1">
        <v>26.4</v>
      </c>
      <c r="J10" s="1">
        <v>47.5</v>
      </c>
      <c r="K10" s="1">
        <v>47.5</v>
      </c>
      <c r="L10" s="1">
        <v>52.25</v>
      </c>
      <c r="M10" s="1">
        <v>19.5</v>
      </c>
      <c r="N10" s="1">
        <v>19.5</v>
      </c>
      <c r="O10" s="1">
        <v>22.5</v>
      </c>
      <c r="P10" s="1">
        <v>22.5</v>
      </c>
      <c r="Q10" s="1">
        <v>22.5</v>
      </c>
      <c r="R10" s="1">
        <v>48.96</v>
      </c>
      <c r="S10" s="1">
        <v>54.824300000000001</v>
      </c>
      <c r="T10" s="1">
        <v>16.670000000000002</v>
      </c>
      <c r="U10" s="1">
        <v>10.5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无浮空单球原矿黑盒最高铺法</vt:lpstr>
      <vt:lpstr>带偏移占地最小</vt:lpstr>
      <vt:lpstr>不偏移占地最小</vt:lpstr>
      <vt:lpstr>最低预估卡顿</vt:lpstr>
      <vt:lpstr>低级建筑全低效最省电</vt:lpstr>
      <vt:lpstr>低级增产剂（仅增产使用，这里加速这一列没改，加速算出来的是错的</vt:lpstr>
      <vt:lpstr>建筑属性</vt:lpstr>
      <vt:lpstr>产线成本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</cp:lastModifiedBy>
  <dcterms:created xsi:type="dcterms:W3CDTF">2015-06-05T18:17:20Z</dcterms:created>
  <dcterms:modified xsi:type="dcterms:W3CDTF">2023-02-02T12:53:51Z</dcterms:modified>
</cp:coreProperties>
</file>