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新文件\桌面\戴森球计划\"/>
    </mc:Choice>
  </mc:AlternateContent>
  <xr:revisionPtr revIDLastSave="0" documentId="13_ncr:1_{9AEAD41C-FEAE-4B6F-A691-2FA13CDAA80D}" xr6:coauthVersionLast="47" xr6:coauthVersionMax="47" xr10:uidLastSave="{00000000-0000-0000-0000-000000000000}"/>
  <bookViews>
    <workbookView xWindow="-120" yWindow="-120" windowWidth="29040" windowHeight="15840" firstSheet="2" activeTab="7" xr2:uid="{38FE8E6B-2392-4D69-9A52-3616724A84C4}"/>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计算公式" sheetId="16" r:id="rId15"/>
    <sheet name="集装机可堆叠间隔" sheetId="17" r:id="rId16"/>
    <sheet name="飞船运输耗时估计"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2" i="9" l="1"/>
  <c r="U23" i="9"/>
  <c r="U24" i="9"/>
  <c r="U25" i="9"/>
  <c r="U26" i="9"/>
  <c r="U27" i="9"/>
  <c r="U28" i="9"/>
  <c r="U29" i="9"/>
  <c r="U30" i="9"/>
  <c r="U31" i="9"/>
  <c r="U32" i="9"/>
  <c r="U33" i="9"/>
  <c r="U34" i="9"/>
  <c r="U35" i="9"/>
  <c r="L3" i="2"/>
  <c r="L2" i="2"/>
  <c r="C32" i="8"/>
  <c r="U21" i="9"/>
  <c r="B38" i="9"/>
  <c r="E38" i="9" s="1"/>
  <c r="B39" i="9"/>
  <c r="E39" i="9" s="1"/>
  <c r="B40" i="9"/>
  <c r="E40" i="9" s="1"/>
  <c r="B41" i="9"/>
  <c r="E41" i="9" s="1"/>
  <c r="B42" i="9"/>
  <c r="E42" i="9" s="1"/>
  <c r="B43" i="9"/>
  <c r="E43" i="9" s="1"/>
  <c r="B44" i="9"/>
  <c r="E44" i="9" s="1"/>
  <c r="B45" i="9"/>
  <c r="E45" i="9" s="1"/>
  <c r="B46" i="9"/>
  <c r="E46" i="9" s="1"/>
  <c r="B47" i="9"/>
  <c r="E47" i="9" s="1"/>
  <c r="B48" i="9"/>
  <c r="E48" i="9" s="1"/>
  <c r="B49" i="9"/>
  <c r="E49" i="9" s="1"/>
  <c r="B50" i="9"/>
  <c r="E50" i="9" s="1"/>
  <c r="B51" i="9"/>
  <c r="E51" i="9" s="1"/>
  <c r="B52" i="9"/>
  <c r="E52" i="9" s="1"/>
  <c r="B53" i="9"/>
  <c r="E53" i="9" s="1"/>
  <c r="B54" i="9"/>
  <c r="E54" i="9" s="1"/>
  <c r="B55" i="9"/>
  <c r="E55" i="9" s="1"/>
  <c r="B56" i="9"/>
  <c r="E56" i="9" s="1"/>
  <c r="B57" i="9"/>
  <c r="E57" i="9" s="1"/>
  <c r="B58" i="9"/>
  <c r="E58" i="9" s="1"/>
  <c r="B59" i="9"/>
  <c r="E59" i="9" s="1"/>
  <c r="B60" i="9"/>
  <c r="E60" i="9" s="1"/>
  <c r="B61" i="9"/>
  <c r="E61" i="9" s="1"/>
  <c r="B62" i="9"/>
  <c r="E62" i="9" s="1"/>
  <c r="B63" i="9"/>
  <c r="E63" i="9" s="1"/>
  <c r="B64" i="9"/>
  <c r="E64" i="9" s="1"/>
  <c r="B65" i="9"/>
  <c r="E65" i="9" s="1"/>
  <c r="B66" i="9"/>
  <c r="E66" i="9" s="1"/>
  <c r="B67" i="9"/>
  <c r="E67" i="9" s="1"/>
  <c r="B68" i="9"/>
  <c r="E68" i="9" s="1"/>
  <c r="B69" i="9"/>
  <c r="E69" i="9" s="1"/>
  <c r="B70" i="9"/>
  <c r="E70" i="9" s="1"/>
  <c r="B71" i="9"/>
  <c r="E71" i="9" s="1"/>
  <c r="B72" i="9"/>
  <c r="E72" i="9" s="1"/>
  <c r="B73" i="9"/>
  <c r="E73" i="9" s="1"/>
  <c r="B74" i="9"/>
  <c r="E74" i="9" s="1"/>
  <c r="B75" i="9"/>
  <c r="E75" i="9" s="1"/>
  <c r="B76" i="9"/>
  <c r="E76" i="9" s="1"/>
  <c r="B77" i="9"/>
  <c r="E77" i="9" s="1"/>
  <c r="B78" i="9"/>
  <c r="E78" i="9" s="1"/>
  <c r="B79" i="9"/>
  <c r="E79" i="9" s="1"/>
  <c r="B80" i="9"/>
  <c r="E80" i="9" s="1"/>
  <c r="B81" i="9"/>
  <c r="E81" i="9" s="1"/>
  <c r="B82" i="9"/>
  <c r="E82" i="9" s="1"/>
  <c r="B83" i="9"/>
  <c r="E83" i="9" s="1"/>
  <c r="B84" i="9"/>
  <c r="E84" i="9" s="1"/>
  <c r="B85" i="9"/>
  <c r="E85" i="9" s="1"/>
  <c r="B86" i="9"/>
  <c r="E86" i="9" s="1"/>
  <c r="B87" i="9"/>
  <c r="E87" i="9" s="1"/>
  <c r="B88" i="9"/>
  <c r="E88" i="9" s="1"/>
  <c r="B89" i="9"/>
  <c r="E89" i="9" s="1"/>
  <c r="B90" i="9"/>
  <c r="E90" i="9" s="1"/>
  <c r="B91" i="9"/>
  <c r="E91" i="9" s="1"/>
  <c r="B92" i="9"/>
  <c r="E92" i="9" s="1"/>
  <c r="B93" i="9"/>
  <c r="E93" i="9" s="1"/>
  <c r="B94" i="9"/>
  <c r="E94" i="9" s="1"/>
  <c r="B95" i="9"/>
  <c r="E95" i="9" s="1"/>
  <c r="B96" i="9"/>
  <c r="E96" i="9" s="1"/>
  <c r="B97" i="9"/>
  <c r="E97" i="9" s="1"/>
  <c r="B98" i="9"/>
  <c r="E98" i="9" s="1"/>
  <c r="B99" i="9"/>
  <c r="E99" i="9" s="1"/>
  <c r="B100" i="9"/>
  <c r="E100" i="9" s="1"/>
  <c r="B101" i="9"/>
  <c r="E101" i="9" s="1"/>
  <c r="B102" i="9"/>
  <c r="E102" i="9" s="1"/>
  <c r="B103" i="9"/>
  <c r="E103" i="9" s="1"/>
  <c r="B104" i="9"/>
  <c r="E104" i="9" s="1"/>
  <c r="B105" i="9"/>
  <c r="E105" i="9" s="1"/>
  <c r="B106" i="9"/>
  <c r="E106" i="9" s="1"/>
  <c r="B107" i="9"/>
  <c r="E107" i="9" s="1"/>
  <c r="B108" i="9"/>
  <c r="E108" i="9" s="1"/>
  <c r="B109" i="9"/>
  <c r="E109" i="9" s="1"/>
  <c r="B110" i="9"/>
  <c r="E110" i="9" s="1"/>
  <c r="B111" i="9"/>
  <c r="E111" i="9" s="1"/>
  <c r="B112" i="9"/>
  <c r="E112" i="9" s="1"/>
  <c r="B113" i="9"/>
  <c r="E113" i="9" s="1"/>
  <c r="B114" i="9"/>
  <c r="E114" i="9" s="1"/>
  <c r="B115" i="9"/>
  <c r="E115" i="9" s="1"/>
  <c r="B116" i="9"/>
  <c r="E116" i="9" s="1"/>
  <c r="B37" i="9"/>
  <c r="E37" i="9" s="1"/>
  <c r="P11" i="9"/>
  <c r="H39" i="4"/>
  <c r="B10" i="16"/>
  <c r="A6" i="16"/>
  <c r="B6" i="16"/>
  <c r="B7" i="16" s="1"/>
  <c r="A7" i="16" l="1"/>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E4" i="2"/>
  <c r="K4" i="2" s="1"/>
  <c r="E5" i="2"/>
  <c r="K5" i="2" s="1"/>
  <c r="E6" i="2"/>
  <c r="K6" i="2" s="1"/>
  <c r="E7" i="2"/>
  <c r="K7" i="2" s="1"/>
  <c r="D3" i="2"/>
  <c r="D4" i="2"/>
  <c r="J4" i="2" s="1"/>
  <c r="D5" i="2"/>
  <c r="J5" i="2" s="1"/>
  <c r="D7" i="2"/>
  <c r="J7" i="2" s="1"/>
  <c r="D2" i="2"/>
  <c r="J2" i="2" s="1"/>
  <c r="D9" i="2"/>
  <c r="H9" i="2" s="1"/>
  <c r="E9" i="2"/>
  <c r="C9" i="2"/>
  <c r="B9" i="2"/>
  <c r="U6" i="6"/>
  <c r="I87" i="7" l="1"/>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R11" i="9"/>
  <c r="T11" i="9" s="1"/>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Q11" i="9"/>
  <c r="S11" i="9"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B21" i="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F51" i="4"/>
  <c r="G51" i="4" s="1"/>
  <c r="H51" i="4" s="1"/>
  <c r="F63" i="4"/>
  <c r="G63" i="4" s="1"/>
  <c r="D21" i="4" s="1"/>
  <c r="D22" i="4" s="1"/>
  <c r="F56" i="4"/>
  <c r="G56" i="4" s="1"/>
  <c r="H56" i="4" s="1"/>
  <c r="H75" i="4"/>
  <c r="G20" i="4"/>
  <c r="J75" i="4"/>
  <c r="F54" i="4"/>
  <c r="G54" i="4" s="1"/>
  <c r="H54" i="4" s="1"/>
  <c r="F66" i="4"/>
  <c r="G66" i="4" s="1"/>
  <c r="H66" i="4" s="1"/>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H102" i="4" l="1"/>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E68" i="4"/>
  <c r="F52" i="4"/>
  <c r="G52" i="4" s="1"/>
  <c r="F93" i="4"/>
  <c r="G93" i="4" s="1"/>
  <c r="J93" i="4" s="1"/>
  <c r="C65" i="4"/>
  <c r="D65" i="4"/>
  <c r="E65" i="4"/>
  <c r="C68" i="4" l="1"/>
  <c r="H52" i="4"/>
  <c r="F55" i="4"/>
  <c r="G55" i="4" s="1"/>
  <c r="J55" i="4" s="1"/>
  <c r="F89" i="4"/>
  <c r="C16" i="4" s="1"/>
  <c r="F69" i="4"/>
  <c r="G69" i="4" s="1"/>
  <c r="H69" i="4" s="1"/>
  <c r="F59" i="4"/>
  <c r="G59" i="4" s="1"/>
  <c r="C84" i="4" s="1"/>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E84" i="4"/>
  <c r="H55" i="4" l="1"/>
  <c r="H59" i="4"/>
  <c r="H103" i="4"/>
  <c r="D84" i="4"/>
  <c r="J59" i="4"/>
  <c r="C61" i="4"/>
  <c r="G89" i="4"/>
  <c r="H89" i="4" s="1"/>
  <c r="J101" i="4"/>
  <c r="E20" i="4"/>
  <c r="J69" i="4"/>
  <c r="D104" i="4"/>
  <c r="J60" i="4"/>
  <c r="E104" i="4"/>
  <c r="C104" i="4"/>
  <c r="E61" i="4"/>
  <c r="E21" i="4"/>
  <c r="E22" i="4" s="1"/>
  <c r="D71" i="4" s="1"/>
  <c r="J70" i="4"/>
  <c r="D61" i="4"/>
  <c r="H74" i="4"/>
  <c r="J64" i="4"/>
  <c r="D20" i="4"/>
  <c r="F84" i="4"/>
  <c r="G84" i="4" s="1"/>
  <c r="J84" i="4" s="1"/>
  <c r="E81" i="4"/>
  <c r="C81" i="4"/>
  <c r="H65" i="4"/>
  <c r="F82" i="4"/>
  <c r="G82" i="4" s="1"/>
  <c r="H82" i="4" s="1"/>
  <c r="J68" i="4"/>
  <c r="D80" i="4"/>
  <c r="C80" i="4"/>
  <c r="E80" i="4"/>
  <c r="D81" i="4"/>
  <c r="J89" i="4" l="1"/>
  <c r="F104" i="4"/>
  <c r="G104" i="4" s="1"/>
  <c r="J104" i="4" s="1"/>
  <c r="F61" i="4"/>
  <c r="G61" i="4" s="1"/>
  <c r="H61" i="4" s="1"/>
  <c r="C71" i="4"/>
  <c r="E71" i="4"/>
  <c r="F81" i="4"/>
  <c r="G81" i="4" s="1"/>
  <c r="J81" i="4" s="1"/>
  <c r="H84" i="4"/>
  <c r="J82" i="4"/>
  <c r="J61" i="4"/>
  <c r="F80" i="4"/>
  <c r="G80" i="4" s="1"/>
  <c r="E79" i="4" l="1"/>
  <c r="C79" i="4"/>
  <c r="D67" i="4"/>
  <c r="H104" i="4"/>
  <c r="E67" i="4"/>
  <c r="C67" i="4"/>
  <c r="F67" i="4" s="1"/>
  <c r="G67" i="4" s="1"/>
  <c r="H67" i="4" s="1"/>
  <c r="D79" i="4"/>
  <c r="E94" i="4"/>
  <c r="D94" i="4"/>
  <c r="C94" i="4"/>
  <c r="F71" i="4"/>
  <c r="G71" i="4" s="1"/>
  <c r="J71" i="4" s="1"/>
  <c r="E105" i="4"/>
  <c r="H81" i="4"/>
  <c r="H80" i="4"/>
  <c r="C45" i="4"/>
  <c r="E45" i="4"/>
  <c r="J80" i="4"/>
  <c r="C105" i="4"/>
  <c r="D105" i="4"/>
  <c r="F79" i="4" l="1"/>
  <c r="G79" i="4" s="1"/>
  <c r="H79" i="4" s="1"/>
  <c r="D83" i="4"/>
  <c r="E83" i="4"/>
  <c r="C83" i="4"/>
  <c r="F94" i="4"/>
  <c r="G94" i="4" s="1"/>
  <c r="J94" i="4" s="1"/>
  <c r="H71" i="4"/>
  <c r="F45" i="4"/>
  <c r="G45" i="4" s="1"/>
  <c r="J67" i="4"/>
  <c r="B20" i="4"/>
  <c r="F105" i="4"/>
  <c r="G105" i="4" s="1"/>
  <c r="H105" i="4" s="1"/>
  <c r="J79" i="4"/>
  <c r="E91" i="4" l="1"/>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<sst xmlns="http://schemas.openxmlformats.org/spreadsheetml/2006/main" count="970" uniqueCount="596">
  <si>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</si>
  <si>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</si>
  <si>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</si>
  <si>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</si>
  <si>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</si>
  <si>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</si>
  <si>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</si>
  <si>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</si>
  <si>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</si>
  <si>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</si>
  <si>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</si>
  <si>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</si>
  <si>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</si>
  <si>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</si>
  <si>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</si>
  <si>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</si>
  <si>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</si>
  <si>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</si>
  <si>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</si>
  <si>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</si>
  <si>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</si>
  <si>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</si>
  <si>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</si>
  <si>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</si>
  <si>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</si>
  <si>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</si>
  <si>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</si>
  <si>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</si>
  <si>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4.3/5.1</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</si>
  <si>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</si>
  <si>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</si>
  <si>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</si>
  <si>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</si>
  <si>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</si>
  <si>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</si>
  <si>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</si>
  <si>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</si>
  <si>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</si>
  <si>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</si>
  <si>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</si>
  <si>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</si>
  <si>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</si>
  <si>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</si>
  <si>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</si>
  <si>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</si>
  <si>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</si>
  <si>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</si>
  <si>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</si>
  <si>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</si>
  <si>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</si>
  <si>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</si>
  <si>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</si>
  <si>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</si>
  <si>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</si>
  <si>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</si>
  <si>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</si>
  <si>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</si>
  <si>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</si>
  <si>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</si>
  <si>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</si>
  <si>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</si>
  <si>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</si>
  <si>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</si>
  <si>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</si>
  <si>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</si>
  <si>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</si>
  <si>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</si>
  <si>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</si>
  <si>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</si>
  <si>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</si>
  <si>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</si>
  <si>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</si>
  <si>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</si>
  <si>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</si>
  <si>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</si>
  <si>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</si>
  <si>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</si>
  <si>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</si>
  <si>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</si>
  <si>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</si>
  <si>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</si>
  <si>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</si>
  <si>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</si>
  <si>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</si>
  <si>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</si>
  <si>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</si>
  <si>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</si>
  <si>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</si>
  <si>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</si>
  <si>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</si>
  <si>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</si>
  <si>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</si>
  <si>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</si>
  <si>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</si>
  <si>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</si>
  <si>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</si>
  <si>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</si>
  <si>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</si>
  <si>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</si>
  <si>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</si>
  <si>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</si>
  <si>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</si>
  <si>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</si>
  <si>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</si>
  <si>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</si>
  <si>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</si>
  <si>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</si>
  <si>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</si>
  <si>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</si>
  <si>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</si>
  <si>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</si>
  <si>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</si>
  <si>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</si>
  <si>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</si>
  <si>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</si>
  <si>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</si>
  <si>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</si>
  <si>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</si>
  <si>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</si>
  <si>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</si>
  <si>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</si>
  <si>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</si>
  <si>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</si>
  <si>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</si>
  <si>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</si>
  <si>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</si>
  <si>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</si>
  <si>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</si>
  <si>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</si>
  <si>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</si>
  <si>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</si>
  <si>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</si>
  <si>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</si>
  <si>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</si>
  <si>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</si>
  <si>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</si>
  <si>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</si>
  <si>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</si>
  <si>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</si>
  <si>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</si>
  <si>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</si>
  <si>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</si>
  <si>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</si>
  <si>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</si>
  <si>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</si>
  <si>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</si>
  <si>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</si>
  <si>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</si>
  <si>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</si>
  <si>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</si>
  <si>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</si>
  <si>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</si>
  <si>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</si>
  <si>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</si>
  <si>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</si>
  <si>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</si>
  <si>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</si>
  <si>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</si>
  <si>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</si>
  <si>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</si>
  <si>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</si>
  <si>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</si>
  <si>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</si>
  <si>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</si>
  <si>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</si>
  <si>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</si>
  <si>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</si>
  <si>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</si>
  <si>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</si>
  <si>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</si>
  <si>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</si>
  <si>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</si>
  <si>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</si>
  <si>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</si>
  <si>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</si>
  <si>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</si>
  <si>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</si>
  <si>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</si>
  <si>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</si>
  <si>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</si>
  <si>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</si>
  <si>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</si>
  <si>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</si>
  <si>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</si>
  <si>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</si>
  <si>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</si>
  <si>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</si>
  <si>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</si>
  <si>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</si>
  <si>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</si>
  <si>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</si>
  <si>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</si>
  <si>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</si>
  <si>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</si>
  <si>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</si>
  <si>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</si>
  <si>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</si>
  <si>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</si>
  <si>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</si>
  <si>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</si>
  <si>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</si>
  <si>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</si>
  <si>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</si>
  <si>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</si>
  <si>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</si>
  <si>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</si>
  <si>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</si>
  <si>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</si>
  <si>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</si>
  <si>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</si>
  <si>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</si>
  <si>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</si>
  <si>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</si>
  <si>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</si>
  <si>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</si>
  <si>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</si>
  <si>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</si>
  <si>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</si>
  <si>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</si>
  <si>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</si>
  <si>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</si>
  <si>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</si>
  <si>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</si>
  <si>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</si>
  <si>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</si>
  <si>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</si>
  <si>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</si>
  <si>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</si>
  <si>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</si>
  <si>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</si>
  <si>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</si>
  <si>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</si>
  <si>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</si>
  <si>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</si>
  <si>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</si>
  <si>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</si>
  <si>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</si>
  <si>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</si>
  <si>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</si>
  <si>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</si>
  <si>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</si>
  <si>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</si>
  <si>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</si>
  <si>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</si>
  <si>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</si>
  <si>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</si>
  <si>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</si>
  <si>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</si>
  <si>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</si>
  <si>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</si>
  <si>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</si>
  <si>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</si>
  <si>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</si>
  <si>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</si>
  <si>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</si>
  <si>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</si>
  <si>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</si>
  <si>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</si>
  <si>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</si>
  <si>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</si>
  <si>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</si>
  <si>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</si>
  <si>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</si>
  <si>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</si>
  <si>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</si>
  <si>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</si>
  <si>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</si>
  <si>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</si>
  <si>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</si>
  <si>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</si>
  <si>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</si>
  <si>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</si>
  <si>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</si>
  <si>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持续接收系数增长（暖机）需求：射线强度&gt;75%</t>
  </si>
  <si>
    <t>接收站透镜加成系数公式：</t>
  </si>
  <si>
    <t>电离层（大气圈）有效半径：R=r+h*0.6</t>
  </si>
  <si>
    <t>全球全攻率接受最低壳轨半径比</t>
    <phoneticPr fontId="1" type="noConversion"/>
  </si>
  <si>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</si>
  <si>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</si>
  <si>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</si>
  <si>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</si>
  <si>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</si>
  <si>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</si>
  <si>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</si>
  <si>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</si>
  <si>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</si>
  <si>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</si>
  <si>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</si>
  <si>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</si>
  <si>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</si>
  <si>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</si>
  <si>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</si>
  <si>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</si>
  <si>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</si>
  <si>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</si>
  <si>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</si>
  <si>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</si>
  <si>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</si>
  <si>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</si>
  <si>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</si>
  <si>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</si>
  <si>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</si>
  <si>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</si>
  <si>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</si>
  <si>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</si>
  <si>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</si>
  <si>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</si>
  <si>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</si>
  <si>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</si>
  <si>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</si>
  <si>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</si>
  <si>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</si>
  <si>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</si>
  <si>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</si>
  <si>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</si>
  <si>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</si>
  <si>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</si>
  <si>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</si>
  <si>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</si>
  <si>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</si>
  <si>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</si>
  <si>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</si>
  <si>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</si>
  <si>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</si>
  <si>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</si>
  <si>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</si>
  <si>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</si>
  <si>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</si>
  <si>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</si>
  <si>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</si>
  <si>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</si>
  <si>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</si>
  <si>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</si>
  <si>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</si>
  <si>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</si>
  <si>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</si>
  <si>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</si>
  <si>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</si>
  <si>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</si>
  <si>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</si>
  <si>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</si>
  <si>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</si>
  <si>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(注：所谓目前情况指得是所有物流塔高度都在星球表面，按星球半径200m、物流塔高度25m计算，即S=225*θ)</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</si>
  <si>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</si>
  <si>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</si>
  <si>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</si>
  <si>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</si>
  <si>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</si>
  <si>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</si>
  <si>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</si>
  <si>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</si>
  <si>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</si>
  <si>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</si>
  <si>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电力测算：</t>
    <phoneticPr fontId="1" type="noConversion"/>
  </si>
  <si>
    <t>距离</t>
    <phoneticPr fontId="1" type="noConversion"/>
  </si>
  <si>
    <t>电力(&lt;2.4</t>
    <phoneticPr fontId="1" type="noConversion"/>
  </si>
  <si>
    <t>电力&gt;2.4</t>
    <phoneticPr fontId="1" type="noConversion"/>
  </si>
  <si>
    <t>开曲速</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</si>
  <si>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</si>
  <si>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</si>
  <si>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</si>
  <si>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</si>
  <si>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</si>
  <si>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</si>
  <si>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</si>
  <si>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</si>
  <si>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</si>
  <si>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</si>
  <si>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</si>
  <si>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</si>
  <si>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</si>
  <si>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</si>
  <si>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</si>
  <si>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</si>
  <si>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</si>
  <si>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</si>
  <si>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</si>
  <si>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</si>
  <si>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</si>
  <si>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</si>
  <si>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</si>
  <si>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</si>
  <si>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</si>
  <si>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</si>
  <si>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</si>
  <si>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</si>
  <si>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</si>
  <si>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</si>
  <si>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</si>
  <si>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</si>
  <si>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</si>
  <si>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</si>
  <si>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</si>
  <si>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</si>
  <si>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</si>
  <si>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</si>
  <si>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</si>
  <si>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</si>
  <si>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</si>
  <si>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</si>
  <si>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</si>
  <si>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</si>
  <si>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</si>
  <si>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</si>
  <si>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</si>
  <si>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</si>
  <si>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</si>
  <si>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</si>
  <si>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</si>
  <si>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</si>
  <si>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</si>
  <si>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</si>
  <si>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</si>
  <si>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</si>
  <si>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</si>
  <si>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</si>
  <si>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</si>
  <si>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</si>
  <si>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</si>
  <si>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</si>
  <si>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</si>
  <si>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</si>
  <si>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</si>
  <si>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</si>
  <si>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</si>
  <si>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</si>
  <si>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</si>
  <si>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</si>
  <si>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</si>
  <si>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</si>
  <si>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</si>
  <si>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</si>
  <si>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</si>
  <si>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</si>
  <si>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</si>
  <si>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</si>
  <si>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</si>
  <si>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</si>
  <si>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</si>
  <si>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</si>
  <si>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</si>
  <si>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</si>
  <si>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</si>
  <si>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</si>
  <si>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</si>
  <si>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</si>
  <si>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</si>
  <si>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</si>
  <si>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</si>
  <si>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</si>
  <si>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</si>
  <si>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</si>
  <si>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</si>
  <si>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</si>
  <si>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</si>
  <si>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</si>
  <si>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</si>
  <si>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</si>
  <si>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</si>
  <si>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</si>
  <si>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</si>
  <si>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</si>
  <si>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</si>
  <si>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</si>
  <si>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</si>
  <si>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</si>
  <si>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</si>
  <si>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</si>
  <si>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</si>
  <si>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</si>
  <si>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</si>
  <si>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</si>
  <si>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</si>
  <si>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</si>
  <si>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</si>
  <si>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</si>
  <si>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</si>
  <si>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</si>
  <si>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</si>
  <si>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</si>
  <si>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</si>
  <si>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</si>
  <si>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</si>
  <si>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</si>
  <si>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</si>
  <si>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</si>
  <si>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</si>
  <si>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</si>
  <si>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</si>
  <si>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</si>
  <si>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</si>
  <si>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</si>
  <si>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</si>
  <si>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</si>
  <si>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</si>
  <si>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</si>
  <si>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</si>
  <si>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</si>
  <si>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</si>
  <si>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</si>
  <si>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</si>
  <si>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</si>
  <si>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</si>
  <si>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</si>
  <si>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</si>
  <si>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</si>
  <si>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</si>
  <si>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</si>
  <si>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</si>
  <si>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</si>
  <si>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顺道一提，物流塔充电效率 = 最大充电功率*min{(1.05-当前能量/最大能量),1}</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</si>
  <si>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</si>
  <si>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</si>
  <si>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</si>
  <si>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</si>
  <si>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</si>
  <si>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</si>
  <si>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</si>
  <si>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</si>
  <si>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</si>
  <si>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</si>
  <si>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</si>
  <si>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</si>
  <si>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</si>
  <si>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</si>
  <si>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</si>
  <si>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</si>
  <si>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</si>
  <si>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</si>
  <si>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</si>
  <si>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</si>
  <si>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</si>
  <si>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</si>
  <si>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</si>
  <si>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</si>
  <si>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</si>
  <si>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</si>
  <si>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</si>
  <si>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</si>
  <si>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</si>
  <si>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</si>
  <si>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</si>
  <si>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球均太阳能效率               = (cos$A$6 +(2-cos$A$6-cos$B$6)/(-$A$6-$B$6)* (∫_{-$A$6}^{-$B$6}(2.5*sinx+0.857244491577148)*cosxdx))/2</t>
    <phoneticPr fontId="1" type="noConversion"/>
  </si>
  <si>
    <t>角度制</t>
    <phoneticPr fontId="1" type="noConversion"/>
  </si>
  <si>
    <t>弧度制</t>
    <phoneticPr fontId="1" type="noConversion"/>
  </si>
  <si>
    <t>挖矿效率与耗电成正比</t>
    <phoneticPr fontId="1" type="noConversion"/>
  </si>
  <si>
    <t>如果有不同运输等级小飞机起降时间的关系就可以算在某一距离某一物流科技某一采矿科技的情况下提升矿物利用和飞船引擎哪个对开矿速度的提升更高，但是目前还没看没测</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</si>
  <si>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</si>
  <si>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</si>
  <si>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</si>
  <si>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</si>
  <si>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</si>
  <si>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</si>
  <si>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</si>
  <si>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</si>
  <si>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</si>
  <si>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</si>
  <si>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</si>
  <si>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</si>
  <si>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</si>
  <si>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</si>
  <si>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</si>
  <si>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</si>
  <si>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</si>
  <si>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</si>
  <si>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</si>
  <si>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</si>
  <si>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</si>
  <si>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</si>
  <si>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</si>
  <si>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</si>
  <si>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</si>
  <si>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</si>
  <si>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</si>
  <si>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</si>
  <si>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</si>
  <si>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</si>
  <si>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</si>
  <si>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</si>
  <si>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</si>
  <si>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</si>
  <si>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</si>
  <si>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</si>
  <si>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</si>
  <si>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</si>
  <si>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这里输入距离↑</t>
    <phoneticPr fontId="1" type="noConversion"/>
  </si>
  <si>
    <t>2.4au外耗电结果看这↑</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</si>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</sst>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8"/>
      <color theme="1"/>
      <name val="等线"/>
      <family val="2"/>
      <charset val="134"/>
      <scheme val="minor"/>
    </font>
    <font>
      <sz val="18"/>
      <color theme="1"/>
      <name val="等线"/>
      <family val="3"/>
      <charset val="134"/>
      <scheme val="minor"/>
    </font>
    <font>
      <sz val="22"/>
      <color theme="1"/>
      <name val="等线"/>
      <family val="2"/>
      <charset val="134"/>
      <scheme val="minor"/>
    </font>
    <font>
      <sz val="22"/>
      <color theme="1"/>
      <name val="等线"/>
      <family val="3"/>
      <charset val="134"/>
      <scheme val="minor"/>
    </font>
    <font>
      <sz val="11"/>
      <color rgb="FFFF0000"/>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32">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12" fillId="0" borderId="0" xfId="0" applyFont="1">
      <alignment vertical="center"/>
    </xf>
    <xf numFmtId="0" fontId="13" fillId="0" borderId="0" xfId="0" applyFont="1">
      <alignment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cellXfs>
  <cellStyles count="1">
    <cellStyle name="常规" xfId="0" builtinId="0"/>
  </cellStyles>
  <dxfs count="35">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3C4B0-B6B9-4153-B986-06D015D58B51}">
  <dimension ref="A1:H21"/>
  <sheetViews>
    <sheetView workbookViewId="0">
      <selection activeCell="A21" sqref="A21"/>
    </sheetView>
  </sheetViews>
  <sheetFormatPr defaultRowHeight="14.25" x14ac:dyDescent="0.2"/>
  <cols>
    <col min="1" max="1" width="24.87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250</v>
      </c>
      <c r="C1" t="s">
        <v>251</v>
      </c>
      <c r="D1" t="s">
        <v>252</v>
      </c>
      <c r="E1" t="s">
        <v>253</v>
      </c>
      <c r="F1" t="s">
        <v>1</v>
      </c>
      <c r="G1" t="s">
        <v>254</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255</v>
      </c>
      <c r="B20">
        <f>SUM(G2:G13)*2</f>
        <v>325600</v>
      </c>
    </row>
    <row r="21" spans="1:2" x14ac:dyDescent="0.2">
      <c r="A21" t="s">
        <v>27</v>
      </c>
      <c r="B21">
        <f>SIN(F5*PI()/180)*B19</f>
        <v>288015.39608647348</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A6CCB-FFC0-4A63-8A36-9218F2D82D0C}">
  <dimension ref="A1:K33"/>
  <sheetViews>
    <sheetView workbookViewId="0">
      <selection activeCell="I29" sqref="I29"/>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2" t="s">
        <v>358</v>
      </c>
      <c r="B1" s="22"/>
      <c r="C1" s="22"/>
      <c r="D1" s="22"/>
      <c r="E1" s="22"/>
      <c r="F1" s="22"/>
      <c r="G1" s="22"/>
    </row>
    <row r="2" spans="1:11" x14ac:dyDescent="0.2">
      <c r="B2" s="22" t="s">
        <v>369</v>
      </c>
      <c r="C2" s="22"/>
      <c r="D2" s="22"/>
      <c r="E2" s="22"/>
      <c r="F2" s="22"/>
      <c r="G2" s="22"/>
      <c r="H2" s="22"/>
    </row>
    <row r="3" spans="1:11" x14ac:dyDescent="0.2">
      <c r="B3" s="22" t="s">
        <v>370</v>
      </c>
      <c r="C3" s="22"/>
      <c r="D3" s="22"/>
      <c r="E3" s="22"/>
      <c r="F3" s="22"/>
      <c r="G3" s="22"/>
      <c r="H3" s="22"/>
    </row>
    <row r="6" spans="1:11" x14ac:dyDescent="0.2">
      <c r="A6" t="s">
        <v>359</v>
      </c>
    </row>
    <row r="7" spans="1:11" x14ac:dyDescent="0.2">
      <c r="B7" s="22" t="s">
        <v>364</v>
      </c>
      <c r="C7" s="22"/>
      <c r="D7" s="22"/>
      <c r="E7" s="22"/>
      <c r="F7" s="22"/>
      <c r="G7" s="22"/>
      <c r="H7" s="22"/>
    </row>
    <row r="8" spans="1:11" x14ac:dyDescent="0.2">
      <c r="B8" s="22" t="s">
        <v>360</v>
      </c>
      <c r="C8" s="22"/>
      <c r="D8" s="22"/>
      <c r="E8" s="22"/>
      <c r="F8" s="22"/>
      <c r="G8" s="22"/>
      <c r="H8" s="22"/>
    </row>
    <row r="9" spans="1:11" x14ac:dyDescent="0.2">
      <c r="B9" s="22" t="s">
        <v>361</v>
      </c>
      <c r="C9" s="22"/>
      <c r="D9" s="22"/>
      <c r="E9" s="22"/>
      <c r="F9" s="22"/>
      <c r="G9" s="22"/>
      <c r="H9" s="22"/>
    </row>
    <row r="11" spans="1:11" x14ac:dyDescent="0.2">
      <c r="B11" s="22" t="s">
        <v>362</v>
      </c>
      <c r="C11" s="22"/>
      <c r="D11" s="22"/>
      <c r="E11" s="22"/>
      <c r="F11" s="22"/>
      <c r="G11" s="22"/>
      <c r="H11" s="22"/>
      <c r="I11" s="22"/>
      <c r="J11" s="22"/>
      <c r="K11" s="22"/>
    </row>
    <row r="12" spans="1:11" x14ac:dyDescent="0.2">
      <c r="C12" s="12" t="s">
        <v>363</v>
      </c>
    </row>
    <row r="13" spans="1:11" x14ac:dyDescent="0.2">
      <c r="B13" s="21" t="s">
        <v>365</v>
      </c>
      <c r="C13" s="21"/>
      <c r="D13" s="21"/>
      <c r="E13" s="21"/>
      <c r="F13" s="21"/>
      <c r="G13" s="21"/>
      <c r="H13" s="21"/>
    </row>
    <row r="17" spans="1:9" x14ac:dyDescent="0.2">
      <c r="A17" s="30" t="s">
        <v>366</v>
      </c>
      <c r="B17" s="30"/>
      <c r="C17" s="30"/>
      <c r="D17" s="30"/>
      <c r="E17" s="30"/>
      <c r="F17" s="30"/>
      <c r="G17" s="30"/>
      <c r="H17" s="30"/>
      <c r="I17" s="30"/>
    </row>
    <row r="18" spans="1:9" x14ac:dyDescent="0.2">
      <c r="A18" s="30"/>
      <c r="B18" s="30"/>
      <c r="C18" s="30"/>
      <c r="D18" s="30"/>
      <c r="E18" s="30"/>
      <c r="F18" s="30"/>
      <c r="G18" s="30"/>
      <c r="H18" s="30"/>
      <c r="I18" s="30"/>
    </row>
    <row r="19" spans="1:9" x14ac:dyDescent="0.2">
      <c r="B19" t="s">
        <v>368</v>
      </c>
      <c r="C19" s="21" t="s">
        <v>371</v>
      </c>
      <c r="D19" s="21"/>
      <c r="E19" s="21" t="s">
        <v>372</v>
      </c>
      <c r="F19" s="21"/>
    </row>
    <row r="20" spans="1:9" x14ac:dyDescent="0.2">
      <c r="A20" t="s">
        <v>367</v>
      </c>
      <c r="B20">
        <v>3.4</v>
      </c>
      <c r="C20" s="29">
        <v>0.87</v>
      </c>
      <c r="D20" s="29"/>
      <c r="E20" s="29">
        <v>0.46</v>
      </c>
      <c r="F20" s="29"/>
    </row>
    <row r="22" spans="1:9" x14ac:dyDescent="0.2">
      <c r="B22" t="s">
        <v>374</v>
      </c>
      <c r="C22" t="s">
        <v>138</v>
      </c>
      <c r="D22" t="s">
        <v>375</v>
      </c>
    </row>
    <row r="23" spans="1:9" x14ac:dyDescent="0.2">
      <c r="A23" t="s">
        <v>373</v>
      </c>
      <c r="B23">
        <v>9</v>
      </c>
      <c r="C23">
        <v>9</v>
      </c>
      <c r="D23">
        <v>4.8</v>
      </c>
    </row>
    <row r="26" spans="1:9" x14ac:dyDescent="0.2">
      <c r="A26" t="s">
        <v>384</v>
      </c>
      <c r="B26" s="21" t="s">
        <v>381</v>
      </c>
      <c r="C26" s="21"/>
      <c r="D26" s="21" t="s">
        <v>383</v>
      </c>
      <c r="E26" s="21"/>
      <c r="F26" t="s">
        <v>477</v>
      </c>
    </row>
    <row r="27" spans="1:9" x14ac:dyDescent="0.2">
      <c r="A27" t="s">
        <v>377</v>
      </c>
      <c r="B27" s="29">
        <f xml:space="preserve"> C20 * ( 8 * B20 - 30/(C20*B23+E20*C23))</f>
        <v>21.48354887218045</v>
      </c>
      <c r="C27" s="29"/>
      <c r="D27" s="29">
        <f xml:space="preserve"> E20 * ( 8 * B20 - 30/(C20*B23+E20*C23))</f>
        <v>11.359117794486215</v>
      </c>
      <c r="E27" s="29"/>
      <c r="G27">
        <f>40*B27</f>
        <v>859.34195488721798</v>
      </c>
      <c r="H27">
        <f>40*D27</f>
        <v>454.36471177944861</v>
      </c>
    </row>
    <row r="28" spans="1:9" x14ac:dyDescent="0.2">
      <c r="A28" t="s">
        <v>379</v>
      </c>
      <c r="B28" s="29">
        <f xml:space="preserve"> C20 * ( 8 * B20 - 30/(C20*B23+E20*D23))</f>
        <v>21.063880454273761</v>
      </c>
      <c r="C28" s="29"/>
      <c r="D28" s="29">
        <f xml:space="preserve"> E20 * ( 8 * B20 - 30/(C20*B23+E20*D23))</f>
        <v>11.137224148236701</v>
      </c>
      <c r="E28" s="29"/>
      <c r="G28">
        <f>40*B28</f>
        <v>842.55521817095041</v>
      </c>
      <c r="H28">
        <f>40*D28</f>
        <v>445.48896592946801</v>
      </c>
    </row>
    <row r="31" spans="1:9" x14ac:dyDescent="0.2">
      <c r="A31" t="s">
        <v>385</v>
      </c>
      <c r="B31" s="21" t="s">
        <v>380</v>
      </c>
      <c r="C31" s="21"/>
      <c r="D31" s="21" t="s">
        <v>382</v>
      </c>
      <c r="E31" s="21"/>
    </row>
    <row r="32" spans="1:9" x14ac:dyDescent="0.2">
      <c r="A32" t="s">
        <v>376</v>
      </c>
      <c r="B32" s="29">
        <f>60*B27</f>
        <v>1289.012932330827</v>
      </c>
      <c r="C32" s="29"/>
      <c r="D32" s="29">
        <f>60*D27</f>
        <v>681.54706766917286</v>
      </c>
      <c r="E32" s="29"/>
      <c r="G32">
        <f>40*B32</f>
        <v>51560.517293233075</v>
      </c>
      <c r="H32">
        <f>40*D32</f>
        <v>27261.882706766915</v>
      </c>
    </row>
    <row r="33" spans="1:8" x14ac:dyDescent="0.2">
      <c r="A33" t="s">
        <v>378</v>
      </c>
      <c r="B33" s="29">
        <f>60*B28</f>
        <v>1263.8328272564256</v>
      </c>
      <c r="C33" s="29"/>
      <c r="D33" s="29">
        <f>60*D28</f>
        <v>668.23344889420207</v>
      </c>
      <c r="E33" s="29"/>
      <c r="G33">
        <f>40*B33</f>
        <v>50553.313090257026</v>
      </c>
      <c r="H33">
        <f>40*D33</f>
        <v>26729.337955768082</v>
      </c>
    </row>
  </sheetData>
  <mergeCells count="25">
    <mergeCell ref="D26:E26"/>
    <mergeCell ref="B32:C32"/>
    <mergeCell ref="D32:E32"/>
    <mergeCell ref="B33:C33"/>
    <mergeCell ref="D33:E33"/>
    <mergeCell ref="D28:E28"/>
    <mergeCell ref="B28:C28"/>
    <mergeCell ref="B31:C31"/>
    <mergeCell ref="D31:E31"/>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3D58A-4E1D-43E6-8B65-494F2B8922D0}">
  <dimension ref="A1:N15"/>
  <sheetViews>
    <sheetView workbookViewId="0">
      <selection activeCell="Q19" sqref="Q19"/>
    </sheetView>
  </sheetViews>
  <sheetFormatPr defaultRowHeight="14.25" x14ac:dyDescent="0.2"/>
  <sheetData>
    <row r="1" spans="1:14" x14ac:dyDescent="0.2">
      <c r="B1" t="s">
        <v>387</v>
      </c>
      <c r="C1" t="s">
        <v>388</v>
      </c>
      <c r="D1" t="s">
        <v>397</v>
      </c>
    </row>
    <row r="2" spans="1:14" x14ac:dyDescent="0.2">
      <c r="A2" t="s">
        <v>389</v>
      </c>
      <c r="B2">
        <v>0.52</v>
      </c>
      <c r="C2">
        <v>0.23300000000000001</v>
      </c>
      <c r="D2">
        <f>B2-C2</f>
        <v>0.28700000000000003</v>
      </c>
    </row>
    <row r="3" spans="1:14" x14ac:dyDescent="0.2">
      <c r="A3" t="s">
        <v>390</v>
      </c>
      <c r="B3">
        <v>1E-3</v>
      </c>
      <c r="C3">
        <v>1E-3</v>
      </c>
      <c r="D3">
        <f t="shared" ref="D3:D10" si="0">B3-C3</f>
        <v>0</v>
      </c>
    </row>
    <row r="4" spans="1:14" x14ac:dyDescent="0.2">
      <c r="A4" t="s">
        <v>391</v>
      </c>
      <c r="B4">
        <v>0.76400000000000001</v>
      </c>
      <c r="C4">
        <v>0.501</v>
      </c>
      <c r="D4">
        <f t="shared" si="0"/>
        <v>0.26300000000000001</v>
      </c>
    </row>
    <row r="5" spans="1:14" x14ac:dyDescent="0.2">
      <c r="A5" t="s">
        <v>392</v>
      </c>
      <c r="B5">
        <v>0.17799999999999999</v>
      </c>
      <c r="C5">
        <v>0.251</v>
      </c>
      <c r="D5">
        <f t="shared" si="0"/>
        <v>-7.3000000000000009E-2</v>
      </c>
    </row>
    <row r="6" spans="1:14" x14ac:dyDescent="0.2">
      <c r="A6" t="s">
        <v>393</v>
      </c>
      <c r="B6">
        <v>0.47099999999999997</v>
      </c>
      <c r="C6">
        <v>0.61899999999999999</v>
      </c>
      <c r="D6">
        <f t="shared" si="0"/>
        <v>-0.14800000000000002</v>
      </c>
    </row>
    <row r="7" spans="1:14" x14ac:dyDescent="0.2">
      <c r="A7" t="s">
        <v>394</v>
      </c>
      <c r="B7">
        <v>0.64</v>
      </c>
      <c r="C7">
        <v>0.54500000000000004</v>
      </c>
      <c r="D7">
        <f t="shared" si="0"/>
        <v>9.4999999999999973E-2</v>
      </c>
    </row>
    <row r="8" spans="1:14" x14ac:dyDescent="0.2">
      <c r="A8" t="s">
        <v>395</v>
      </c>
      <c r="B8">
        <v>2.1999999999999999E-2</v>
      </c>
      <c r="C8">
        <v>4.8000000000000001E-2</v>
      </c>
      <c r="D8">
        <f t="shared" si="0"/>
        <v>-2.6000000000000002E-2</v>
      </c>
    </row>
    <row r="9" spans="1:14" x14ac:dyDescent="0.2">
      <c r="A9" t="s">
        <v>396</v>
      </c>
      <c r="B9">
        <v>0.161</v>
      </c>
      <c r="C9">
        <v>0.21</v>
      </c>
      <c r="D9">
        <f t="shared" si="0"/>
        <v>-4.8999999999999988E-2</v>
      </c>
    </row>
    <row r="10" spans="1:14" x14ac:dyDescent="0.2">
      <c r="A10" t="s">
        <v>398</v>
      </c>
      <c r="B10">
        <f>SUM(B2:B9)</f>
        <v>2.7570000000000001</v>
      </c>
      <c r="C10">
        <f>SUM(C2:C9)</f>
        <v>2.4079999999999999</v>
      </c>
      <c r="D10">
        <f t="shared" si="0"/>
        <v>0.3490000000000002</v>
      </c>
    </row>
    <row r="12" spans="1:14" x14ac:dyDescent="0.2">
      <c r="A12" s="21" t="s">
        <v>399</v>
      </c>
      <c r="B12" s="21"/>
      <c r="C12" s="21"/>
      <c r="D12" s="21"/>
      <c r="E12" s="21"/>
      <c r="F12" s="21"/>
      <c r="G12" s="21"/>
    </row>
    <row r="13" spans="1:14" ht="14.25" customHeight="1" x14ac:dyDescent="0.2">
      <c r="B13" s="31" t="s">
        <v>400</v>
      </c>
      <c r="C13" s="31"/>
      <c r="D13" s="31"/>
      <c r="E13" s="31"/>
      <c r="F13" s="31"/>
      <c r="G13" s="31"/>
      <c r="H13" s="31"/>
      <c r="I13" s="31"/>
      <c r="J13" s="31"/>
      <c r="K13" s="31"/>
      <c r="L13" s="31"/>
      <c r="M13" s="31"/>
      <c r="N13" s="31"/>
    </row>
    <row r="14" spans="1:14" x14ac:dyDescent="0.2">
      <c r="B14" s="31"/>
      <c r="C14" s="31"/>
      <c r="D14" s="31"/>
      <c r="E14" s="31"/>
      <c r="F14" s="31"/>
      <c r="G14" s="31"/>
      <c r="H14" s="31"/>
      <c r="I14" s="31"/>
      <c r="J14" s="31"/>
      <c r="K14" s="31"/>
      <c r="L14" s="31"/>
      <c r="M14" s="31"/>
      <c r="N14" s="31"/>
    </row>
    <row r="15" spans="1:14" x14ac:dyDescent="0.2">
      <c r="B15" s="31"/>
      <c r="C15" s="31"/>
      <c r="D15" s="31"/>
      <c r="E15" s="31"/>
      <c r="F15" s="31"/>
      <c r="G15" s="31"/>
      <c r="H15" s="31"/>
      <c r="I15" s="31"/>
      <c r="J15" s="31"/>
      <c r="K15" s="31"/>
      <c r="L15" s="31"/>
      <c r="M15" s="31"/>
      <c r="N15" s="31"/>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85A81-7EAE-4A55-AC00-CC73722F972F}">
  <dimension ref="A1:Q83"/>
  <sheetViews>
    <sheetView topLeftCell="A52" workbookViewId="0">
      <selection activeCell="F74" sqref="F74"/>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588</v>
      </c>
      <c r="B1" t="s">
        <v>444</v>
      </c>
      <c r="C1" t="s">
        <v>37</v>
      </c>
      <c r="D1" t="s">
        <v>39</v>
      </c>
      <c r="E1" t="s">
        <v>51</v>
      </c>
      <c r="F1" t="s">
        <v>64</v>
      </c>
      <c r="G1" t="s">
        <v>66</v>
      </c>
      <c r="H1" t="s">
        <v>402</v>
      </c>
      <c r="I1" t="s">
        <v>403</v>
      </c>
      <c r="J1" t="s">
        <v>404</v>
      </c>
      <c r="K1" t="s">
        <v>405</v>
      </c>
      <c r="L1" t="s">
        <v>406</v>
      </c>
      <c r="M1" t="s">
        <v>407</v>
      </c>
      <c r="N1" t="s">
        <v>408</v>
      </c>
      <c r="O1" t="s">
        <v>589</v>
      </c>
    </row>
    <row r="2" spans="1:17" x14ac:dyDescent="0.2">
      <c r="A2" t="s">
        <v>401</v>
      </c>
      <c r="E2">
        <v>10</v>
      </c>
    </row>
    <row r="3" spans="1:17" x14ac:dyDescent="0.2">
      <c r="A3" t="s">
        <v>81</v>
      </c>
      <c r="E3">
        <v>10</v>
      </c>
      <c r="G3">
        <v>10</v>
      </c>
      <c r="O3" t="s">
        <v>401</v>
      </c>
    </row>
    <row r="4" spans="1:17" x14ac:dyDescent="0.2">
      <c r="A4" t="s">
        <v>415</v>
      </c>
      <c r="I4">
        <v>200</v>
      </c>
      <c r="O4" t="s">
        <v>81</v>
      </c>
    </row>
    <row r="5" spans="1:17" x14ac:dyDescent="0.2">
      <c r="A5" t="s">
        <v>416</v>
      </c>
      <c r="I5">
        <v>200</v>
      </c>
      <c r="J5">
        <v>200</v>
      </c>
      <c r="O5" t="s">
        <v>415</v>
      </c>
      <c r="P5" t="s">
        <v>423</v>
      </c>
      <c r="Q5" t="s">
        <v>409</v>
      </c>
    </row>
    <row r="6" spans="1:17" x14ac:dyDescent="0.2">
      <c r="A6" t="s">
        <v>417</v>
      </c>
      <c r="I6">
        <v>300</v>
      </c>
      <c r="J6">
        <v>300</v>
      </c>
      <c r="O6" t="s">
        <v>416</v>
      </c>
      <c r="P6" t="s">
        <v>425</v>
      </c>
    </row>
    <row r="7" spans="1:17" x14ac:dyDescent="0.2">
      <c r="A7" t="s">
        <v>124</v>
      </c>
      <c r="I7">
        <v>600</v>
      </c>
      <c r="J7">
        <v>600</v>
      </c>
      <c r="O7" t="s">
        <v>417</v>
      </c>
    </row>
    <row r="8" spans="1:17" x14ac:dyDescent="0.2">
      <c r="A8" t="s">
        <v>418</v>
      </c>
      <c r="I8">
        <v>2000</v>
      </c>
      <c r="J8">
        <v>2000</v>
      </c>
      <c r="K8">
        <v>2000</v>
      </c>
      <c r="M8">
        <v>2000</v>
      </c>
      <c r="O8" t="s">
        <v>124</v>
      </c>
      <c r="P8" t="s">
        <v>427</v>
      </c>
      <c r="Q8" t="s">
        <v>85</v>
      </c>
    </row>
    <row r="9" spans="1:17" x14ac:dyDescent="0.2">
      <c r="A9" t="s">
        <v>419</v>
      </c>
      <c r="I9">
        <v>3000</v>
      </c>
      <c r="J9">
        <v>3000</v>
      </c>
      <c r="K9">
        <v>750</v>
      </c>
      <c r="L9">
        <v>750</v>
      </c>
      <c r="M9">
        <v>1500</v>
      </c>
      <c r="O9" t="s">
        <v>418</v>
      </c>
    </row>
    <row r="10" spans="1:17" x14ac:dyDescent="0.2">
      <c r="A10" t="s">
        <v>86</v>
      </c>
      <c r="I10">
        <v>2000</v>
      </c>
      <c r="J10">
        <v>2000</v>
      </c>
      <c r="K10">
        <v>2000</v>
      </c>
      <c r="L10">
        <v>2000</v>
      </c>
      <c r="M10">
        <v>2000</v>
      </c>
      <c r="O10" t="s">
        <v>419</v>
      </c>
    </row>
    <row r="11" spans="1:17" x14ac:dyDescent="0.2">
      <c r="A11" t="s">
        <v>438</v>
      </c>
      <c r="I11">
        <v>120</v>
      </c>
      <c r="O11" t="s">
        <v>413</v>
      </c>
    </row>
    <row r="12" spans="1:17" x14ac:dyDescent="0.2">
      <c r="A12" t="s">
        <v>439</v>
      </c>
      <c r="I12">
        <v>200</v>
      </c>
      <c r="J12">
        <v>200</v>
      </c>
      <c r="O12" t="s">
        <v>438</v>
      </c>
    </row>
    <row r="13" spans="1:17" x14ac:dyDescent="0.2">
      <c r="A13" t="s">
        <v>409</v>
      </c>
      <c r="F13">
        <v>10</v>
      </c>
      <c r="G13">
        <v>10</v>
      </c>
      <c r="O13" t="s">
        <v>401</v>
      </c>
    </row>
    <row r="14" spans="1:17" x14ac:dyDescent="0.2">
      <c r="A14" t="s">
        <v>420</v>
      </c>
      <c r="I14">
        <v>200</v>
      </c>
      <c r="O14" t="s">
        <v>409</v>
      </c>
    </row>
    <row r="15" spans="1:17" x14ac:dyDescent="0.2">
      <c r="A15" t="s">
        <v>73</v>
      </c>
      <c r="I15">
        <v>800</v>
      </c>
      <c r="O15" t="s">
        <v>420</v>
      </c>
    </row>
    <row r="16" spans="1:17" x14ac:dyDescent="0.2">
      <c r="A16" t="s">
        <v>440</v>
      </c>
      <c r="C16">
        <v>20</v>
      </c>
      <c r="D16">
        <v>20</v>
      </c>
    </row>
    <row r="17" spans="1:16" x14ac:dyDescent="0.2">
      <c r="A17" t="s">
        <v>441</v>
      </c>
      <c r="I17">
        <v>100</v>
      </c>
      <c r="J17">
        <v>100</v>
      </c>
      <c r="O17" t="s">
        <v>440</v>
      </c>
    </row>
    <row r="18" spans="1:16" x14ac:dyDescent="0.2">
      <c r="A18" t="s">
        <v>442</v>
      </c>
      <c r="B18">
        <v>150</v>
      </c>
      <c r="E18">
        <v>60</v>
      </c>
      <c r="O18" t="s">
        <v>440</v>
      </c>
    </row>
    <row r="19" spans="1:16" x14ac:dyDescent="0.2">
      <c r="A19" t="s">
        <v>443</v>
      </c>
      <c r="I19">
        <v>200</v>
      </c>
      <c r="J19">
        <v>200</v>
      </c>
      <c r="O19" t="s">
        <v>442</v>
      </c>
      <c r="P19" t="s">
        <v>441</v>
      </c>
    </row>
    <row r="20" spans="1:16" x14ac:dyDescent="0.2">
      <c r="A20" t="s">
        <v>410</v>
      </c>
      <c r="I20">
        <v>50</v>
      </c>
      <c r="O20" t="s">
        <v>401</v>
      </c>
    </row>
    <row r="21" spans="1:16" x14ac:dyDescent="0.2">
      <c r="A21" t="s">
        <v>411</v>
      </c>
      <c r="I21">
        <v>50</v>
      </c>
      <c r="O21" t="s">
        <v>401</v>
      </c>
    </row>
    <row r="22" spans="1:16" x14ac:dyDescent="0.2">
      <c r="A22" t="s">
        <v>421</v>
      </c>
      <c r="I22">
        <v>100</v>
      </c>
      <c r="O22" t="s">
        <v>410</v>
      </c>
      <c r="P22" t="s">
        <v>411</v>
      </c>
    </row>
    <row r="23" spans="1:16" x14ac:dyDescent="0.2">
      <c r="A23" t="s">
        <v>82</v>
      </c>
      <c r="I23">
        <v>200</v>
      </c>
      <c r="O23" t="s">
        <v>421</v>
      </c>
    </row>
    <row r="24" spans="1:16" x14ac:dyDescent="0.2">
      <c r="A24" t="s">
        <v>422</v>
      </c>
      <c r="I24">
        <v>200</v>
      </c>
      <c r="O24" t="s">
        <v>421</v>
      </c>
    </row>
    <row r="25" spans="1:16" x14ac:dyDescent="0.2">
      <c r="A25" t="s">
        <v>430</v>
      </c>
      <c r="I25">
        <v>400</v>
      </c>
      <c r="J25">
        <v>400</v>
      </c>
      <c r="O25" t="s">
        <v>422</v>
      </c>
    </row>
    <row r="26" spans="1:16" x14ac:dyDescent="0.2">
      <c r="A26" t="s">
        <v>431</v>
      </c>
      <c r="I26">
        <v>600</v>
      </c>
      <c r="J26">
        <v>600</v>
      </c>
      <c r="O26" t="s">
        <v>430</v>
      </c>
    </row>
    <row r="27" spans="1:16" x14ac:dyDescent="0.2">
      <c r="A27" t="s">
        <v>83</v>
      </c>
      <c r="I27">
        <v>800</v>
      </c>
      <c r="J27">
        <v>800</v>
      </c>
      <c r="O27" t="s">
        <v>424</v>
      </c>
    </row>
    <row r="28" spans="1:16" x14ac:dyDescent="0.2">
      <c r="A28" t="s">
        <v>429</v>
      </c>
      <c r="I28">
        <v>800</v>
      </c>
      <c r="J28">
        <v>800</v>
      </c>
      <c r="K28">
        <v>800</v>
      </c>
      <c r="O28" t="s">
        <v>83</v>
      </c>
    </row>
    <row r="29" spans="1:16" x14ac:dyDescent="0.2">
      <c r="A29" t="s">
        <v>63</v>
      </c>
      <c r="I29">
        <v>1000</v>
      </c>
      <c r="J29">
        <v>1000</v>
      </c>
      <c r="K29">
        <v>1000</v>
      </c>
      <c r="O29" t="s">
        <v>429</v>
      </c>
    </row>
    <row r="30" spans="1:16" x14ac:dyDescent="0.2">
      <c r="A30" t="s">
        <v>427</v>
      </c>
      <c r="I30">
        <v>1200</v>
      </c>
      <c r="J30">
        <v>1200</v>
      </c>
      <c r="K30">
        <v>1200</v>
      </c>
      <c r="O30" t="s">
        <v>63</v>
      </c>
      <c r="P30" t="s">
        <v>428</v>
      </c>
    </row>
    <row r="31" spans="1:16" x14ac:dyDescent="0.2">
      <c r="A31" t="s">
        <v>175</v>
      </c>
      <c r="I31">
        <v>800</v>
      </c>
      <c r="J31">
        <v>800</v>
      </c>
      <c r="K31">
        <v>800</v>
      </c>
      <c r="O31" t="s">
        <v>83</v>
      </c>
    </row>
    <row r="32" spans="1:16" x14ac:dyDescent="0.2">
      <c r="A32" t="s">
        <v>432</v>
      </c>
      <c r="I32">
        <v>400</v>
      </c>
      <c r="O32" t="s">
        <v>422</v>
      </c>
    </row>
    <row r="33" spans="1:17" x14ac:dyDescent="0.2">
      <c r="A33" t="s">
        <v>433</v>
      </c>
      <c r="J33">
        <v>600</v>
      </c>
      <c r="K33">
        <v>150</v>
      </c>
      <c r="O33" t="s">
        <v>432</v>
      </c>
    </row>
    <row r="34" spans="1:17" x14ac:dyDescent="0.2">
      <c r="A34" t="s">
        <v>434</v>
      </c>
      <c r="J34">
        <v>800</v>
      </c>
      <c r="K34">
        <v>400</v>
      </c>
      <c r="O34" t="s">
        <v>433</v>
      </c>
      <c r="Q34" t="s">
        <v>84</v>
      </c>
    </row>
    <row r="35" spans="1:17" x14ac:dyDescent="0.2">
      <c r="A35" t="s">
        <v>436</v>
      </c>
      <c r="I35">
        <v>800</v>
      </c>
      <c r="J35">
        <v>800</v>
      </c>
      <c r="K35">
        <v>200</v>
      </c>
      <c r="O35" t="s">
        <v>433</v>
      </c>
    </row>
    <row r="36" spans="1:17" x14ac:dyDescent="0.2">
      <c r="A36" t="s">
        <v>84</v>
      </c>
      <c r="I36">
        <v>800</v>
      </c>
      <c r="J36">
        <v>800</v>
      </c>
      <c r="O36" t="s">
        <v>436</v>
      </c>
      <c r="P36" t="s">
        <v>73</v>
      </c>
    </row>
    <row r="37" spans="1:17" x14ac:dyDescent="0.2">
      <c r="A37" t="s">
        <v>435</v>
      </c>
      <c r="I37">
        <v>1200</v>
      </c>
      <c r="J37">
        <v>200</v>
      </c>
      <c r="L37">
        <v>200</v>
      </c>
      <c r="O37" t="s">
        <v>434</v>
      </c>
      <c r="P37" t="s">
        <v>175</v>
      </c>
    </row>
    <row r="38" spans="1:17" x14ac:dyDescent="0.2">
      <c r="A38" t="s">
        <v>79</v>
      </c>
      <c r="I38">
        <v>800</v>
      </c>
      <c r="J38">
        <v>800</v>
      </c>
      <c r="L38">
        <v>800</v>
      </c>
      <c r="O38" t="s">
        <v>435</v>
      </c>
      <c r="P38" t="s">
        <v>84</v>
      </c>
    </row>
    <row r="39" spans="1:17" x14ac:dyDescent="0.2">
      <c r="A39" t="s">
        <v>85</v>
      </c>
      <c r="I39">
        <v>1600</v>
      </c>
      <c r="J39">
        <v>1600</v>
      </c>
      <c r="K39">
        <v>1600</v>
      </c>
      <c r="O39" t="s">
        <v>79</v>
      </c>
    </row>
    <row r="40" spans="1:17" x14ac:dyDescent="0.2">
      <c r="A40" t="s">
        <v>412</v>
      </c>
      <c r="I40">
        <v>50</v>
      </c>
      <c r="O40" t="s">
        <v>401</v>
      </c>
    </row>
    <row r="41" spans="1:17" x14ac:dyDescent="0.2">
      <c r="A41" t="s">
        <v>426</v>
      </c>
      <c r="I41">
        <v>400</v>
      </c>
      <c r="J41">
        <v>100</v>
      </c>
      <c r="O41" t="s">
        <v>412</v>
      </c>
    </row>
    <row r="42" spans="1:17" x14ac:dyDescent="0.2">
      <c r="A42" t="s">
        <v>425</v>
      </c>
      <c r="I42">
        <v>1000</v>
      </c>
      <c r="J42">
        <v>250</v>
      </c>
      <c r="O42" t="s">
        <v>426</v>
      </c>
    </row>
    <row r="43" spans="1:17" x14ac:dyDescent="0.2">
      <c r="A43" t="s">
        <v>428</v>
      </c>
      <c r="I43">
        <v>1600</v>
      </c>
      <c r="J43">
        <v>800</v>
      </c>
      <c r="O43" t="s">
        <v>426</v>
      </c>
    </row>
    <row r="44" spans="1:17" x14ac:dyDescent="0.2">
      <c r="A44" t="s">
        <v>413</v>
      </c>
      <c r="E44">
        <v>10</v>
      </c>
      <c r="G44">
        <v>10</v>
      </c>
      <c r="O44" t="s">
        <v>401</v>
      </c>
    </row>
    <row r="45" spans="1:17" x14ac:dyDescent="0.2">
      <c r="A45" t="s">
        <v>423</v>
      </c>
      <c r="I45">
        <v>100</v>
      </c>
      <c r="O45" t="s">
        <v>413</v>
      </c>
    </row>
    <row r="46" spans="1:17" x14ac:dyDescent="0.2">
      <c r="A46" t="s">
        <v>424</v>
      </c>
      <c r="I46">
        <v>500</v>
      </c>
      <c r="J46">
        <v>500</v>
      </c>
      <c r="O46" t="s">
        <v>423</v>
      </c>
    </row>
    <row r="47" spans="1:17" x14ac:dyDescent="0.2">
      <c r="A47" t="s">
        <v>437</v>
      </c>
      <c r="N47">
        <v>4000</v>
      </c>
      <c r="O47" t="s">
        <v>86</v>
      </c>
    </row>
    <row r="48" spans="1:17" x14ac:dyDescent="0.2">
      <c r="A48" t="s">
        <v>448</v>
      </c>
      <c r="I48">
        <v>800</v>
      </c>
      <c r="J48">
        <v>800</v>
      </c>
      <c r="K48">
        <v>80</v>
      </c>
      <c r="O48" t="s">
        <v>439</v>
      </c>
    </row>
    <row r="50" spans="1:16" x14ac:dyDescent="0.2">
      <c r="A50" t="s">
        <v>450</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444</v>
      </c>
      <c r="C51" t="s">
        <v>37</v>
      </c>
      <c r="D51" t="s">
        <v>39</v>
      </c>
      <c r="E51" t="s">
        <v>51</v>
      </c>
      <c r="F51" t="s">
        <v>64</v>
      </c>
      <c r="G51" t="s">
        <v>66</v>
      </c>
      <c r="H51" t="s">
        <v>402</v>
      </c>
      <c r="I51" t="s">
        <v>403</v>
      </c>
      <c r="J51" t="s">
        <v>404</v>
      </c>
      <c r="K51" t="s">
        <v>405</v>
      </c>
      <c r="L51" t="s">
        <v>406</v>
      </c>
      <c r="M51" t="s">
        <v>407</v>
      </c>
      <c r="N51" t="s">
        <v>408</v>
      </c>
    </row>
    <row r="54" spans="1:16" x14ac:dyDescent="0.2">
      <c r="A54" s="21" t="s">
        <v>472</v>
      </c>
      <c r="B54" s="21"/>
      <c r="C54" s="21"/>
      <c r="D54" s="21"/>
      <c r="E54" s="21"/>
      <c r="F54" s="21"/>
      <c r="G54" s="21"/>
      <c r="H54" s="21"/>
      <c r="I54" s="21"/>
      <c r="J54" s="21"/>
      <c r="K54" s="21"/>
      <c r="L54" s="21"/>
      <c r="M54" s="21"/>
      <c r="N54" s="21"/>
      <c r="O54" s="21"/>
      <c r="P54" s="21"/>
    </row>
    <row r="55" spans="1:16" x14ac:dyDescent="0.2">
      <c r="A55" s="21"/>
      <c r="B55" s="21"/>
      <c r="C55" s="21"/>
      <c r="D55" s="21"/>
      <c r="E55" s="21"/>
      <c r="F55" s="21"/>
      <c r="G55" s="21"/>
      <c r="H55" s="21"/>
      <c r="I55" s="21"/>
      <c r="J55" s="21"/>
      <c r="K55" s="21"/>
      <c r="L55" s="21"/>
      <c r="M55" s="21"/>
      <c r="N55" s="21"/>
      <c r="O55" s="21"/>
      <c r="P55" s="21"/>
    </row>
    <row r="56" spans="1:16" x14ac:dyDescent="0.2">
      <c r="A56" t="s">
        <v>414</v>
      </c>
      <c r="F56">
        <v>10</v>
      </c>
      <c r="G56">
        <v>10</v>
      </c>
      <c r="O56" t="s">
        <v>401</v>
      </c>
    </row>
    <row r="57" spans="1:16" x14ac:dyDescent="0.2">
      <c r="A57" t="s">
        <v>445</v>
      </c>
      <c r="G57">
        <v>100</v>
      </c>
      <c r="O57" t="s">
        <v>401</v>
      </c>
    </row>
    <row r="58" spans="1:16" x14ac:dyDescent="0.2">
      <c r="A58" t="s">
        <v>47</v>
      </c>
      <c r="I58">
        <v>200</v>
      </c>
      <c r="O58" t="s">
        <v>410</v>
      </c>
    </row>
    <row r="59" spans="1:16" x14ac:dyDescent="0.2">
      <c r="A59" t="s">
        <v>48</v>
      </c>
      <c r="I59">
        <v>800</v>
      </c>
      <c r="J59">
        <v>600</v>
      </c>
      <c r="O59" t="s">
        <v>47</v>
      </c>
      <c r="P59" t="s">
        <v>424</v>
      </c>
    </row>
    <row r="60" spans="1:16" x14ac:dyDescent="0.2">
      <c r="A60" t="s">
        <v>49</v>
      </c>
      <c r="I60">
        <v>800</v>
      </c>
      <c r="J60">
        <v>600</v>
      </c>
      <c r="K60">
        <v>400</v>
      </c>
      <c r="O60" t="s">
        <v>48</v>
      </c>
      <c r="P60" t="s">
        <v>433</v>
      </c>
    </row>
    <row r="61" spans="1:16" s="13" customFormat="1" x14ac:dyDescent="0.2">
      <c r="A61" t="s">
        <v>446</v>
      </c>
      <c r="B61"/>
      <c r="C61"/>
      <c r="D61"/>
      <c r="E61"/>
      <c r="F61"/>
      <c r="G61"/>
      <c r="H61"/>
      <c r="I61">
        <v>30</v>
      </c>
      <c r="J61"/>
      <c r="K61"/>
      <c r="L61"/>
      <c r="M61"/>
      <c r="N61"/>
      <c r="O61" t="s">
        <v>409</v>
      </c>
      <c r="P61"/>
    </row>
    <row r="62" spans="1:16" x14ac:dyDescent="0.2">
      <c r="A62" t="s">
        <v>447</v>
      </c>
      <c r="I62">
        <v>200</v>
      </c>
      <c r="J62">
        <v>300</v>
      </c>
      <c r="O62" t="s">
        <v>446</v>
      </c>
      <c r="P62" t="s">
        <v>410</v>
      </c>
    </row>
    <row r="63" spans="1:16" x14ac:dyDescent="0.2">
      <c r="A63" s="13" t="s">
        <v>449</v>
      </c>
      <c r="B63" s="13"/>
      <c r="C63" s="13"/>
      <c r="D63" s="13"/>
      <c r="E63" s="13"/>
      <c r="F63" s="13"/>
      <c r="G63" s="13"/>
      <c r="H63" s="13"/>
      <c r="I63" s="13">
        <v>1000</v>
      </c>
      <c r="J63" s="13">
        <v>500</v>
      </c>
      <c r="K63" s="13">
        <v>250</v>
      </c>
      <c r="L63" s="13"/>
      <c r="M63" s="13"/>
      <c r="N63" s="13"/>
      <c r="O63" s="13" t="s">
        <v>447</v>
      </c>
      <c r="P63" s="13" t="s">
        <v>448</v>
      </c>
    </row>
    <row r="64" spans="1:16" x14ac:dyDescent="0.2">
      <c r="A64" t="s">
        <v>451</v>
      </c>
      <c r="I64">
        <v>100</v>
      </c>
      <c r="O64" t="s">
        <v>414</v>
      </c>
    </row>
    <row r="65" spans="1:16" x14ac:dyDescent="0.2">
      <c r="A65" t="s">
        <v>452</v>
      </c>
      <c r="I65">
        <v>400</v>
      </c>
      <c r="J65">
        <v>100</v>
      </c>
      <c r="O65" t="s">
        <v>451</v>
      </c>
    </row>
    <row r="66" spans="1:16" x14ac:dyDescent="0.2">
      <c r="A66" t="s">
        <v>453</v>
      </c>
      <c r="J66">
        <v>400</v>
      </c>
      <c r="O66" t="s">
        <v>82</v>
      </c>
    </row>
    <row r="67" spans="1:16" x14ac:dyDescent="0.2">
      <c r="A67" t="s">
        <v>61</v>
      </c>
      <c r="J67">
        <v>1000</v>
      </c>
      <c r="O67" t="s">
        <v>453</v>
      </c>
    </row>
    <row r="68" spans="1:16" x14ac:dyDescent="0.2">
      <c r="A68" t="s">
        <v>456</v>
      </c>
      <c r="J68">
        <v>400</v>
      </c>
    </row>
    <row r="69" spans="1:16" x14ac:dyDescent="0.2">
      <c r="A69" t="s">
        <v>454</v>
      </c>
      <c r="I69">
        <v>800</v>
      </c>
      <c r="J69">
        <v>400</v>
      </c>
      <c r="O69" t="s">
        <v>456</v>
      </c>
      <c r="P69" t="s">
        <v>61</v>
      </c>
    </row>
    <row r="70" spans="1:16" x14ac:dyDescent="0.2">
      <c r="A70" t="s">
        <v>62</v>
      </c>
      <c r="J70">
        <v>1600</v>
      </c>
      <c r="O70" t="s">
        <v>61</v>
      </c>
    </row>
    <row r="71" spans="1:16" x14ac:dyDescent="0.2">
      <c r="A71" t="s">
        <v>455</v>
      </c>
      <c r="I71">
        <v>1200</v>
      </c>
      <c r="J71">
        <v>1200</v>
      </c>
      <c r="K71">
        <v>120</v>
      </c>
      <c r="O71" t="s">
        <v>62</v>
      </c>
    </row>
    <row r="72" spans="1:16" x14ac:dyDescent="0.2">
      <c r="A72" t="s">
        <v>457</v>
      </c>
      <c r="I72">
        <v>600</v>
      </c>
      <c r="J72">
        <v>600</v>
      </c>
      <c r="O72" t="s">
        <v>415</v>
      </c>
      <c r="P72" t="s">
        <v>424</v>
      </c>
    </row>
    <row r="73" spans="1:16" x14ac:dyDescent="0.2">
      <c r="A73" t="s">
        <v>458</v>
      </c>
      <c r="I73">
        <v>1200</v>
      </c>
      <c r="J73">
        <v>1200</v>
      </c>
      <c r="K73">
        <v>120</v>
      </c>
      <c r="O73" t="s">
        <v>459</v>
      </c>
      <c r="P73" t="s">
        <v>457</v>
      </c>
    </row>
    <row r="74" spans="1:16" x14ac:dyDescent="0.2">
      <c r="A74" t="s">
        <v>460</v>
      </c>
      <c r="I74">
        <v>1200</v>
      </c>
      <c r="J74">
        <v>1200</v>
      </c>
      <c r="K74">
        <v>1200</v>
      </c>
      <c r="O74" t="s">
        <v>458</v>
      </c>
      <c r="P74" t="s">
        <v>455</v>
      </c>
    </row>
    <row r="75" spans="1:16" s="13" customFormat="1" x14ac:dyDescent="0.2">
      <c r="A75" s="13" t="s">
        <v>461</v>
      </c>
      <c r="I75" s="13">
        <v>300</v>
      </c>
      <c r="J75" s="13">
        <v>300</v>
      </c>
      <c r="K75" s="13">
        <v>300</v>
      </c>
      <c r="O75" s="13" t="s">
        <v>441</v>
      </c>
    </row>
    <row r="76" spans="1:16" s="13" customFormat="1" x14ac:dyDescent="0.2">
      <c r="A76" s="13" t="s">
        <v>462</v>
      </c>
      <c r="I76" s="13">
        <v>500</v>
      </c>
      <c r="J76" s="13">
        <v>500</v>
      </c>
      <c r="K76" s="13">
        <v>500</v>
      </c>
      <c r="L76" s="13">
        <v>500</v>
      </c>
      <c r="O76" s="13" t="s">
        <v>461</v>
      </c>
    </row>
    <row r="77" spans="1:16" s="17" customFormat="1" x14ac:dyDescent="0.2">
      <c r="A77" s="13" t="s">
        <v>463</v>
      </c>
      <c r="B77" s="13"/>
      <c r="C77" s="13"/>
      <c r="D77" s="13"/>
      <c r="E77" s="13"/>
      <c r="F77" s="13"/>
      <c r="G77" s="13"/>
      <c r="H77" s="13"/>
      <c r="I77" s="13">
        <v>1000</v>
      </c>
      <c r="J77" s="13">
        <v>1000</v>
      </c>
      <c r="K77" s="13">
        <v>1000</v>
      </c>
      <c r="L77" s="13"/>
      <c r="M77" s="13"/>
      <c r="N77" s="13"/>
      <c r="O77" s="13" t="s">
        <v>461</v>
      </c>
      <c r="P77" s="13"/>
    </row>
    <row r="78" spans="1:16" s="17" customFormat="1" x14ac:dyDescent="0.2">
      <c r="A78" s="13" t="s">
        <v>464</v>
      </c>
      <c r="B78" s="13"/>
      <c r="C78" s="13"/>
      <c r="D78" s="13"/>
      <c r="E78" s="13"/>
      <c r="F78" s="13"/>
      <c r="G78" s="13"/>
      <c r="H78" s="13"/>
      <c r="I78" s="13">
        <v>2000</v>
      </c>
      <c r="J78" s="13">
        <v>2000</v>
      </c>
      <c r="K78" s="13">
        <v>2000</v>
      </c>
      <c r="L78" s="13"/>
      <c r="M78" s="13"/>
      <c r="N78" s="13"/>
      <c r="O78" s="13" t="s">
        <v>463</v>
      </c>
      <c r="P78" s="13" t="s">
        <v>461</v>
      </c>
    </row>
    <row r="79" spans="1:16" s="13" customFormat="1" x14ac:dyDescent="0.2">
      <c r="A79" s="13" t="s">
        <v>465</v>
      </c>
      <c r="I79" s="13">
        <v>600</v>
      </c>
      <c r="J79" s="13">
        <v>600</v>
      </c>
      <c r="K79" s="13">
        <v>600</v>
      </c>
    </row>
    <row r="80" spans="1:16" x14ac:dyDescent="0.2">
      <c r="A80" s="13" t="s">
        <v>466</v>
      </c>
      <c r="B80" s="13"/>
      <c r="C80" s="13"/>
      <c r="D80" s="13"/>
      <c r="E80" s="13"/>
      <c r="F80" s="13"/>
      <c r="G80" s="13"/>
      <c r="H80" s="13"/>
      <c r="I80" s="13">
        <v>800</v>
      </c>
      <c r="J80" s="13">
        <v>800</v>
      </c>
      <c r="K80" s="13">
        <v>800</v>
      </c>
      <c r="L80" s="13"/>
      <c r="M80" s="13"/>
      <c r="N80" s="13"/>
      <c r="O80" s="13" t="s">
        <v>465</v>
      </c>
      <c r="P80" s="13"/>
    </row>
    <row r="81" spans="1:16" x14ac:dyDescent="0.2">
      <c r="A81" s="13" t="s">
        <v>467</v>
      </c>
      <c r="B81" s="13"/>
      <c r="C81" s="13"/>
      <c r="D81" s="13"/>
      <c r="E81" s="13"/>
      <c r="F81" s="13"/>
      <c r="G81" s="13"/>
      <c r="H81" s="13"/>
      <c r="I81" s="13">
        <v>1000</v>
      </c>
      <c r="J81" s="13">
        <v>1000</v>
      </c>
      <c r="K81" s="13">
        <v>1000</v>
      </c>
      <c r="L81" s="13"/>
      <c r="M81" s="13"/>
      <c r="N81" s="13"/>
      <c r="O81" s="13" t="s">
        <v>466</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450</v>
      </c>
      <c r="B83" t="s">
        <v>444</v>
      </c>
      <c r="C83" t="s">
        <v>37</v>
      </c>
      <c r="D83" t="s">
        <v>39</v>
      </c>
      <c r="E83" t="s">
        <v>51</v>
      </c>
      <c r="F83" t="s">
        <v>64</v>
      </c>
      <c r="G83" t="s">
        <v>66</v>
      </c>
      <c r="H83" t="s">
        <v>402</v>
      </c>
      <c r="I83" t="s">
        <v>403</v>
      </c>
      <c r="J83" t="s">
        <v>404</v>
      </c>
      <c r="K83" t="s">
        <v>405</v>
      </c>
      <c r="L83" t="s">
        <v>406</v>
      </c>
      <c r="M83" t="s">
        <v>407</v>
      </c>
      <c r="N83" t="s">
        <v>408</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49DC-6DBB-4268-8383-4EF467EF0B50}">
  <dimension ref="A1:I62"/>
  <sheetViews>
    <sheetView workbookViewId="0">
      <selection activeCell="B24" sqref="B24"/>
    </sheetView>
  </sheetViews>
  <sheetFormatPr defaultRowHeight="14.25" x14ac:dyDescent="0.2"/>
  <cols>
    <col min="1" max="1" width="18.125" customWidth="1"/>
    <col min="2" max="2" width="21.75" customWidth="1"/>
  </cols>
  <sheetData>
    <row r="1" spans="1:9" x14ac:dyDescent="0.2">
      <c r="A1" s="22" t="s">
        <v>504</v>
      </c>
      <c r="B1" s="22"/>
      <c r="C1" s="22"/>
      <c r="D1" s="22"/>
      <c r="E1" s="22"/>
      <c r="F1" s="22"/>
      <c r="G1" s="22"/>
      <c r="H1" s="22"/>
      <c r="I1" s="22"/>
    </row>
    <row r="2" spans="1:9" x14ac:dyDescent="0.2">
      <c r="A2" s="22" t="s">
        <v>505</v>
      </c>
      <c r="B2" s="22"/>
      <c r="C2" s="22"/>
      <c r="D2" s="22"/>
      <c r="E2" s="22"/>
      <c r="F2" s="22"/>
      <c r="G2" s="22"/>
      <c r="H2" s="22"/>
      <c r="I2" s="22"/>
    </row>
    <row r="3" spans="1:9" x14ac:dyDescent="0.2">
      <c r="A3" s="22" t="s">
        <v>506</v>
      </c>
      <c r="B3" s="22"/>
      <c r="C3" s="22"/>
      <c r="D3" s="22"/>
      <c r="E3" s="22"/>
      <c r="F3" s="22"/>
      <c r="G3" s="22"/>
      <c r="H3" s="22"/>
      <c r="I3" s="22"/>
    </row>
    <row r="4" spans="1:9" x14ac:dyDescent="0.2">
      <c r="A4" s="22" t="s">
        <v>507</v>
      </c>
      <c r="B4" s="22"/>
      <c r="C4" s="22"/>
      <c r="D4" s="22"/>
    </row>
    <row r="5" spans="1:9" x14ac:dyDescent="0.2">
      <c r="A5" t="s">
        <v>508</v>
      </c>
      <c r="B5" t="s">
        <v>509</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7718A-D1FA-4D90-BEE5-85685C033BD0}">
  <dimension ref="A1:Q3"/>
  <sheetViews>
    <sheetView workbookViewId="0">
      <selection activeCell="H8" sqref="H8"/>
    </sheetView>
  </sheetViews>
  <sheetFormatPr defaultRowHeight="14.25" x14ac:dyDescent="0.2"/>
  <sheetData>
    <row r="1" spans="1:17" x14ac:dyDescent="0.2">
      <c r="A1" s="22" t="s">
        <v>511</v>
      </c>
      <c r="B1" s="22"/>
      <c r="C1" s="22"/>
      <c r="D1" s="22"/>
      <c r="E1" s="22"/>
    </row>
    <row r="2" spans="1:17" x14ac:dyDescent="0.2">
      <c r="A2" s="22" t="s">
        <v>545</v>
      </c>
      <c r="B2" s="22"/>
      <c r="C2" s="22"/>
    </row>
    <row r="3" spans="1:17" x14ac:dyDescent="0.2">
      <c r="A3" s="22" t="s">
        <v>546</v>
      </c>
      <c r="B3" s="22"/>
      <c r="C3" s="22"/>
      <c r="D3" s="22"/>
      <c r="E3" s="22"/>
      <c r="F3" s="22"/>
      <c r="G3" s="22"/>
      <c r="H3" s="22"/>
      <c r="I3" s="22"/>
      <c r="J3" s="22"/>
      <c r="K3" s="22"/>
      <c r="L3" s="22"/>
      <c r="M3" s="22"/>
      <c r="N3" s="22"/>
      <c r="O3" s="22"/>
      <c r="P3" s="22"/>
      <c r="Q3" s="22"/>
    </row>
  </sheetData>
  <mergeCells count="3">
    <mergeCell ref="A1:E1"/>
    <mergeCell ref="A2:C2"/>
    <mergeCell ref="A3:Q3"/>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14D59-A0EE-47A1-AF6E-FEF5E39526F7}">
  <dimension ref="A1:L10"/>
  <sheetViews>
    <sheetView workbookViewId="0">
      <selection activeCell="A11" sqref="A11"/>
    </sheetView>
  </sheetViews>
  <sheetFormatPr defaultRowHeight="14.25" x14ac:dyDescent="0.2"/>
  <cols>
    <col min="1" max="1" width="20.75" customWidth="1"/>
    <col min="2" max="2" width="41.25" customWidth="1"/>
  </cols>
  <sheetData>
    <row r="1" spans="1:12" x14ac:dyDescent="0.2">
      <c r="A1" s="22" t="s">
        <v>512</v>
      </c>
      <c r="B1" s="22"/>
      <c r="C1" s="22"/>
      <c r="D1" s="22"/>
      <c r="E1" s="22"/>
      <c r="F1" s="22"/>
      <c r="G1" s="22"/>
      <c r="H1" s="22"/>
    </row>
    <row r="2" spans="1:12" x14ac:dyDescent="0.2">
      <c r="A2" s="22" t="s">
        <v>515</v>
      </c>
      <c r="B2" s="22"/>
      <c r="C2" s="22"/>
      <c r="D2" s="22"/>
      <c r="E2" s="22"/>
      <c r="F2" s="22"/>
      <c r="G2" s="22"/>
      <c r="H2" s="22"/>
      <c r="I2" s="22"/>
      <c r="J2" s="22"/>
    </row>
    <row r="5" spans="1:12" x14ac:dyDescent="0.2">
      <c r="A5" t="s">
        <v>513</v>
      </c>
      <c r="B5" t="s">
        <v>514</v>
      </c>
    </row>
    <row r="6" spans="1:12" x14ac:dyDescent="0.2">
      <c r="A6">
        <f>90-ACOS((1-0.857244491577148)/2.5)/PI()*180</f>
        <v>3.2734958606008036</v>
      </c>
      <c r="B6">
        <f>90-ACOS((-0.857244491577148)/2.5)/PI()*180</f>
        <v>-20.053522169347318</v>
      </c>
      <c r="C6" t="s">
        <v>543</v>
      </c>
    </row>
    <row r="7" spans="1:12" x14ac:dyDescent="0.2">
      <c r="A7">
        <f>A6*PI()/180</f>
        <v>5.7133280817889341E-2</v>
      </c>
      <c r="B7">
        <f>B6*PI()/180</f>
        <v>-0.34999998847678654</v>
      </c>
      <c r="C7" t="s">
        <v>544</v>
      </c>
    </row>
    <row r="9" spans="1:12" x14ac:dyDescent="0.2">
      <c r="A9" s="22" t="s">
        <v>542</v>
      </c>
      <c r="B9" s="22"/>
      <c r="C9" s="22"/>
      <c r="D9" s="22"/>
      <c r="E9" s="22"/>
      <c r="F9" s="22"/>
      <c r="G9" s="22"/>
      <c r="H9" s="22"/>
      <c r="I9" s="22"/>
      <c r="J9" s="22"/>
      <c r="K9" s="22"/>
      <c r="L9" s="22"/>
    </row>
    <row r="10" spans="1:12" x14ac:dyDescent="0.2">
      <c r="A10" t="s">
        <v>587</v>
      </c>
      <c r="B10">
        <f>(COS($A$7)+(2-COS($A$7)-COS($B$7))/(-$A$7-$B$7)*0.485795591910413)/2</f>
        <v>0.55082049422929902</v>
      </c>
    </row>
  </sheetData>
  <mergeCells count="3">
    <mergeCell ref="A1:H1"/>
    <mergeCell ref="A2:J2"/>
    <mergeCell ref="A9:L9"/>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510C3-F15B-4583-ABC4-A2832484C8CE}">
  <dimension ref="A1:A4"/>
  <sheetViews>
    <sheetView workbookViewId="0">
      <selection activeCell="L14" sqref="L14"/>
    </sheetView>
  </sheetViews>
  <sheetFormatPr defaultRowHeight="14.25" x14ac:dyDescent="0.2"/>
  <sheetData>
    <row r="1" spans="1:1" x14ac:dyDescent="0.2">
      <c r="A1" t="s">
        <v>579</v>
      </c>
    </row>
    <row r="2" spans="1:1" x14ac:dyDescent="0.2">
      <c r="A2" t="s">
        <v>580</v>
      </c>
    </row>
    <row r="3" spans="1:1" x14ac:dyDescent="0.2">
      <c r="A3" t="s">
        <v>581</v>
      </c>
    </row>
    <row r="4" spans="1:1" x14ac:dyDescent="0.2">
      <c r="A4" t="s">
        <v>582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B463-F02B-4C67-A6F3-F0939EF619B0}">
  <dimension ref="A1:D4"/>
  <sheetViews>
    <sheetView workbookViewId="0">
      <selection activeCell="L30" sqref="L30"/>
    </sheetView>
  </sheetViews>
  <sheetFormatPr defaultRowHeight="14.25" x14ac:dyDescent="0.2"/>
  <sheetData>
    <row r="1" spans="1:4" x14ac:dyDescent="0.2">
      <c r="A1" s="21" t="s">
        <v>594</v>
      </c>
      <c r="B1" s="21"/>
      <c r="C1" s="21" t="s">
        <v>595</v>
      </c>
      <c r="D1" s="21"/>
    </row>
    <row r="2" spans="1:4" x14ac:dyDescent="0.2">
      <c r="A2" t="s">
        <v>592</v>
      </c>
      <c r="B2" t="s">
        <v>593</v>
      </c>
      <c r="C2" t="s">
        <v>590</v>
      </c>
      <c r="D2" t="s">
        <v>591</v>
      </c>
    </row>
    <row r="3" spans="1:4" x14ac:dyDescent="0.2">
      <c r="A3">
        <v>100</v>
      </c>
      <c r="B3">
        <v>3</v>
      </c>
      <c r="C3">
        <v>46.1</v>
      </c>
      <c r="D3">
        <v>42.7</v>
      </c>
    </row>
    <row r="4" spans="1:4" x14ac:dyDescent="0.2">
      <c r="A4">
        <v>200</v>
      </c>
      <c r="B4">
        <v>3</v>
      </c>
      <c r="C4">
        <v>52.1</v>
      </c>
      <c r="D4">
        <v>54.7</v>
      </c>
    </row>
  </sheetData>
  <mergeCells count="2">
    <mergeCell ref="A1:B1"/>
    <mergeCell ref="C1:D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7A1D9-97E0-4E85-BFF7-09FE174A558D}">
  <dimension ref="A1:U25"/>
  <sheetViews>
    <sheetView workbookViewId="0">
      <selection activeCell="O7" sqref="O7"/>
    </sheetView>
  </sheetViews>
  <sheetFormatPr defaultRowHeight="14.25" x14ac:dyDescent="0.2"/>
  <cols>
    <col min="1" max="1" width="12.875" customWidth="1"/>
    <col min="2" max="3" width="11.625" customWidth="1"/>
    <col min="4" max="4" width="15.875" customWidth="1"/>
    <col min="5" max="5" width="16" customWidth="1"/>
    <col min="6" max="6" width="11.375" customWidth="1"/>
    <col min="7" max="7" width="26.125" customWidth="1"/>
    <col min="8" max="8" width="17" customWidth="1"/>
    <col min="9" max="9" width="15.25" customWidth="1"/>
    <col min="11" max="11" width="9.875" customWidth="1"/>
    <col min="12" max="12" width="11.125" customWidth="1"/>
  </cols>
  <sheetData>
    <row r="1" spans="1:12" x14ac:dyDescent="0.2">
      <c r="A1" t="s">
        <v>18</v>
      </c>
      <c r="B1" t="s">
        <v>25</v>
      </c>
      <c r="C1" t="s">
        <v>26</v>
      </c>
      <c r="D1" t="s">
        <v>501</v>
      </c>
      <c r="E1" t="s">
        <v>502</v>
      </c>
      <c r="F1" t="s">
        <v>578</v>
      </c>
      <c r="G1" s="18" t="s">
        <v>503</v>
      </c>
      <c r="H1" t="s">
        <v>25</v>
      </c>
      <c r="I1" t="s">
        <v>26</v>
      </c>
      <c r="J1" t="s">
        <v>501</v>
      </c>
      <c r="K1" t="s">
        <v>502</v>
      </c>
      <c r="L1" t="s">
        <v>578</v>
      </c>
    </row>
    <row r="2" spans="1:12" x14ac:dyDescent="0.2">
      <c r="A2" t="s">
        <v>19</v>
      </c>
      <c r="B2">
        <v>1.1555899999999999</v>
      </c>
      <c r="C2">
        <v>1.1555899999999999</v>
      </c>
      <c r="D2">
        <f t="shared" ref="D2:E5" si="0">2*B2</f>
        <v>2.3111799999999998</v>
      </c>
      <c r="E2">
        <f t="shared" si="0"/>
        <v>2.3111799999999998</v>
      </c>
      <c r="F2">
        <v>0.79500000000000004</v>
      </c>
      <c r="G2" s="18"/>
      <c r="H2">
        <f t="shared" ref="H2:L3" si="1">B2*1.25663706143591</f>
        <v>1.452157221824723</v>
      </c>
      <c r="I2">
        <f t="shared" si="1"/>
        <v>1.452157221824723</v>
      </c>
      <c r="J2">
        <f t="shared" si="1"/>
        <v>2.9043144436494459</v>
      </c>
      <c r="K2">
        <f t="shared" si="1"/>
        <v>2.9043144436494459</v>
      </c>
      <c r="L2">
        <f t="shared" si="1"/>
        <v>0.99902646384154847</v>
      </c>
    </row>
    <row r="3" spans="1:12" x14ac:dyDescent="0.2">
      <c r="A3" t="s">
        <v>20</v>
      </c>
      <c r="B3">
        <v>1.5207999999999999</v>
      </c>
      <c r="C3">
        <v>1.5207999999999999</v>
      </c>
      <c r="D3">
        <f t="shared" si="0"/>
        <v>3.0415999999999999</v>
      </c>
      <c r="E3">
        <f t="shared" si="0"/>
        <v>3.0415999999999999</v>
      </c>
      <c r="F3">
        <v>0.875</v>
      </c>
      <c r="G3" s="18"/>
      <c r="H3">
        <f t="shared" si="1"/>
        <v>1.9110936430317318</v>
      </c>
      <c r="I3">
        <f t="shared" si="1"/>
        <v>1.9110936430317318</v>
      </c>
      <c r="J3">
        <f t="shared" si="1"/>
        <v>3.8221872860634636</v>
      </c>
      <c r="K3">
        <f t="shared" si="1"/>
        <v>3.8221872860634636</v>
      </c>
      <c r="L3">
        <f t="shared" si="1"/>
        <v>1.0995574287564212</v>
      </c>
    </row>
    <row r="4" spans="1:12" x14ac:dyDescent="0.2">
      <c r="A4" t="s">
        <v>21</v>
      </c>
      <c r="B4">
        <v>3.3</v>
      </c>
      <c r="C4">
        <v>1.8</v>
      </c>
      <c r="D4">
        <f t="shared" si="0"/>
        <v>6.6</v>
      </c>
      <c r="E4">
        <f t="shared" si="0"/>
        <v>3.6</v>
      </c>
      <c r="G4" s="18"/>
      <c r="H4">
        <f t="shared" ref="H4:K5" si="2">B4*1.25663706143591</f>
        <v>4.1469023027385026</v>
      </c>
      <c r="I4">
        <f t="shared" si="2"/>
        <v>2.2619467105846378</v>
      </c>
      <c r="J4">
        <f t="shared" si="2"/>
        <v>8.2938046054770052</v>
      </c>
      <c r="K4">
        <f t="shared" si="2"/>
        <v>4.5238934211692756</v>
      </c>
    </row>
    <row r="5" spans="1:12" x14ac:dyDescent="0.2">
      <c r="A5" t="s">
        <v>22</v>
      </c>
      <c r="B5">
        <v>2.25</v>
      </c>
      <c r="C5">
        <v>2.25</v>
      </c>
      <c r="D5">
        <f t="shared" si="0"/>
        <v>4.5</v>
      </c>
      <c r="E5">
        <f t="shared" si="0"/>
        <v>4.5</v>
      </c>
      <c r="G5" s="18"/>
      <c r="H5">
        <f t="shared" si="2"/>
        <v>2.8274333882307974</v>
      </c>
      <c r="I5">
        <f t="shared" si="2"/>
        <v>2.8274333882307974</v>
      </c>
      <c r="J5">
        <f t="shared" si="2"/>
        <v>5.6548667764615947</v>
      </c>
      <c r="K5">
        <f t="shared" si="2"/>
        <v>5.6548667764615947</v>
      </c>
    </row>
    <row r="6" spans="1:12" x14ac:dyDescent="0.2">
      <c r="A6" t="s">
        <v>23</v>
      </c>
      <c r="B6" t="s">
        <v>28</v>
      </c>
      <c r="C6">
        <v>2.4</v>
      </c>
      <c r="D6">
        <v>9.4</v>
      </c>
      <c r="E6">
        <f>2*C6</f>
        <v>4.8</v>
      </c>
      <c r="G6" s="18"/>
      <c r="H6">
        <f>(4.3+5.1)*1.25663706143591</f>
        <v>11.812388377497552</v>
      </c>
      <c r="I6">
        <f t="shared" ref="I6:K7" si="3">C6*1.25663706143591</f>
        <v>3.0159289474461839</v>
      </c>
      <c r="J6">
        <f t="shared" si="3"/>
        <v>11.812388377497554</v>
      </c>
      <c r="K6">
        <f t="shared" si="3"/>
        <v>6.0318578948923678</v>
      </c>
    </row>
    <row r="7" spans="1:12" x14ac:dyDescent="0.2">
      <c r="A7" t="s">
        <v>24</v>
      </c>
      <c r="B7">
        <v>3</v>
      </c>
      <c r="C7">
        <v>1.5</v>
      </c>
      <c r="D7">
        <f>2*B7</f>
        <v>6</v>
      </c>
      <c r="E7">
        <f>2*C7</f>
        <v>3</v>
      </c>
      <c r="G7" s="18"/>
      <c r="H7">
        <f>B7*1.25663706143591</f>
        <v>3.7699111843077295</v>
      </c>
      <c r="I7">
        <f t="shared" si="3"/>
        <v>1.8849555921538648</v>
      </c>
      <c r="J7">
        <f t="shared" si="3"/>
        <v>7.5398223686154591</v>
      </c>
      <c r="K7">
        <f t="shared" si="3"/>
        <v>3.7699111843077295</v>
      </c>
    </row>
    <row r="9" spans="1:12" x14ac:dyDescent="0.2">
      <c r="A9" t="s">
        <v>34</v>
      </c>
      <c r="B9">
        <f>6.751/2</f>
        <v>3.3755000000000002</v>
      </c>
      <c r="C9">
        <f>6.751/2</f>
        <v>3.3755000000000002</v>
      </c>
      <c r="D9">
        <f>6.751/2</f>
        <v>3.3755000000000002</v>
      </c>
      <c r="E9">
        <f>6.751/2</f>
        <v>3.3755000000000002</v>
      </c>
      <c r="F9">
        <v>48.96</v>
      </c>
      <c r="G9" t="s">
        <v>36</v>
      </c>
      <c r="H9">
        <f>4*D9*D9</f>
        <v>45.576001000000005</v>
      </c>
      <c r="I9" t="s">
        <v>499</v>
      </c>
    </row>
    <row r="10" spans="1:12" x14ac:dyDescent="0.2">
      <c r="A10" t="s">
        <v>35</v>
      </c>
      <c r="B10" t="s">
        <v>290</v>
      </c>
      <c r="E10" t="s">
        <v>291</v>
      </c>
      <c r="F10">
        <v>54.824300000000001</v>
      </c>
      <c r="G10" t="s">
        <v>311</v>
      </c>
    </row>
    <row r="13" spans="1:12" x14ac:dyDescent="0.2">
      <c r="A13" t="s">
        <v>256</v>
      </c>
      <c r="B13">
        <v>1.8</v>
      </c>
      <c r="C13">
        <v>1.8</v>
      </c>
      <c r="D13">
        <v>2</v>
      </c>
      <c r="E13" t="s">
        <v>257</v>
      </c>
      <c r="F13" t="s">
        <v>258</v>
      </c>
    </row>
    <row r="21" spans="1:21" x14ac:dyDescent="0.2">
      <c r="A21" t="s">
        <v>518</v>
      </c>
      <c r="B21" t="s">
        <v>519</v>
      </c>
      <c r="C21" t="s">
        <v>520</v>
      </c>
      <c r="D21" t="s">
        <v>521</v>
      </c>
      <c r="E21" t="s">
        <v>522</v>
      </c>
      <c r="F21" t="s">
        <v>523</v>
      </c>
      <c r="G21" t="s">
        <v>524</v>
      </c>
      <c r="H21" t="s">
        <v>525</v>
      </c>
      <c r="I21" t="s">
        <v>526</v>
      </c>
      <c r="J21" t="s">
        <v>527</v>
      </c>
      <c r="K21" t="s">
        <v>528</v>
      </c>
      <c r="L21" t="s">
        <v>529</v>
      </c>
      <c r="M21" t="s">
        <v>530</v>
      </c>
      <c r="N21" t="s">
        <v>531</v>
      </c>
      <c r="O21" t="s">
        <v>532</v>
      </c>
      <c r="P21" t="s">
        <v>533</v>
      </c>
      <c r="Q21" t="s">
        <v>534</v>
      </c>
      <c r="R21" t="s">
        <v>535</v>
      </c>
      <c r="S21" t="s">
        <v>536</v>
      </c>
      <c r="T21" t="s">
        <v>537</v>
      </c>
      <c r="U21" t="s">
        <v>538</v>
      </c>
    </row>
    <row r="22" spans="1:21" x14ac:dyDescent="0.2">
      <c r="A22" t="s">
        <v>539</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540</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541</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D218-D9BC-4D97-85D0-781B65659121}">
  <dimension ref="A1:Z29"/>
  <sheetViews>
    <sheetView workbookViewId="0">
      <selection activeCell="B11" sqref="B11"/>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29</v>
      </c>
      <c r="C1" t="s">
        <v>31</v>
      </c>
      <c r="D1" t="s">
        <v>4</v>
      </c>
      <c r="E1" t="s">
        <v>5</v>
      </c>
      <c r="F1" t="s">
        <v>6</v>
      </c>
      <c r="G1" t="s">
        <v>7</v>
      </c>
      <c r="H1" t="s">
        <v>8</v>
      </c>
      <c r="I1" t="s">
        <v>9</v>
      </c>
      <c r="J1" t="s">
        <v>10</v>
      </c>
      <c r="K1" t="s">
        <v>11</v>
      </c>
      <c r="L1" t="s">
        <v>12</v>
      </c>
      <c r="M1" t="s">
        <v>30</v>
      </c>
      <c r="O1" t="s">
        <v>32</v>
      </c>
    </row>
    <row r="2" spans="1:26" x14ac:dyDescent="0.2">
      <c r="A2" t="s">
        <v>30</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31</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29</v>
      </c>
      <c r="B13">
        <f t="shared" si="1"/>
        <v>0</v>
      </c>
      <c r="O13">
        <v>1000</v>
      </c>
      <c r="P13">
        <v>1000</v>
      </c>
      <c r="Q13">
        <v>1000</v>
      </c>
      <c r="R13">
        <v>1000</v>
      </c>
      <c r="S13">
        <v>1000</v>
      </c>
      <c r="T13">
        <v>1000</v>
      </c>
      <c r="U13">
        <v>1000</v>
      </c>
      <c r="V13">
        <v>1000</v>
      </c>
      <c r="W13">
        <v>1000</v>
      </c>
      <c r="X13">
        <v>1000</v>
      </c>
      <c r="Y13">
        <v>1000</v>
      </c>
      <c r="Z13">
        <v>1000</v>
      </c>
    </row>
    <row r="15" spans="1:26" x14ac:dyDescent="0.2">
      <c r="A15" t="s">
        <v>32</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8C49-BDA0-480D-821A-E1CAB2CF1FD4}">
  <dimension ref="A1:U106"/>
  <sheetViews>
    <sheetView topLeftCell="A13" zoomScale="85" zoomScaleNormal="85" workbookViewId="0">
      <selection activeCell="D59" sqref="D5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97</v>
      </c>
      <c r="B1" t="s">
        <v>94</v>
      </c>
      <c r="C1" t="s">
        <v>96</v>
      </c>
      <c r="D1" t="s">
        <v>98</v>
      </c>
      <c r="E1" t="s">
        <v>100</v>
      </c>
      <c r="F1" t="s">
        <v>99</v>
      </c>
      <c r="G1" t="s">
        <v>101</v>
      </c>
      <c r="H1" t="s">
        <v>248</v>
      </c>
    </row>
    <row r="2" spans="1:21" x14ac:dyDescent="0.2">
      <c r="A2" t="s">
        <v>95</v>
      </c>
      <c r="B2">
        <v>1.5</v>
      </c>
      <c r="C2">
        <v>2</v>
      </c>
      <c r="D2">
        <v>2</v>
      </c>
      <c r="E2">
        <v>1</v>
      </c>
      <c r="F2">
        <v>1</v>
      </c>
      <c r="G2">
        <v>15</v>
      </c>
      <c r="H2">
        <f>2.283152383</f>
        <v>2.283152383</v>
      </c>
    </row>
    <row r="3" spans="1:21" x14ac:dyDescent="0.2">
      <c r="A3" t="s">
        <v>128</v>
      </c>
      <c r="B3">
        <v>1.08</v>
      </c>
      <c r="C3">
        <v>1.44</v>
      </c>
      <c r="D3">
        <v>2.16</v>
      </c>
      <c r="E3">
        <v>0.96</v>
      </c>
      <c r="F3">
        <v>12</v>
      </c>
      <c r="G3">
        <f>0.48*G2</f>
        <v>7.1999999999999993</v>
      </c>
      <c r="H3">
        <v>9.7336385300000003</v>
      </c>
    </row>
    <row r="5" spans="1:21" x14ac:dyDescent="0.2">
      <c r="A5" t="s">
        <v>129</v>
      </c>
      <c r="B5" t="s">
        <v>102</v>
      </c>
      <c r="C5" t="s">
        <v>103</v>
      </c>
      <c r="D5" t="s">
        <v>104</v>
      </c>
      <c r="E5" t="s">
        <v>106</v>
      </c>
      <c r="F5" t="s">
        <v>105</v>
      </c>
      <c r="G5" t="s">
        <v>154</v>
      </c>
      <c r="H5" t="s">
        <v>110</v>
      </c>
      <c r="I5" t="s">
        <v>111</v>
      </c>
      <c r="J5" t="s">
        <v>107</v>
      </c>
      <c r="K5" t="s">
        <v>108</v>
      </c>
      <c r="L5" t="s">
        <v>109</v>
      </c>
      <c r="M5" t="s">
        <v>112</v>
      </c>
      <c r="N5" t="s">
        <v>113</v>
      </c>
      <c r="O5" t="s">
        <v>237</v>
      </c>
      <c r="P5" t="s">
        <v>236</v>
      </c>
      <c r="Q5" t="s">
        <v>238</v>
      </c>
      <c r="R5" t="s">
        <v>123</v>
      </c>
      <c r="S5" t="s">
        <v>124</v>
      </c>
      <c r="T5" t="s">
        <v>203</v>
      </c>
      <c r="U5" t="s">
        <v>228</v>
      </c>
    </row>
    <row r="6" spans="1:21" x14ac:dyDescent="0.2">
      <c r="A6" t="s">
        <v>500</v>
      </c>
      <c r="B6">
        <v>6.96</v>
      </c>
      <c r="C6">
        <v>8.16</v>
      </c>
      <c r="D6">
        <v>10.88</v>
      </c>
      <c r="E6">
        <v>10.88</v>
      </c>
      <c r="F6">
        <v>11.52</v>
      </c>
      <c r="G6">
        <v>11.52</v>
      </c>
      <c r="H6">
        <v>26.4</v>
      </c>
      <c r="I6">
        <v>26.4</v>
      </c>
      <c r="J6">
        <v>47.5</v>
      </c>
      <c r="K6">
        <v>47.5</v>
      </c>
      <c r="L6">
        <v>52.25</v>
      </c>
      <c r="M6">
        <v>19.5</v>
      </c>
      <c r="N6">
        <v>19.5</v>
      </c>
      <c r="O6">
        <v>22.5</v>
      </c>
      <c r="P6">
        <v>22.5</v>
      </c>
      <c r="Q6">
        <v>22.5</v>
      </c>
      <c r="R6">
        <v>48.96</v>
      </c>
      <c r="S6">
        <v>54.824300000000001</v>
      </c>
      <c r="T6">
        <v>16.670000000000002</v>
      </c>
      <c r="U6">
        <v>10.5</v>
      </c>
    </row>
    <row r="8" spans="1:21" x14ac:dyDescent="0.2">
      <c r="A8" t="s">
        <v>115</v>
      </c>
      <c r="B8" t="s">
        <v>227</v>
      </c>
      <c r="C8" t="s">
        <v>225</v>
      </c>
      <c r="D8" t="s">
        <v>226</v>
      </c>
      <c r="E8" t="s">
        <v>229</v>
      </c>
    </row>
    <row r="9" spans="1:21" x14ac:dyDescent="0.2">
      <c r="A9" t="s">
        <v>116</v>
      </c>
      <c r="B9">
        <v>0.34</v>
      </c>
      <c r="C9">
        <f>(F92+F89/74+50*R6)/7200</f>
        <v>0.38534886961961962</v>
      </c>
      <c r="D9">
        <f>50*R6/7200</f>
        <v>0.34</v>
      </c>
      <c r="E9">
        <v>0.34</v>
      </c>
    </row>
    <row r="10" spans="1:21" x14ac:dyDescent="0.2">
      <c r="A10" t="s">
        <v>125</v>
      </c>
      <c r="C10">
        <f>(F92+100*R6)/7200</f>
        <v>0.72527582407407409</v>
      </c>
      <c r="D10">
        <f>100*R6/7200</f>
        <v>0.68</v>
      </c>
      <c r="E10">
        <f>50*R6/7200+E9</f>
        <v>0.68</v>
      </c>
    </row>
    <row r="15" spans="1:21" x14ac:dyDescent="0.2">
      <c r="A15" t="s">
        <v>126</v>
      </c>
      <c r="B15" t="s">
        <v>224</v>
      </c>
      <c r="C15" t="s">
        <v>117</v>
      </c>
      <c r="D15" t="s">
        <v>114</v>
      </c>
      <c r="E15" t="s">
        <v>240</v>
      </c>
    </row>
    <row r="16" spans="1:21" ht="14.25" customHeight="1" x14ac:dyDescent="0.2">
      <c r="A16" t="s">
        <v>49</v>
      </c>
      <c r="B16">
        <v>0</v>
      </c>
      <c r="C16">
        <f>F89/74</f>
        <v>0.52592792792792786</v>
      </c>
      <c r="D16">
        <v>0.67462599999999995</v>
      </c>
      <c r="E16">
        <v>0</v>
      </c>
    </row>
    <row r="17" spans="1:11" ht="15" customHeight="1" x14ac:dyDescent="0.2"/>
    <row r="18" spans="1:11" x14ac:dyDescent="0.2">
      <c r="A18" t="s">
        <v>135</v>
      </c>
      <c r="B18" t="s">
        <v>137</v>
      </c>
      <c r="C18" t="s">
        <v>138</v>
      </c>
      <c r="D18" t="s">
        <v>175</v>
      </c>
      <c r="E18" t="s">
        <v>231</v>
      </c>
      <c r="F18" t="s">
        <v>232</v>
      </c>
      <c r="G18" t="s">
        <v>473</v>
      </c>
    </row>
    <row r="19" spans="1:11" x14ac:dyDescent="0.2">
      <c r="A19" t="s">
        <v>136</v>
      </c>
      <c r="B19" t="s">
        <v>219</v>
      </c>
      <c r="C19">
        <v>0</v>
      </c>
      <c r="D19" t="s">
        <v>219</v>
      </c>
      <c r="E19" t="s">
        <v>219</v>
      </c>
      <c r="F19">
        <v>0</v>
      </c>
      <c r="G19" t="s">
        <v>474</v>
      </c>
    </row>
    <row r="20" spans="1:11" x14ac:dyDescent="0.2">
      <c r="A20" t="s">
        <v>220</v>
      </c>
      <c r="B20">
        <f>G67</f>
        <v>139.26474666666667</v>
      </c>
      <c r="C20">
        <f>G43</f>
        <v>8.7508119251977234</v>
      </c>
      <c r="D20">
        <f>G64</f>
        <v>58.708666666666666</v>
      </c>
      <c r="E20">
        <f>G69</f>
        <v>36.974666666666671</v>
      </c>
      <c r="F20">
        <f>10*S6</f>
        <v>548.24300000000005</v>
      </c>
      <c r="G20">
        <f>G75</f>
        <v>26.752499999999998</v>
      </c>
    </row>
    <row r="21" spans="1:11" x14ac:dyDescent="0.2">
      <c r="A21" t="s">
        <v>221</v>
      </c>
      <c r="B21">
        <f>G66</f>
        <v>19.82266666666667</v>
      </c>
      <c r="C21">
        <f>G44</f>
        <v>14.425000000000001</v>
      </c>
      <c r="D21">
        <f>G63</f>
        <v>30.701999999999995</v>
      </c>
      <c r="E21">
        <f>G70</f>
        <v>16.833333333333336</v>
      </c>
      <c r="F21">
        <f>G45</f>
        <v>138.21697444444445</v>
      </c>
      <c r="G21">
        <f>G41</f>
        <v>14.117999999999999</v>
      </c>
    </row>
    <row r="22" spans="1:11" x14ac:dyDescent="0.2">
      <c r="A22" t="s">
        <v>132</v>
      </c>
      <c r="B22">
        <f>B21</f>
        <v>19.82266666666667</v>
      </c>
      <c r="C22">
        <f>C19</f>
        <v>0</v>
      </c>
      <c r="D22">
        <f>D21</f>
        <v>30.701999999999995</v>
      </c>
      <c r="E22">
        <f>E21</f>
        <v>16.833333333333336</v>
      </c>
      <c r="F22">
        <f>F19</f>
        <v>0</v>
      </c>
      <c r="G22">
        <f>G21</f>
        <v>14.117999999999999</v>
      </c>
    </row>
    <row r="26" spans="1:11" ht="25.5" x14ac:dyDescent="0.2">
      <c r="A26" s="20" t="s">
        <v>127</v>
      </c>
      <c r="B26" s="20"/>
      <c r="C26" s="20"/>
      <c r="D26" s="20"/>
      <c r="E26" s="20"/>
      <c r="F26" s="20"/>
    </row>
    <row r="27" spans="1:11" x14ac:dyDescent="0.2">
      <c r="C27" s="21" t="s">
        <v>118</v>
      </c>
      <c r="D27" s="21"/>
      <c r="E27" s="21"/>
      <c r="F27" s="21"/>
      <c r="G27" s="21"/>
    </row>
    <row r="28" spans="1:11" x14ac:dyDescent="0.2">
      <c r="A28" t="s">
        <v>87</v>
      </c>
      <c r="B28" t="s">
        <v>92</v>
      </c>
      <c r="C28" t="s">
        <v>119</v>
      </c>
      <c r="D28" t="s">
        <v>120</v>
      </c>
      <c r="E28" t="s">
        <v>121</v>
      </c>
      <c r="F28" t="s">
        <v>122</v>
      </c>
      <c r="G28" t="s">
        <v>133</v>
      </c>
      <c r="H28" t="s">
        <v>134</v>
      </c>
      <c r="J28" t="s">
        <v>312</v>
      </c>
    </row>
    <row r="29" spans="1:11" ht="19.5" x14ac:dyDescent="0.2">
      <c r="A29" s="19" t="s">
        <v>131</v>
      </c>
      <c r="B29" s="19"/>
      <c r="C29" s="19"/>
      <c r="D29" s="19"/>
      <c r="E29" s="19"/>
      <c r="F29" s="19"/>
    </row>
    <row r="30" spans="1:11" x14ac:dyDescent="0.2">
      <c r="A30" t="s">
        <v>37</v>
      </c>
      <c r="B30" t="s">
        <v>38</v>
      </c>
      <c r="C30">
        <f>(B6+C3*B9)/C2</f>
        <v>3.7248000000000001</v>
      </c>
      <c r="D30">
        <f>((B6+C3*B9*2.5)/C2+B16)/1.25</f>
        <v>3.2736000000000005</v>
      </c>
      <c r="E30">
        <f>((B6+C3*B9*2.5)/C2+2*B16)/2</f>
        <v>2.0460000000000003</v>
      </c>
      <c r="F30">
        <f>MIN(C30:E30)</f>
        <v>2.0460000000000003</v>
      </c>
      <c r="G30">
        <f>F30</f>
        <v>2.0460000000000003</v>
      </c>
      <c r="H30" t="str">
        <f t="shared" ref="H30:H37" si="0">IF(C30=G30,"不使用增产剂","")&amp;IF(D30=G30,"增产","")&amp;IF(E30=G30,"加速","")</f>
        <v>加速</v>
      </c>
      <c r="I30" t="s">
        <v>37</v>
      </c>
      <c r="J30">
        <f>60*318310/G30</f>
        <v>9334604.1055718455</v>
      </c>
      <c r="K30" t="s">
        <v>313</v>
      </c>
    </row>
    <row r="31" spans="1:11" x14ac:dyDescent="0.2">
      <c r="A31" t="s">
        <v>39</v>
      </c>
      <c r="B31" t="s">
        <v>89</v>
      </c>
      <c r="C31">
        <f>(B6+C3*B9)/C2</f>
        <v>3.7248000000000001</v>
      </c>
      <c r="D31">
        <f>((B6+C3*B9*2.5)/C2+B16)/1.25</f>
        <v>3.2736000000000005</v>
      </c>
      <c r="E31">
        <f>((B6+C3*B9*2.5)/C2+2*B16)/2</f>
        <v>2.0460000000000003</v>
      </c>
      <c r="F31">
        <f t="shared" ref="F31:F35" si="1">MIN(C31:E31)</f>
        <v>2.0460000000000003</v>
      </c>
      <c r="G31">
        <f t="shared" ref="G31:G35" si="2">F31</f>
        <v>2.0460000000000003</v>
      </c>
      <c r="H31" t="str">
        <f t="shared" si="0"/>
        <v>加速</v>
      </c>
      <c r="I31" t="s">
        <v>39</v>
      </c>
      <c r="J31">
        <f t="shared" ref="J31:J94" si="3">60*318310/G31</f>
        <v>9334604.1055718455</v>
      </c>
      <c r="K31" t="s">
        <v>313</v>
      </c>
    </row>
    <row r="32" spans="1:11" x14ac:dyDescent="0.2">
      <c r="A32" t="s">
        <v>41</v>
      </c>
      <c r="B32" t="s">
        <v>88</v>
      </c>
      <c r="C32">
        <f>2*(B6+C3*B9)/C2</f>
        <v>7.4496000000000002</v>
      </c>
      <c r="D32">
        <f>(2*(B6+C3*B9*2.5)/C2+2*B16)/1.25</f>
        <v>6.547200000000001</v>
      </c>
      <c r="E32">
        <f>(2*(B6+C3*B9*2.5)/C2+4*B16)/2</f>
        <v>4.0920000000000005</v>
      </c>
      <c r="F32">
        <f t="shared" si="1"/>
        <v>4.0920000000000005</v>
      </c>
      <c r="G32">
        <f t="shared" si="2"/>
        <v>4.0920000000000005</v>
      </c>
      <c r="H32" t="str">
        <f>IF(C32=G32,"不使用增产剂","")&amp;IF(D32=G32,"增产","")&amp;IF(E32=G32,"加速","")</f>
        <v>加速</v>
      </c>
      <c r="I32" t="s">
        <v>41</v>
      </c>
      <c r="J32">
        <f t="shared" si="3"/>
        <v>4667302.0527859228</v>
      </c>
      <c r="K32" t="s">
        <v>313</v>
      </c>
    </row>
    <row r="33" spans="1:11" x14ac:dyDescent="0.2">
      <c r="A33" t="s">
        <v>40</v>
      </c>
      <c r="B33" t="s">
        <v>130</v>
      </c>
      <c r="C33">
        <f>2*(B6+C3*B9)/C2</f>
        <v>7.4496000000000002</v>
      </c>
      <c r="D33">
        <f>(2*(B6+C3*B9*2.5)/C2+2*B16)/1.25</f>
        <v>6.547200000000001</v>
      </c>
      <c r="E33">
        <f>(2*(B6+C3*B9*2.5)/C2+4*B16)/2</f>
        <v>4.0920000000000005</v>
      </c>
      <c r="F33">
        <f t="shared" si="1"/>
        <v>4.0920000000000005</v>
      </c>
      <c r="G33">
        <f t="shared" si="2"/>
        <v>4.0920000000000005</v>
      </c>
      <c r="H33" t="str">
        <f t="shared" si="0"/>
        <v>加速</v>
      </c>
      <c r="I33" t="s">
        <v>40</v>
      </c>
      <c r="J33">
        <f t="shared" si="3"/>
        <v>4667302.0527859228</v>
      </c>
      <c r="K33" t="s">
        <v>313</v>
      </c>
    </row>
    <row r="34" spans="1:11" x14ac:dyDescent="0.2">
      <c r="A34" t="s">
        <v>42</v>
      </c>
      <c r="B34" t="s">
        <v>90</v>
      </c>
      <c r="C34">
        <f>(B6+C3*B9)/C2</f>
        <v>3.7248000000000001</v>
      </c>
      <c r="D34">
        <f>((B6+C3*B9*2.5)/C2+B16)/1.25</f>
        <v>3.2736000000000005</v>
      </c>
      <c r="E34">
        <f>((B6+C3*B9*2.5)/C2+2*B16)/2</f>
        <v>2.0460000000000003</v>
      </c>
      <c r="F34">
        <f t="shared" si="1"/>
        <v>2.0460000000000003</v>
      </c>
      <c r="G34">
        <f t="shared" si="2"/>
        <v>2.0460000000000003</v>
      </c>
      <c r="H34" t="str">
        <f t="shared" si="0"/>
        <v>加速</v>
      </c>
      <c r="I34" t="s">
        <v>42</v>
      </c>
      <c r="J34">
        <f t="shared" si="3"/>
        <v>9334604.1055718455</v>
      </c>
      <c r="K34" t="s">
        <v>313</v>
      </c>
    </row>
    <row r="35" spans="1:11" x14ac:dyDescent="0.2">
      <c r="A35" t="s">
        <v>43</v>
      </c>
      <c r="B35" t="s">
        <v>91</v>
      </c>
      <c r="C35">
        <f>2*(B6+C3*B9)/C2</f>
        <v>7.4496000000000002</v>
      </c>
      <c r="D35">
        <f>(2*(B6+C3*B9*2.5)/C2+2*B16)/1.25</f>
        <v>6.547200000000001</v>
      </c>
      <c r="E35">
        <f>(2*(B6+C3*B9*2.5)/C2+4*B16)/2</f>
        <v>4.0920000000000005</v>
      </c>
      <c r="F35">
        <f t="shared" si="1"/>
        <v>4.0920000000000005</v>
      </c>
      <c r="G35">
        <f t="shared" si="2"/>
        <v>4.0920000000000005</v>
      </c>
      <c r="H35" t="str">
        <f t="shared" si="0"/>
        <v>加速</v>
      </c>
      <c r="I35" t="s">
        <v>43</v>
      </c>
      <c r="J35">
        <f t="shared" si="3"/>
        <v>4667302.0527859228</v>
      </c>
      <c r="K35" t="s">
        <v>313</v>
      </c>
    </row>
    <row r="36" spans="1:11" x14ac:dyDescent="0.2">
      <c r="A36" t="s">
        <v>53</v>
      </c>
      <c r="B36" t="s">
        <v>149</v>
      </c>
      <c r="C36">
        <f>2*(B6+C3*B9)/C2</f>
        <v>7.4496000000000002</v>
      </c>
      <c r="D36">
        <f>(2*(B6+C3*B9*2.5)/C2+2*B16)/1.25</f>
        <v>6.547200000000001</v>
      </c>
      <c r="E36">
        <f>(2*(B6+C3*B9*2.5)/C2+4*B16)/2</f>
        <v>4.0920000000000005</v>
      </c>
      <c r="F36">
        <f t="shared" ref="F36:F42" si="4">MIN(C36:E36)</f>
        <v>4.0920000000000005</v>
      </c>
      <c r="G36">
        <f t="shared" ref="G36:G42" si="5">F36</f>
        <v>4.0920000000000005</v>
      </c>
      <c r="H36" t="str">
        <f t="shared" si="0"/>
        <v>加速</v>
      </c>
      <c r="I36" t="s">
        <v>53</v>
      </c>
      <c r="J36">
        <f t="shared" si="3"/>
        <v>4667302.0527859228</v>
      </c>
      <c r="K36" t="s">
        <v>313</v>
      </c>
    </row>
    <row r="37" spans="1:11" x14ac:dyDescent="0.2">
      <c r="A37" t="s">
        <v>147</v>
      </c>
      <c r="B37" t="s">
        <v>148</v>
      </c>
      <c r="C37">
        <f>1.5*(D6+B3*B9)/(2*B2)</f>
        <v>5.6236000000000006</v>
      </c>
      <c r="D37">
        <f>(1.5*(D6+B3*B9*2.5)/B2+B16)/2.5</f>
        <v>4.7191999999999998</v>
      </c>
      <c r="E37">
        <f>(1.5*(D6+B3*B9*2.5)/B2+2*B16)/4</f>
        <v>2.9495</v>
      </c>
      <c r="F37">
        <f t="shared" si="4"/>
        <v>2.9495</v>
      </c>
      <c r="G37">
        <f t="shared" si="5"/>
        <v>2.9495</v>
      </c>
      <c r="H37" t="str">
        <f t="shared" si="0"/>
        <v>加速</v>
      </c>
      <c r="I37" t="s">
        <v>147</v>
      </c>
      <c r="J37">
        <f t="shared" si="3"/>
        <v>6475199.1863027634</v>
      </c>
      <c r="K37" t="s">
        <v>313</v>
      </c>
    </row>
    <row r="38" spans="1:11" x14ac:dyDescent="0.2">
      <c r="A38" t="s">
        <v>150</v>
      </c>
      <c r="B38" t="s">
        <v>151</v>
      </c>
      <c r="C38">
        <f>1.5*(B6+C3*B9)/(2*C2)</f>
        <v>2.7936000000000001</v>
      </c>
      <c r="D38">
        <f>(1.5*(B6+C3*B9*2.5)/C2+B16)/2.5</f>
        <v>2.4552000000000005</v>
      </c>
      <c r="E38">
        <f>(1.5*(B6+C3*B9*2.5)/C2+2*B16)/4</f>
        <v>1.5345000000000002</v>
      </c>
      <c r="F38">
        <f t="shared" si="4"/>
        <v>1.5345000000000002</v>
      </c>
      <c r="G38">
        <f t="shared" si="5"/>
        <v>1.5345000000000002</v>
      </c>
      <c r="H38" t="str">
        <f>IF(C38=G38,"不使用增产剂","")&amp;IF(D38=G38,"增产","")&amp;IF(E38=G38,"加速","")</f>
        <v>加速</v>
      </c>
      <c r="I38" t="s">
        <v>150</v>
      </c>
      <c r="J38">
        <f t="shared" si="3"/>
        <v>12446138.807429129</v>
      </c>
      <c r="K38" t="s">
        <v>313</v>
      </c>
    </row>
    <row r="39" spans="1:11" x14ac:dyDescent="0.2">
      <c r="A39" t="s">
        <v>46</v>
      </c>
      <c r="B39" t="s">
        <v>198</v>
      </c>
      <c r="C39">
        <f>2*(I6+D3*B9)/(2*D2)</f>
        <v>13.5672</v>
      </c>
      <c r="D39">
        <f>(2*(I6+D3*B9*2.5)/D2+2*B16)/2.5</f>
        <v>11.2944</v>
      </c>
      <c r="E39">
        <f>(2*(I6+D3*B9*2.5)/D2+4*B16)/4</f>
        <v>7.0589999999999993</v>
      </c>
      <c r="F39">
        <f t="shared" si="4"/>
        <v>7.0589999999999993</v>
      </c>
      <c r="G39">
        <f t="shared" si="5"/>
        <v>7.0589999999999993</v>
      </c>
      <c r="H39" t="str">
        <f t="shared" ref="H39:H45" si="6">IF(C39=G39,"不使用增产剂","")&amp;IF(D39=G39,"增产","")&amp;IF(E39=G39,"加速","")</f>
        <v>加速</v>
      </c>
      <c r="I39" t="s">
        <v>46</v>
      </c>
      <c r="J39">
        <f t="shared" si="3"/>
        <v>2705567.36081598</v>
      </c>
      <c r="K39" t="s">
        <v>313</v>
      </c>
    </row>
    <row r="40" spans="1:11" x14ac:dyDescent="0.2">
      <c r="A40" t="s">
        <v>44</v>
      </c>
      <c r="B40" t="s">
        <v>199</v>
      </c>
      <c r="C40">
        <f>(4/E2)*(N6+B9*E3)/2</f>
        <v>39.652799999999999</v>
      </c>
      <c r="D40">
        <f>((4/E2)*(N6+B9*E3*2.5)+2*B16)/2.5</f>
        <v>32.505600000000001</v>
      </c>
      <c r="E40">
        <f>((4/E2)*(N6+B9*E3*2.5)+4*B16)/4</f>
        <v>20.315999999999999</v>
      </c>
      <c r="F40">
        <f t="shared" si="4"/>
        <v>20.315999999999999</v>
      </c>
      <c r="G40">
        <f t="shared" si="5"/>
        <v>20.315999999999999</v>
      </c>
      <c r="H40" t="str">
        <f t="shared" si="6"/>
        <v>加速</v>
      </c>
      <c r="I40" t="s">
        <v>44</v>
      </c>
      <c r="J40">
        <f t="shared" si="3"/>
        <v>940076.78676904913</v>
      </c>
      <c r="K40" t="s">
        <v>313</v>
      </c>
    </row>
    <row r="41" spans="1:11" x14ac:dyDescent="0.2">
      <c r="A41" t="s">
        <v>144</v>
      </c>
      <c r="B41" t="s">
        <v>468</v>
      </c>
      <c r="C41">
        <f>4*(I6+D3*B9)/(2*D2)</f>
        <v>27.134399999999999</v>
      </c>
      <c r="D41">
        <f>(4*(I6+D3*B9*2.5)/D2+6*B16)/2.5</f>
        <v>22.588799999999999</v>
      </c>
      <c r="E41">
        <f>(4*(I6+D3*B9*2.5)/D2+12*B16)/4</f>
        <v>14.117999999999999</v>
      </c>
      <c r="F41">
        <f t="shared" si="4"/>
        <v>14.117999999999999</v>
      </c>
      <c r="G41">
        <f t="shared" si="5"/>
        <v>14.117999999999999</v>
      </c>
      <c r="H41" t="str">
        <f t="shared" si="6"/>
        <v>加速</v>
      </c>
      <c r="I41" t="s">
        <v>144</v>
      </c>
      <c r="J41">
        <f t="shared" si="3"/>
        <v>1352783.68040799</v>
      </c>
      <c r="K41" t="s">
        <v>313</v>
      </c>
    </row>
    <row r="42" spans="1:11" x14ac:dyDescent="0.2">
      <c r="A42" t="s">
        <v>50</v>
      </c>
      <c r="B42" t="s">
        <v>145</v>
      </c>
      <c r="C42">
        <f>1.5*(B6+C3*B9)/C2</f>
        <v>5.5872000000000002</v>
      </c>
      <c r="D42">
        <f>(1.5*(B6+C3*B9*2.5)/C2+B16)/1.25</f>
        <v>4.910400000000001</v>
      </c>
      <c r="E42">
        <f>(1.5*(B6+C3*B9*2.5)/C2+2*B16)/2</f>
        <v>3.0690000000000004</v>
      </c>
      <c r="F42">
        <f t="shared" si="4"/>
        <v>3.0690000000000004</v>
      </c>
      <c r="G42">
        <f t="shared" si="5"/>
        <v>3.0690000000000004</v>
      </c>
      <c r="H42" t="str">
        <f t="shared" si="6"/>
        <v>加速</v>
      </c>
      <c r="I42" t="s">
        <v>50</v>
      </c>
      <c r="J42">
        <f t="shared" si="3"/>
        <v>6223069.4037145646</v>
      </c>
      <c r="K42" t="s">
        <v>313</v>
      </c>
    </row>
    <row r="43" spans="1:11" x14ac:dyDescent="0.2">
      <c r="A43" t="s">
        <v>337</v>
      </c>
      <c r="B43" t="s">
        <v>216</v>
      </c>
      <c r="C43" t="s">
        <v>259</v>
      </c>
      <c r="D43" t="s">
        <v>218</v>
      </c>
      <c r="E43">
        <f>(T6+B9*H3+H2*B16)/H2</f>
        <v>8.7508119251977234</v>
      </c>
      <c r="F43">
        <f t="shared" ref="F43:F44" si="7">MIN(C43:E43)</f>
        <v>8.7508119251977234</v>
      </c>
      <c r="G43">
        <f t="shared" ref="G43:G44" si="8">F43</f>
        <v>8.7508119251977234</v>
      </c>
      <c r="H43" t="str">
        <f t="shared" si="6"/>
        <v>加速</v>
      </c>
      <c r="I43" t="s">
        <v>337</v>
      </c>
      <c r="J43">
        <f t="shared" si="3"/>
        <v>2182494.6260136277</v>
      </c>
      <c r="K43" t="s">
        <v>313</v>
      </c>
    </row>
    <row r="44" spans="1:11" x14ac:dyDescent="0.2">
      <c r="A44" t="s">
        <v>202</v>
      </c>
      <c r="B44" t="s">
        <v>217</v>
      </c>
      <c r="C44">
        <f>2.5*(J6+F3*B9)/F2/5</f>
        <v>25.79</v>
      </c>
      <c r="D44">
        <f>(2.5*(J6+F3*B9*2.5)/F2+10*B16)/6.25</f>
        <v>23.08</v>
      </c>
      <c r="E44">
        <f>(2.5*(J6+F3*B9*2.5)/F2+20*B16)/10</f>
        <v>14.425000000000001</v>
      </c>
      <c r="F44">
        <f t="shared" si="7"/>
        <v>14.425000000000001</v>
      </c>
      <c r="G44">
        <f t="shared" si="8"/>
        <v>14.425000000000001</v>
      </c>
      <c r="H44" t="str">
        <f t="shared" si="6"/>
        <v>加速</v>
      </c>
      <c r="I44" t="s">
        <v>202</v>
      </c>
      <c r="J44">
        <f t="shared" si="3"/>
        <v>1323993.0675909878</v>
      </c>
      <c r="K44" t="s">
        <v>313</v>
      </c>
    </row>
    <row r="45" spans="1:11" x14ac:dyDescent="0.2">
      <c r="A45" t="s">
        <v>470</v>
      </c>
      <c r="B45" t="s">
        <v>190</v>
      </c>
      <c r="C45">
        <f>((0.1*G80)+60*S6)/12</f>
        <v>276.43394888888889</v>
      </c>
      <c r="D45" t="s">
        <v>218</v>
      </c>
      <c r="E45">
        <f>((0.1*G80)+60*S6+0.1*B16)/24</f>
        <v>138.21697444444445</v>
      </c>
      <c r="F45">
        <f>MIN(C45:E45)</f>
        <v>138.21697444444445</v>
      </c>
      <c r="G45">
        <f>F45</f>
        <v>138.21697444444445</v>
      </c>
      <c r="H45" t="str">
        <f t="shared" si="6"/>
        <v>加速</v>
      </c>
      <c r="I45" t="s">
        <v>471</v>
      </c>
      <c r="J45">
        <f t="shared" si="3"/>
        <v>138178.39723930997</v>
      </c>
      <c r="K45" t="s">
        <v>313</v>
      </c>
    </row>
    <row r="49" spans="1:11" ht="19.5" x14ac:dyDescent="0.2">
      <c r="A49" s="19" t="s">
        <v>222</v>
      </c>
      <c r="B49" s="19"/>
      <c r="C49" s="19"/>
      <c r="D49" s="19"/>
      <c r="E49" s="19"/>
      <c r="F49" s="19"/>
    </row>
    <row r="50" spans="1:11" x14ac:dyDescent="0.2">
      <c r="A50" t="s">
        <v>51</v>
      </c>
      <c r="B50" t="s">
        <v>146</v>
      </c>
      <c r="C50">
        <f>((2*G42+G31)+(E6+B3*B9)/B2)/2</f>
        <v>7.8410666666666682</v>
      </c>
      <c r="D50">
        <f>((2*G42+G31)+(E6+B3*B9*2.5)/B2+3*B16)/2.5</f>
        <v>6.4197333333333333</v>
      </c>
      <c r="E50">
        <f>(2*(2*G42+G31)+(E6+2.5*B3*B9)/B2+6*B16)/4</f>
        <v>6.0583333333333345</v>
      </c>
      <c r="F50">
        <f t="shared" ref="F50:F75" si="9">MIN(C50:E50)</f>
        <v>6.0583333333333345</v>
      </c>
      <c r="G50">
        <f t="shared" ref="G50:G75" si="10">F50</f>
        <v>6.0583333333333345</v>
      </c>
      <c r="H50" t="str">
        <f t="shared" ref="H50:H75" si="11">IF(C50=G50,"不使用增产剂","")&amp;IF(D50=G50,"增产","")&amp;IF(E50=G50,"加速","")</f>
        <v>加速</v>
      </c>
      <c r="I50" t="s">
        <v>51</v>
      </c>
      <c r="J50">
        <f t="shared" si="3"/>
        <v>3152451.169188445</v>
      </c>
      <c r="K50" t="s">
        <v>313</v>
      </c>
    </row>
    <row r="51" spans="1:11" x14ac:dyDescent="0.2">
      <c r="A51" t="s">
        <v>55</v>
      </c>
      <c r="B51" t="s">
        <v>156</v>
      </c>
      <c r="C51">
        <f>((3*G30)+3*(B6+C3*B9)/C2)/1</f>
        <v>17.3124</v>
      </c>
      <c r="D51">
        <f>((3*G30)+3*(B6+C3*B9*2.5)/C2+3*B16)/1.25</f>
        <v>14.731200000000001</v>
      </c>
      <c r="E51">
        <f>(2*(3*G30)+3*(B6+C3*B9*2.5)/C2+6*B16)/2</f>
        <v>12.276000000000002</v>
      </c>
      <c r="F51">
        <f t="shared" si="9"/>
        <v>12.276000000000002</v>
      </c>
      <c r="G51">
        <f t="shared" si="10"/>
        <v>12.276000000000002</v>
      </c>
      <c r="H51" t="str">
        <f t="shared" si="11"/>
        <v>加速</v>
      </c>
      <c r="I51" t="s">
        <v>55</v>
      </c>
      <c r="J51">
        <f t="shared" si="3"/>
        <v>1555767.3509286412</v>
      </c>
      <c r="K51" t="s">
        <v>313</v>
      </c>
    </row>
    <row r="52" spans="1:11" x14ac:dyDescent="0.2">
      <c r="A52" t="s">
        <v>52</v>
      </c>
      <c r="B52" t="s">
        <v>249</v>
      </c>
      <c r="C52">
        <f>((4*G33+4*G51)+(12/C2)*(C6+C3*B9))/4</f>
        <v>29.342400000000001</v>
      </c>
      <c r="D52">
        <f>((4*G33+4*G51)+(12/C2)*(C6+C3*B9*2.5)+16*B16)/5</f>
        <v>24.355200000000004</v>
      </c>
      <c r="E52">
        <f>(2*(4*G33+4*G51)+(12/C2)*(C6+C3*B9*2.5)+32*B16)/8</f>
        <v>23.406000000000002</v>
      </c>
      <c r="F52">
        <f t="shared" si="9"/>
        <v>23.406000000000002</v>
      </c>
      <c r="G52">
        <f t="shared" si="10"/>
        <v>23.406000000000002</v>
      </c>
      <c r="H52" t="str">
        <f t="shared" si="11"/>
        <v>加速</v>
      </c>
      <c r="I52" t="s">
        <v>52</v>
      </c>
      <c r="J52">
        <f t="shared" si="3"/>
        <v>815970.26403486275</v>
      </c>
      <c r="K52" t="s">
        <v>313</v>
      </c>
    </row>
    <row r="53" spans="1:11" x14ac:dyDescent="0.2">
      <c r="A53" t="s">
        <v>58</v>
      </c>
      <c r="B53" t="s">
        <v>158</v>
      </c>
      <c r="C53">
        <f>((2*G36+2*G33)+(5/B2)*(F6+B3*B9))/2</f>
        <v>27.996000000000002</v>
      </c>
      <c r="D53">
        <f>((2*G36+2*G33)+(5/B2)*(F6+2.5*B3*B9)+6*B16)/2.5</f>
        <v>23.1312</v>
      </c>
      <c r="E53">
        <f>(2*(2*G36+2*G33)+(5/B2)*(F6+2.5*B3*B9)+12*B16)/4</f>
        <v>18.548999999999999</v>
      </c>
      <c r="F53">
        <f t="shared" si="9"/>
        <v>18.548999999999999</v>
      </c>
      <c r="G53">
        <f t="shared" si="10"/>
        <v>18.548999999999999</v>
      </c>
      <c r="H53" t="str">
        <f t="shared" si="11"/>
        <v>加速</v>
      </c>
      <c r="I53" t="s">
        <v>58</v>
      </c>
      <c r="J53">
        <f t="shared" si="3"/>
        <v>1029629.6296296297</v>
      </c>
      <c r="K53" t="s">
        <v>313</v>
      </c>
    </row>
    <row r="54" spans="1:11" x14ac:dyDescent="0.2">
      <c r="A54" t="s">
        <v>59</v>
      </c>
      <c r="B54" t="s">
        <v>159</v>
      </c>
      <c r="C54">
        <f>((3*G36)+(2/B2)*(D6+B3*B9))/2</f>
        <v>13.636133333333333</v>
      </c>
      <c r="D54">
        <f>((3*G36)+(2/B2)*(D6+B3*B9*2.5)+3*B16)/2.5</f>
        <v>11.202666666666667</v>
      </c>
      <c r="E54">
        <f>((6*G36)+(2/B2)*(D6+B3*B9*2.5)+6*B16)/4</f>
        <v>10.070666666666668</v>
      </c>
      <c r="F54">
        <f t="shared" si="9"/>
        <v>10.070666666666668</v>
      </c>
      <c r="G54">
        <f t="shared" si="10"/>
        <v>10.070666666666668</v>
      </c>
      <c r="H54" t="str">
        <f t="shared" si="11"/>
        <v>加速</v>
      </c>
      <c r="I54" t="s">
        <v>59</v>
      </c>
      <c r="J54">
        <f t="shared" si="3"/>
        <v>1896458.3609161919</v>
      </c>
      <c r="K54" t="s">
        <v>313</v>
      </c>
    </row>
    <row r="55" spans="1:11" x14ac:dyDescent="0.2">
      <c r="A55" t="s">
        <v>70</v>
      </c>
      <c r="B55" t="s">
        <v>170</v>
      </c>
      <c r="C55">
        <f>((4*G50+2*G54)+(2/B2)*(E6+B3*B9))/1</f>
        <v>59.37093333333334</v>
      </c>
      <c r="D55">
        <f>((4*G50+2*G54)+(2/B2)*(E6+2.5*B3*B9)+6*B16)/1.25</f>
        <v>48.084266666666664</v>
      </c>
      <c r="E55">
        <f>(2*(4*G50+2*G54)+(2/B2)*(E6+2.5*B3*B9)+12*B16)/2</f>
        <v>52.24</v>
      </c>
      <c r="F55">
        <f t="shared" si="9"/>
        <v>48.084266666666664</v>
      </c>
      <c r="G55">
        <f t="shared" si="10"/>
        <v>48.084266666666664</v>
      </c>
      <c r="H55" t="str">
        <f t="shared" si="11"/>
        <v>增产</v>
      </c>
      <c r="I55" t="s">
        <v>70</v>
      </c>
      <c r="J55">
        <f t="shared" si="3"/>
        <v>397190.21051931055</v>
      </c>
      <c r="K55" t="s">
        <v>313</v>
      </c>
    </row>
    <row r="56" spans="1:11" x14ac:dyDescent="0.2">
      <c r="A56" t="s">
        <v>64</v>
      </c>
      <c r="B56" t="s">
        <v>164</v>
      </c>
      <c r="C56">
        <f>(G30+(1/B2)*(D6+B3*B9))</f>
        <v>9.5441333333333347</v>
      </c>
      <c r="D56">
        <f>(G30+(1/B2)*(D6+2.5*B3*B9)+B16)/1.25</f>
        <v>7.9290666666666683</v>
      </c>
      <c r="E56">
        <f>(2*G30+(1/B2)*(D6+2.5*B3*B9)+2*B16)/2</f>
        <v>5.9786666666666672</v>
      </c>
      <c r="F56">
        <f t="shared" si="9"/>
        <v>5.9786666666666672</v>
      </c>
      <c r="G56">
        <f t="shared" si="10"/>
        <v>5.9786666666666672</v>
      </c>
      <c r="H56" t="str">
        <f t="shared" si="11"/>
        <v>加速</v>
      </c>
      <c r="I56" t="s">
        <v>64</v>
      </c>
      <c r="J56">
        <f t="shared" si="3"/>
        <v>3194458.0731489738</v>
      </c>
      <c r="K56" t="s">
        <v>313</v>
      </c>
    </row>
    <row r="57" spans="1:11" x14ac:dyDescent="0.2">
      <c r="A57" t="s">
        <v>66</v>
      </c>
      <c r="B57" t="s">
        <v>166</v>
      </c>
      <c r="C57">
        <f>((2*G30+G31)+(E6+B3*B9)/B2)/2</f>
        <v>6.8180666666666676</v>
      </c>
      <c r="D57">
        <f>((2*G30+G31)+(E6+B3*B9*2.5)/B2+3*B16)/2.5</f>
        <v>5.6013333333333337</v>
      </c>
      <c r="E57">
        <f>(2*(2*G30+G31)+(E6+B3*B9*2.5)/B2+6*B16)/4</f>
        <v>5.0353333333333339</v>
      </c>
      <c r="F57">
        <f t="shared" si="9"/>
        <v>5.0353333333333339</v>
      </c>
      <c r="G57">
        <f t="shared" si="10"/>
        <v>5.0353333333333339</v>
      </c>
      <c r="H57" t="str">
        <f t="shared" si="11"/>
        <v>加速</v>
      </c>
      <c r="I57" t="s">
        <v>66</v>
      </c>
      <c r="J57">
        <f t="shared" si="3"/>
        <v>3792916.7218323839</v>
      </c>
      <c r="K57" t="s">
        <v>313</v>
      </c>
    </row>
    <row r="58" spans="1:11" x14ac:dyDescent="0.2">
      <c r="A58" t="s">
        <v>78</v>
      </c>
      <c r="B58" t="s">
        <v>188</v>
      </c>
      <c r="C58">
        <f>((2*G32+G31)+2*(E6+B3*B9)/B2)</f>
        <v>25.226266666666668</v>
      </c>
      <c r="D58">
        <f>((2*G32+G31)+2*(E6+B3*B9*2.5)/B2+3*B16)/1.25</f>
        <v>20.768533333333334</v>
      </c>
      <c r="E58">
        <f>(2*(2*G32+G31)+2*(E6+B3*B9*2.5)/B2+6*B16)/2</f>
        <v>18.095333333333333</v>
      </c>
      <c r="F58">
        <f t="shared" si="9"/>
        <v>18.095333333333333</v>
      </c>
      <c r="G58">
        <f t="shared" si="10"/>
        <v>18.095333333333333</v>
      </c>
      <c r="H58" t="str">
        <f t="shared" si="11"/>
        <v>加速</v>
      </c>
      <c r="I58" t="s">
        <v>78</v>
      </c>
      <c r="J58">
        <f t="shared" si="3"/>
        <v>1055443.3924031979</v>
      </c>
      <c r="K58" t="s">
        <v>313</v>
      </c>
    </row>
    <row r="59" spans="1:11" x14ac:dyDescent="0.2">
      <c r="A59" t="s">
        <v>73</v>
      </c>
      <c r="B59" t="s">
        <v>173</v>
      </c>
      <c r="C59">
        <f>((2*G57+2*G58)+(3/B2)*(E6+B3*B9))</f>
        <v>68.755733333333339</v>
      </c>
      <c r="D59">
        <f>((2*G57+2*G58)+(3/B2)*(E6+B3*B9*2.5)+4*B16)/1.25</f>
        <v>55.885866666666665</v>
      </c>
      <c r="E59">
        <f>(2*(2*G57+2*G58)+(3/B2)*(E6+B3*B9*2.5)+8*B16)/2</f>
        <v>58.059333333333335</v>
      </c>
      <c r="F59">
        <f t="shared" si="9"/>
        <v>55.885866666666665</v>
      </c>
      <c r="G59">
        <f t="shared" si="10"/>
        <v>55.885866666666665</v>
      </c>
      <c r="H59" t="str">
        <f t="shared" si="11"/>
        <v>增产</v>
      </c>
      <c r="I59" t="s">
        <v>73</v>
      </c>
      <c r="J59">
        <f t="shared" si="3"/>
        <v>341742.93321626936</v>
      </c>
      <c r="K59" t="s">
        <v>313</v>
      </c>
    </row>
    <row r="60" spans="1:11" x14ac:dyDescent="0.2">
      <c r="A60" t="s">
        <v>60</v>
      </c>
      <c r="B60" t="s">
        <v>157</v>
      </c>
      <c r="C60">
        <f>((2*G30+G56+G50)+(2/B2)*(F6+B3*B9))</f>
        <v>31.9786</v>
      </c>
      <c r="D60">
        <f>((2*G30+G56+G50)+(2/B2)*(F6+2.5*B3*B9)+4*B16)/1.25</f>
        <v>26.170399999999994</v>
      </c>
      <c r="E60">
        <f>(2*(2*G30+G56+G50)+(2/B2)*(F6+2.5*B3*B9)+8*B16)/2</f>
        <v>24.420999999999999</v>
      </c>
      <c r="F60">
        <f t="shared" si="9"/>
        <v>24.420999999999999</v>
      </c>
      <c r="G60">
        <f t="shared" si="10"/>
        <v>24.420999999999999</v>
      </c>
      <c r="H60" t="str">
        <f t="shared" si="11"/>
        <v>加速</v>
      </c>
      <c r="I60" t="s">
        <v>60</v>
      </c>
      <c r="J60">
        <f t="shared" si="3"/>
        <v>782056.42684574751</v>
      </c>
      <c r="K60" t="s">
        <v>313</v>
      </c>
    </row>
    <row r="61" spans="1:11" x14ac:dyDescent="0.2">
      <c r="A61" t="s">
        <v>65</v>
      </c>
      <c r="B61" t="s">
        <v>165</v>
      </c>
      <c r="C61">
        <f>((2*G60+2*G50)+(2/B2)*(E6+B3*B9))</f>
        <v>75.954933333333329</v>
      </c>
      <c r="D61">
        <f>((2*G60+2*G50)+(2/B2)*(E6+2.5*B3*B9)+4*B16)/1.25</f>
        <v>61.351466666666667</v>
      </c>
      <c r="E61">
        <f>(2*(2*G60+2*G50)+(2/B2)*(E6+2.5*B3*B9)+8*B16)/2</f>
        <v>68.823999999999998</v>
      </c>
      <c r="F61">
        <f t="shared" si="9"/>
        <v>61.351466666666667</v>
      </c>
      <c r="G61">
        <f t="shared" si="10"/>
        <v>61.351466666666667</v>
      </c>
      <c r="H61" t="str">
        <f t="shared" si="11"/>
        <v>增产</v>
      </c>
      <c r="I61" t="s">
        <v>65</v>
      </c>
      <c r="J61">
        <f t="shared" si="3"/>
        <v>311298.18140723614</v>
      </c>
      <c r="K61" t="s">
        <v>313</v>
      </c>
    </row>
    <row r="62" spans="1:11" x14ac:dyDescent="0.2">
      <c r="A62" t="s">
        <v>230</v>
      </c>
      <c r="B62" t="s">
        <v>160</v>
      </c>
      <c r="C62">
        <f>((3*G33)+(4/B2)*(E6+B3*B9))</f>
        <v>42.268533333333338</v>
      </c>
      <c r="D62">
        <f>((3*G33)+(4/B2)*(E6+B3*B9*2.5)+4*B16)/1.25</f>
        <v>34.989866666666664</v>
      </c>
      <c r="E62">
        <f>(2*(3*G33)+(4/B2)*(E6+B3*B9*2.5)+8*B16)/2</f>
        <v>28.006666666666668</v>
      </c>
      <c r="F62">
        <f t="shared" si="9"/>
        <v>28.006666666666668</v>
      </c>
      <c r="G62">
        <f t="shared" si="10"/>
        <v>28.006666666666668</v>
      </c>
      <c r="H62" t="str">
        <f t="shared" si="11"/>
        <v>加速</v>
      </c>
      <c r="I62" t="s">
        <v>230</v>
      </c>
      <c r="J62">
        <f t="shared" si="3"/>
        <v>681930.49273982388</v>
      </c>
      <c r="K62" t="s">
        <v>313</v>
      </c>
    </row>
    <row r="63" spans="1:11" x14ac:dyDescent="0.2">
      <c r="A63" t="s">
        <v>174</v>
      </c>
      <c r="B63" t="s">
        <v>469</v>
      </c>
      <c r="C63">
        <f>((2*G39)+(4/B2)*(F6+B3*B9))</f>
        <v>45.8172</v>
      </c>
      <c r="D63">
        <f>((2*G39)+(4/B2)*(F6+2.5*B3*B9)+22*B16)/1.25</f>
        <v>37.828799999999987</v>
      </c>
      <c r="E63">
        <f>(2*(2*G39)+(4/B2)*(F6+2.5*B3*B9)+44*B16)/2</f>
        <v>30.701999999999995</v>
      </c>
      <c r="F63">
        <f t="shared" si="9"/>
        <v>30.701999999999995</v>
      </c>
      <c r="G63">
        <f t="shared" si="10"/>
        <v>30.701999999999995</v>
      </c>
      <c r="H63" t="str">
        <f t="shared" si="11"/>
        <v>加速</v>
      </c>
      <c r="I63" t="s">
        <v>174</v>
      </c>
      <c r="J63">
        <f t="shared" si="3"/>
        <v>622063.70920461218</v>
      </c>
      <c r="K63" t="s">
        <v>313</v>
      </c>
    </row>
    <row r="64" spans="1:11" x14ac:dyDescent="0.2">
      <c r="A64" t="s">
        <v>176</v>
      </c>
      <c r="B64" t="s">
        <v>177</v>
      </c>
      <c r="C64">
        <f>((G62+2*G39)+(4/B2)*(F6+B3*B9))</f>
        <v>73.823866666666675</v>
      </c>
      <c r="D64">
        <f>((G62+2*G39)+(4/B2)*(F6+2.5*B3*B9)+18*B16)/1.25</f>
        <v>60.234133333333332</v>
      </c>
      <c r="E64">
        <f>(2*(G62+2*G39)+(4/B2)*(F6+2.5*B3*B9)+36*B16)/2</f>
        <v>58.708666666666666</v>
      </c>
      <c r="F64">
        <f t="shared" si="9"/>
        <v>58.708666666666666</v>
      </c>
      <c r="G64">
        <f t="shared" si="10"/>
        <v>58.708666666666666</v>
      </c>
      <c r="H64" t="str">
        <f t="shared" si="11"/>
        <v>加速</v>
      </c>
      <c r="I64" t="s">
        <v>176</v>
      </c>
      <c r="J64">
        <f t="shared" si="3"/>
        <v>325311.42477544484</v>
      </c>
      <c r="K64" t="s">
        <v>313</v>
      </c>
    </row>
    <row r="65" spans="1:11" x14ac:dyDescent="0.2">
      <c r="A65" t="s">
        <v>68</v>
      </c>
      <c r="B65" t="s">
        <v>168</v>
      </c>
      <c r="C65">
        <f>((D22+2*G53)+(12/B2)*(E6+B3*B9))</f>
        <v>157.77760000000001</v>
      </c>
      <c r="D65">
        <f>((D22+2*G53)+(12/B2)*(E6+2.5*B3*B9)+3*B16)/1.25</f>
        <v>129.74720000000002</v>
      </c>
      <c r="E65">
        <f>(2*(D22+2*G53)+(12/B2)*(E6+2.5*B3*B9)+6*B16)/2</f>
        <v>114.992</v>
      </c>
      <c r="F65">
        <f t="shared" si="9"/>
        <v>114.992</v>
      </c>
      <c r="G65">
        <f t="shared" si="10"/>
        <v>114.992</v>
      </c>
      <c r="H65" t="str">
        <f t="shared" si="11"/>
        <v>加速</v>
      </c>
      <c r="I65" t="s">
        <v>68</v>
      </c>
      <c r="J65">
        <f t="shared" si="3"/>
        <v>166086.33644079589</v>
      </c>
      <c r="K65" t="s">
        <v>313</v>
      </c>
    </row>
    <row r="66" spans="1:11" x14ac:dyDescent="0.2">
      <c r="A66" t="s">
        <v>139</v>
      </c>
      <c r="B66" t="s">
        <v>179</v>
      </c>
      <c r="C66">
        <f>((2*G31)+(4/B2)*(E6+B3*B9))</f>
        <v>34.084533333333333</v>
      </c>
      <c r="D66">
        <f>((2*G31)+(4/B2)*(E6+2.5*B3*B9)+12*B16)/1.25</f>
        <v>28.442666666666668</v>
      </c>
      <c r="E66">
        <f>(2*(2*G31)+(4/B2)*(E6+2.5*B3*B9)+24*B16)/2</f>
        <v>19.82266666666667</v>
      </c>
      <c r="F66">
        <f t="shared" si="9"/>
        <v>19.82266666666667</v>
      </c>
      <c r="G66">
        <f t="shared" si="10"/>
        <v>19.82266666666667</v>
      </c>
      <c r="H66" t="str">
        <f t="shared" si="11"/>
        <v>加速</v>
      </c>
      <c r="I66" t="s">
        <v>139</v>
      </c>
      <c r="J66">
        <f t="shared" si="3"/>
        <v>963472.79208986333</v>
      </c>
      <c r="K66" t="s">
        <v>313</v>
      </c>
    </row>
    <row r="67" spans="1:11" x14ac:dyDescent="0.2">
      <c r="A67" t="s">
        <v>140</v>
      </c>
      <c r="B67" t="s">
        <v>178</v>
      </c>
      <c r="C67">
        <f>((2*G61+2*G31+2*G39)+(4/B2)*(F6+B3*B9))</f>
        <v>172.61213333333333</v>
      </c>
      <c r="D67">
        <f>((2*G61+2*G31+2*G39)+(4/B2)*(F6+2.5*B3*B9)+6*B16)/1.25</f>
        <v>139.26474666666667</v>
      </c>
      <c r="E67">
        <f>(2*(2*G61+2*G31+2*G39)+(4/B2)*(F6+2.5*B3*B9)+12*B16)/2</f>
        <v>157.49693333333335</v>
      </c>
      <c r="F67">
        <f t="shared" si="9"/>
        <v>139.26474666666667</v>
      </c>
      <c r="G67">
        <f t="shared" si="10"/>
        <v>139.26474666666667</v>
      </c>
      <c r="H67" t="str">
        <f t="shared" si="11"/>
        <v>增产</v>
      </c>
      <c r="I67" t="s">
        <v>140</v>
      </c>
      <c r="J67">
        <f t="shared" si="3"/>
        <v>137138.79827543817</v>
      </c>
      <c r="K67" t="s">
        <v>313</v>
      </c>
    </row>
    <row r="68" spans="1:11" x14ac:dyDescent="0.2">
      <c r="A68" t="s">
        <v>63</v>
      </c>
      <c r="B68" t="s">
        <v>163</v>
      </c>
      <c r="C68">
        <f>((2*B22+2*G30+10*C22)+(8/F2)*(L6+F3*B9))</f>
        <v>494.37733333333335</v>
      </c>
      <c r="D68">
        <f>((2*B22+2*G30+10*C22)+(8/F2)*(L6+2.5*F3*B9)+14*B16)/1.25</f>
        <v>434.66986666666674</v>
      </c>
      <c r="E68">
        <f>(2*(2*B22+2*G30+10*C22)+(8/F2)*(L6+2.5*F3*B9)+28*B16)/2</f>
        <v>293.53733333333332</v>
      </c>
      <c r="F68">
        <f t="shared" si="9"/>
        <v>293.53733333333332</v>
      </c>
      <c r="G68">
        <f t="shared" si="10"/>
        <v>293.53733333333332</v>
      </c>
      <c r="H68" t="str">
        <f t="shared" si="11"/>
        <v>加速</v>
      </c>
      <c r="I68" t="s">
        <v>63</v>
      </c>
      <c r="J68">
        <f t="shared" si="3"/>
        <v>65063.614849672733</v>
      </c>
      <c r="K68" t="s">
        <v>313</v>
      </c>
    </row>
    <row r="69" spans="1:11" x14ac:dyDescent="0.2">
      <c r="A69" t="s">
        <v>200</v>
      </c>
      <c r="B69" t="s">
        <v>201</v>
      </c>
      <c r="C69">
        <f>((2*G54+G57)+(3/B2)*(E6+B3*B9))</f>
        <v>47.671066666666675</v>
      </c>
      <c r="D69">
        <f>((2*G54+G57)+(3/B2)*(E6+2.5*B3*B9)+3*B16)/1.25</f>
        <v>39.018133333333338</v>
      </c>
      <c r="E69">
        <f>(2*(2*G54+G57)+(3/B2)*(E6+2.5*B3*B9)+6*B16)/2</f>
        <v>36.974666666666671</v>
      </c>
      <c r="F69">
        <f t="shared" si="9"/>
        <v>36.974666666666671</v>
      </c>
      <c r="G69">
        <f t="shared" si="10"/>
        <v>36.974666666666671</v>
      </c>
      <c r="H69" t="str">
        <f t="shared" si="11"/>
        <v>加速</v>
      </c>
      <c r="I69" t="s">
        <v>200</v>
      </c>
      <c r="J69">
        <f t="shared" si="3"/>
        <v>516532.03995528462</v>
      </c>
      <c r="K69" t="s">
        <v>313</v>
      </c>
    </row>
    <row r="70" spans="1:11" x14ac:dyDescent="0.2">
      <c r="A70" t="s">
        <v>186</v>
      </c>
      <c r="B70" t="s">
        <v>187</v>
      </c>
      <c r="C70">
        <f>((G57)+(3/B2)*(E6+B3*B9))</f>
        <v>27.529733333333336</v>
      </c>
      <c r="D70">
        <f>((G57)+(3/B2)*(E6+2.5*B3*B9)+2*B16)/1.25</f>
        <v>22.90506666666667</v>
      </c>
      <c r="E70">
        <f>(2*(G57)+(3/B2)*(E6+2.5*B3*B9)+4*B16)/2</f>
        <v>16.833333333333336</v>
      </c>
      <c r="F70">
        <f t="shared" si="9"/>
        <v>16.833333333333336</v>
      </c>
      <c r="G70">
        <f t="shared" si="10"/>
        <v>16.833333333333336</v>
      </c>
      <c r="H70" t="str">
        <f t="shared" si="11"/>
        <v>加速</v>
      </c>
      <c r="I70" t="s">
        <v>186</v>
      </c>
      <c r="J70">
        <f t="shared" si="3"/>
        <v>1134570.2970297029</v>
      </c>
      <c r="K70" t="s">
        <v>313</v>
      </c>
    </row>
    <row r="71" spans="1:11" x14ac:dyDescent="0.2">
      <c r="A71" t="s">
        <v>75</v>
      </c>
      <c r="B71" t="s">
        <v>183</v>
      </c>
      <c r="C71">
        <f>((G39+E22)+(4/B2)*(E6+B3*B9))/2</f>
        <v>26.942433333333334</v>
      </c>
      <c r="D71">
        <f>((G39+E22)+(4/B2)*(E6+2.5*B3*B9)+2*B16)/2.5</f>
        <v>22.141466666666666</v>
      </c>
      <c r="E71">
        <f>(2*(G39+E22)+(4/B2)*(E6+2.5*B3*B9)+4*B16)/4</f>
        <v>19.811500000000002</v>
      </c>
      <c r="F71">
        <f t="shared" si="9"/>
        <v>19.811500000000002</v>
      </c>
      <c r="G71">
        <f t="shared" si="10"/>
        <v>19.811500000000002</v>
      </c>
      <c r="H71" t="str">
        <f t="shared" si="11"/>
        <v>加速</v>
      </c>
      <c r="I71" t="s">
        <v>75</v>
      </c>
      <c r="J71">
        <f t="shared" si="3"/>
        <v>964015.84938041028</v>
      </c>
      <c r="K71" t="s">
        <v>313</v>
      </c>
    </row>
    <row r="72" spans="1:11" x14ac:dyDescent="0.2">
      <c r="A72" t="s">
        <v>80</v>
      </c>
      <c r="B72" t="s">
        <v>191</v>
      </c>
      <c r="C72">
        <f>((2*F22)+(2/F2)*(L6+F3*B9))/2</f>
        <v>56.33</v>
      </c>
      <c r="D72" t="s">
        <v>233</v>
      </c>
      <c r="E72">
        <f>(2*(2*F22)+(2/F2)*(L6+2.5*F3*B9)+4*B16)/4</f>
        <v>31.225000000000001</v>
      </c>
      <c r="F72">
        <f t="shared" si="9"/>
        <v>31.225000000000001</v>
      </c>
      <c r="G72">
        <f t="shared" si="10"/>
        <v>31.225000000000001</v>
      </c>
      <c r="H72" t="str">
        <f t="shared" si="11"/>
        <v>加速</v>
      </c>
      <c r="I72" t="s">
        <v>80</v>
      </c>
      <c r="J72">
        <f t="shared" si="3"/>
        <v>611644.51561249001</v>
      </c>
      <c r="K72" t="s">
        <v>313</v>
      </c>
    </row>
    <row r="73" spans="1:11" x14ac:dyDescent="0.2">
      <c r="A73" t="s">
        <v>45</v>
      </c>
      <c r="B73" t="s">
        <v>93</v>
      </c>
      <c r="C73">
        <f>((2*G40+G35)+(3/D2)*(I6+D3*B9))</f>
        <v>85.425600000000003</v>
      </c>
      <c r="D73">
        <f>((2*G40+G35)+(3/D2)*(I6+2.5*D3*B9)+3*B16)/1.25</f>
        <v>69.662400000000005</v>
      </c>
      <c r="E73">
        <f>(2*(2*G40+G35)+(3/D2)*(I6+2.5*D3*B9)+6*B16)/2</f>
        <v>65.900999999999996</v>
      </c>
      <c r="F73">
        <f t="shared" si="9"/>
        <v>65.900999999999996</v>
      </c>
      <c r="G73">
        <f t="shared" si="10"/>
        <v>65.900999999999996</v>
      </c>
      <c r="H73" t="str">
        <f t="shared" si="11"/>
        <v>加速</v>
      </c>
      <c r="I73" t="s">
        <v>45</v>
      </c>
      <c r="J73">
        <f t="shared" si="3"/>
        <v>289807.43843037286</v>
      </c>
      <c r="K73" t="s">
        <v>313</v>
      </c>
    </row>
    <row r="74" spans="1:11" x14ac:dyDescent="0.2">
      <c r="A74" t="s">
        <v>72</v>
      </c>
      <c r="B74" t="s">
        <v>172</v>
      </c>
      <c r="C74">
        <f>((2*G41+2*G37+G73)+(8/B2)*(F6+B3*B9))</f>
        <v>163.43439999999998</v>
      </c>
      <c r="D74">
        <f>((2*G41+2*G37+G73)+(8/B2)*(F6+2.5*B3*B9)+5*B16)/1.25</f>
        <v>133.0976</v>
      </c>
      <c r="E74">
        <f>(2*(2*G41+2*G37+G73)+(8/B2)*(F6+2.5*B3*B9)+10*B16)/2</f>
        <v>133.20400000000001</v>
      </c>
      <c r="F74">
        <f t="shared" si="9"/>
        <v>133.0976</v>
      </c>
      <c r="G74">
        <f t="shared" si="10"/>
        <v>133.0976</v>
      </c>
      <c r="H74" t="str">
        <f t="shared" si="11"/>
        <v>增产</v>
      </c>
      <c r="I74" t="s">
        <v>72</v>
      </c>
      <c r="J74">
        <f t="shared" si="3"/>
        <v>143493.19597047579</v>
      </c>
      <c r="K74" t="s">
        <v>313</v>
      </c>
    </row>
    <row r="75" spans="1:11" x14ac:dyDescent="0.2">
      <c r="A75" t="s">
        <v>475</v>
      </c>
      <c r="B75" t="s">
        <v>476</v>
      </c>
      <c r="C75">
        <f>((3*G39+G33)+(4/D2)*(I6+D3*B9))/2</f>
        <v>39.768900000000002</v>
      </c>
      <c r="D75">
        <f>((3*G39+G33)+(4/D2)*(I6+2.5*D3*B9)+4*B16)/2.5</f>
        <v>32.696399999999997</v>
      </c>
      <c r="E75">
        <f>((3*G39+G33)+(2/D2)*(I6+2.5*D3*B9)+4*B16)/2</f>
        <v>26.752499999999998</v>
      </c>
      <c r="F75">
        <f t="shared" si="9"/>
        <v>26.752499999999998</v>
      </c>
      <c r="G75">
        <f t="shared" si="10"/>
        <v>26.752499999999998</v>
      </c>
      <c r="H75" t="str">
        <f t="shared" si="11"/>
        <v>加速</v>
      </c>
      <c r="I75" t="s">
        <v>475</v>
      </c>
      <c r="J75">
        <f t="shared" si="3"/>
        <v>713899.63554807974</v>
      </c>
      <c r="K75" t="s">
        <v>313</v>
      </c>
    </row>
    <row r="78" spans="1:11" ht="19.5" x14ac:dyDescent="0.2">
      <c r="A78" s="19" t="s">
        <v>223</v>
      </c>
      <c r="B78" s="19"/>
      <c r="C78" s="19"/>
      <c r="D78" s="19"/>
      <c r="E78" s="19"/>
      <c r="F78" s="19"/>
    </row>
    <row r="79" spans="1:11" x14ac:dyDescent="0.2">
      <c r="A79" t="s">
        <v>71</v>
      </c>
      <c r="B79" t="s">
        <v>171</v>
      </c>
      <c r="C79">
        <f>((2*G61+3*G42+G35)+(3/B2)*(F6+B3*B9))</f>
        <v>159.77633333333335</v>
      </c>
      <c r="D79">
        <f>((2*G61+3*G42+G35)+(3/B2)*(F6+2.5*B3*B9)+6*B16)/1.25</f>
        <v>128.70234666666667</v>
      </c>
      <c r="E79">
        <f>(2*(2*G61+3*G42+G35)+(3/B2)*(F6+2.5*B3*B9)+12*B16)/2</f>
        <v>148.43993333333333</v>
      </c>
      <c r="F79">
        <f t="shared" ref="F79:F94" si="12">MIN(C79:E79)</f>
        <v>128.70234666666667</v>
      </c>
      <c r="G79">
        <f t="shared" ref="G79:G94" si="13">F79</f>
        <v>128.70234666666667</v>
      </c>
      <c r="H79" t="str">
        <f t="shared" ref="H79:H94" si="14">IF(C79=G79,"不使用增产剂","")&amp;IF(D79=G79,"增产","")&amp;IF(E79=G79,"加速","")</f>
        <v>增产</v>
      </c>
      <c r="I79" t="s">
        <v>71</v>
      </c>
      <c r="J79">
        <f t="shared" si="3"/>
        <v>148393.56464466432</v>
      </c>
      <c r="K79" t="s">
        <v>313</v>
      </c>
    </row>
    <row r="80" spans="1:11" x14ac:dyDescent="0.2">
      <c r="A80" t="s">
        <v>67</v>
      </c>
      <c r="B80" t="s">
        <v>167</v>
      </c>
      <c r="C80">
        <f>(4*G38+G68)+(6/B2)*(E6+B3*B9)</f>
        <v>344.66413333333333</v>
      </c>
      <c r="D80">
        <f>((4*G38+G68)+(6/B2)*(E6+2.5*B3*B9)+5*B16)/1.25</f>
        <v>277.49386666666663</v>
      </c>
      <c r="E80">
        <f>(2*(4*G38+G68)+(6/B2)*(E6+2.5*B3*B9)+10*B16)/2</f>
        <v>323.2713333333333</v>
      </c>
      <c r="F80">
        <f t="shared" si="12"/>
        <v>277.49386666666663</v>
      </c>
      <c r="G80">
        <f t="shared" si="13"/>
        <v>277.49386666666663</v>
      </c>
      <c r="H80" t="str">
        <f t="shared" si="14"/>
        <v>增产</v>
      </c>
      <c r="I80" t="s">
        <v>67</v>
      </c>
      <c r="J80">
        <f t="shared" si="3"/>
        <v>68825.304967701391</v>
      </c>
      <c r="K80" t="s">
        <v>313</v>
      </c>
    </row>
    <row r="81" spans="1:11" x14ac:dyDescent="0.2">
      <c r="A81" t="s">
        <v>79</v>
      </c>
      <c r="B81" t="s">
        <v>189</v>
      </c>
      <c r="C81">
        <f>(2*G59+2*G65)+(6/B2)*(E6+B3*B9)</f>
        <v>386.74453333333338</v>
      </c>
      <c r="D81">
        <f>((2*G59+2*G65)+(6/B2)*(E6+2.5*B3*B9)+4*B16)/1.25</f>
        <v>311.15818666666667</v>
      </c>
      <c r="E81">
        <f>(2*(2*G59+2*G65)+(6/B2)*(E6+2.5*B3*B9)+8*B16)/2</f>
        <v>365.35173333333336</v>
      </c>
      <c r="F81">
        <f t="shared" si="12"/>
        <v>311.15818666666667</v>
      </c>
      <c r="G81">
        <f t="shared" si="13"/>
        <v>311.15818666666667</v>
      </c>
      <c r="H81" t="str">
        <f t="shared" si="14"/>
        <v>增产</v>
      </c>
      <c r="I81" t="s">
        <v>79</v>
      </c>
      <c r="J81">
        <f t="shared" si="3"/>
        <v>61379.069612780877</v>
      </c>
      <c r="K81" t="s">
        <v>313</v>
      </c>
    </row>
    <row r="82" spans="1:11" x14ac:dyDescent="0.2">
      <c r="A82" t="s">
        <v>76</v>
      </c>
      <c r="B82" t="s">
        <v>184</v>
      </c>
      <c r="C82">
        <f>((4*G41+G52+G32)+(6/B2)*(F6+B3*B9))</f>
        <v>131.5188</v>
      </c>
      <c r="D82">
        <f>((4*G41+G52+G32)+(6/B2)*(F6+2.5*B3*B9)+6*B16)/1.25</f>
        <v>106.97759999999998</v>
      </c>
      <c r="E82">
        <f>(2*(4*G41+G52+G32)+(6/B2)*(F6+2.5*B3*B9)+12*B16)/2</f>
        <v>108.846</v>
      </c>
      <c r="F82">
        <f t="shared" si="12"/>
        <v>106.97759999999998</v>
      </c>
      <c r="G82">
        <f t="shared" si="13"/>
        <v>106.97759999999998</v>
      </c>
      <c r="H82" t="str">
        <f t="shared" si="14"/>
        <v>增产</v>
      </c>
      <c r="I82" t="s">
        <v>76</v>
      </c>
      <c r="J82">
        <f t="shared" si="3"/>
        <v>178528.96307264327</v>
      </c>
      <c r="K82" t="s">
        <v>313</v>
      </c>
    </row>
    <row r="83" spans="1:11" x14ac:dyDescent="0.2">
      <c r="A83" t="s">
        <v>77</v>
      </c>
      <c r="B83" t="s">
        <v>185</v>
      </c>
      <c r="C83">
        <f>((3*G82+3*G71+3*G59)+(8/B2)*(F6+B3*B9))</f>
        <v>611.42329999999993</v>
      </c>
      <c r="D83">
        <f>((3*G82+3*G71+3*G59)+(8/B2)*(F6+2.5*B3*B9)+9*B16)/1.25</f>
        <v>491.48871999999994</v>
      </c>
      <c r="E83">
        <f>(2*(3*G82+3*G71+3*G59)+(8/B2)*(F6+2.5*B3*B9)+18*B16)/2</f>
        <v>581.1928999999999</v>
      </c>
      <c r="F83">
        <f t="shared" si="12"/>
        <v>491.48871999999994</v>
      </c>
      <c r="G83">
        <f t="shared" si="13"/>
        <v>491.48871999999994</v>
      </c>
      <c r="H83" t="str">
        <f t="shared" si="14"/>
        <v>增产</v>
      </c>
      <c r="I83" t="s">
        <v>77</v>
      </c>
      <c r="J83">
        <f t="shared" si="3"/>
        <v>38858.674111584907</v>
      </c>
      <c r="K83" t="s">
        <v>313</v>
      </c>
    </row>
    <row r="84" spans="1:11" x14ac:dyDescent="0.2">
      <c r="A84" t="s">
        <v>74</v>
      </c>
      <c r="B84" t="s">
        <v>182</v>
      </c>
      <c r="C84">
        <f>((B22+G59)+(20/B2)*(E6+B3*B9))</f>
        <v>225.6712</v>
      </c>
      <c r="D84">
        <f>((B22+G59)+(20/B2)*(E6+2.5*B3*B9)+2*B16)/1.25</f>
        <v>186.41216000000003</v>
      </c>
      <c r="E84">
        <f>(2*(B22+G59)+(20/B2)*(E6+2.5*B3*B9)+4*B16)/2</f>
        <v>154.36186666666669</v>
      </c>
      <c r="F84">
        <f t="shared" si="12"/>
        <v>154.36186666666669</v>
      </c>
      <c r="G84">
        <f t="shared" si="13"/>
        <v>154.36186666666669</v>
      </c>
      <c r="H84" t="str">
        <f t="shared" si="14"/>
        <v>加速</v>
      </c>
      <c r="I84" t="s">
        <v>74</v>
      </c>
      <c r="J84">
        <f t="shared" si="3"/>
        <v>123726.15343685918</v>
      </c>
      <c r="K84" t="s">
        <v>313</v>
      </c>
    </row>
    <row r="85" spans="1:11" x14ac:dyDescent="0.2">
      <c r="A85" t="s">
        <v>180</v>
      </c>
      <c r="B85" t="s">
        <v>181</v>
      </c>
      <c r="C85">
        <f>(G105+(10/B2)*(D6+B3*B9))/8</f>
        <v>41.094869333333335</v>
      </c>
      <c r="D85">
        <f>(G105+(10/B2)*(D6+2.5*B3*B9)+B16)/10</f>
        <v>33.243095466666666</v>
      </c>
      <c r="E85">
        <f>(2*G105+(10/B2)*(D6+2.5*B3*B9)+2*B16)/16</f>
        <v>36.638036</v>
      </c>
      <c r="F85">
        <f t="shared" si="12"/>
        <v>33.243095466666666</v>
      </c>
      <c r="G85">
        <f t="shared" si="13"/>
        <v>33.243095466666666</v>
      </c>
      <c r="H85" t="str">
        <f t="shared" si="14"/>
        <v>增产</v>
      </c>
      <c r="I85" t="s">
        <v>180</v>
      </c>
      <c r="J85">
        <f t="shared" si="3"/>
        <v>574513.28559792042</v>
      </c>
      <c r="K85" t="s">
        <v>313</v>
      </c>
    </row>
    <row r="86" spans="1:11" x14ac:dyDescent="0.2">
      <c r="A86" t="s">
        <v>69</v>
      </c>
      <c r="B86" t="s">
        <v>169</v>
      </c>
      <c r="C86">
        <f>((2*G83+4*G91+2*G81)+(6/B2)*(F6+B3*B9))</f>
        <v>2055.4223679999996</v>
      </c>
      <c r="D86">
        <f>((2*G83+4*G91+2*G81)+(6/B2)*(F6+2.5*B3*B9)+8*B16)/1.25</f>
        <v>1646.1004544</v>
      </c>
      <c r="E86">
        <f>(2*(2*G83+4*G91+2*G81)+(6/B2)*(F6+2.5*B3*B9)+16*B16)/2</f>
        <v>2032.7495679999997</v>
      </c>
      <c r="F86">
        <f t="shared" si="12"/>
        <v>1646.1004544</v>
      </c>
      <c r="G86">
        <f t="shared" si="13"/>
        <v>1646.1004544</v>
      </c>
      <c r="H86" t="str">
        <f t="shared" si="14"/>
        <v>增产</v>
      </c>
      <c r="I86" t="s">
        <v>69</v>
      </c>
      <c r="J86">
        <f t="shared" si="3"/>
        <v>11602.329583805016</v>
      </c>
      <c r="K86" t="s">
        <v>313</v>
      </c>
    </row>
    <row r="87" spans="1:11" x14ac:dyDescent="0.2">
      <c r="A87" t="s">
        <v>47</v>
      </c>
      <c r="B87" t="s">
        <v>141</v>
      </c>
      <c r="C87">
        <f>(0.5/B2)*(D6+B3*B9)</f>
        <v>3.7490666666666668</v>
      </c>
      <c r="D87">
        <f>((0.5/B2)*(D6+2.5*B3*B9)+B16)/1.25</f>
        <v>3.1461333333333337</v>
      </c>
      <c r="E87">
        <f>((0.5/B2)*(D6+2.5*B3*B9)+2*B16)/2</f>
        <v>1.9663333333333335</v>
      </c>
      <c r="F87">
        <f t="shared" si="12"/>
        <v>1.9663333333333335</v>
      </c>
      <c r="G87">
        <f t="shared" si="13"/>
        <v>1.9663333333333335</v>
      </c>
      <c r="H87" t="str">
        <f t="shared" si="14"/>
        <v>加速</v>
      </c>
      <c r="I87" t="s">
        <v>47</v>
      </c>
      <c r="J87">
        <f t="shared" si="3"/>
        <v>9712798.7794541437</v>
      </c>
      <c r="K87" t="s">
        <v>313</v>
      </c>
    </row>
    <row r="88" spans="1:11" x14ac:dyDescent="0.2">
      <c r="A88" t="s">
        <v>48</v>
      </c>
      <c r="B88" t="s">
        <v>142</v>
      </c>
      <c r="C88">
        <f>((2*G87+G38)+(1/B2)*(E6+B3*B9))</f>
        <v>12.965300000000001</v>
      </c>
      <c r="D88">
        <f>((2*G87+G38)+(1/B2)*(E6+2.5*B3*B9)+3*B16)/1.25</f>
        <v>10.666</v>
      </c>
      <c r="E88">
        <f>(2*(2*G87+G38)+(1/B2)*(E6+2.5*B3*B9)+6*B16)/2</f>
        <v>9.3998333333333335</v>
      </c>
      <c r="F88">
        <f t="shared" si="12"/>
        <v>9.3998333333333335</v>
      </c>
      <c r="G88">
        <f t="shared" si="13"/>
        <v>9.3998333333333335</v>
      </c>
      <c r="H88" t="str">
        <f t="shared" si="14"/>
        <v>加速</v>
      </c>
      <c r="I88" t="s">
        <v>48</v>
      </c>
      <c r="J88">
        <f t="shared" si="3"/>
        <v>2031801.9823046508</v>
      </c>
      <c r="K88" t="s">
        <v>313</v>
      </c>
    </row>
    <row r="89" spans="1:11" x14ac:dyDescent="0.2">
      <c r="A89" t="s">
        <v>49</v>
      </c>
      <c r="B89" t="s">
        <v>143</v>
      </c>
      <c r="C89">
        <f>((2*G88+G22)+(2/B2)*(E6+B3*B9))</f>
        <v>47.913933333333333</v>
      </c>
      <c r="D89">
        <f>((2*G88+G22)+(2/B2)*(E6+2.5*B3*B9)+3*B16)/1.25</f>
        <v>38.91866666666666</v>
      </c>
      <c r="E89">
        <f>(2*(2*G88+G22)+(2/B2)*(E6+2.5*B3*B9)+6*B16)/2</f>
        <v>40.782999999999994</v>
      </c>
      <c r="F89">
        <f t="shared" si="12"/>
        <v>38.91866666666666</v>
      </c>
      <c r="G89">
        <f t="shared" si="13"/>
        <v>38.91866666666666</v>
      </c>
      <c r="H89" t="str">
        <f t="shared" si="14"/>
        <v>增产</v>
      </c>
      <c r="I89" t="s">
        <v>49</v>
      </c>
      <c r="J89">
        <f t="shared" si="3"/>
        <v>490731.09733118647</v>
      </c>
      <c r="K89" t="s">
        <v>313</v>
      </c>
    </row>
    <row r="90" spans="1:11" x14ac:dyDescent="0.2">
      <c r="A90" t="s">
        <v>57</v>
      </c>
      <c r="B90" t="s">
        <v>152</v>
      </c>
      <c r="C90">
        <f>(G33+(6/B2)*(E6+B3*B9))/2</f>
        <v>24.540400000000002</v>
      </c>
      <c r="D90">
        <f>(G33+(6/B2)*(E6+2.5*B3*B9)+11*B16)/2.5</f>
        <v>20.513600000000004</v>
      </c>
      <c r="E90">
        <f>(2*G33+(6/B2)*(E6+2.5*B3*B9)+22*B16)/4</f>
        <v>13.844000000000001</v>
      </c>
      <c r="F90">
        <f t="shared" si="12"/>
        <v>13.844000000000001</v>
      </c>
      <c r="G90">
        <f t="shared" si="13"/>
        <v>13.844000000000001</v>
      </c>
      <c r="H90" t="str">
        <f t="shared" si="14"/>
        <v>加速</v>
      </c>
      <c r="I90" t="s">
        <v>57</v>
      </c>
      <c r="J90">
        <f t="shared" si="3"/>
        <v>1379557.9312337474</v>
      </c>
      <c r="K90" t="s">
        <v>313</v>
      </c>
    </row>
    <row r="91" spans="1:11" x14ac:dyDescent="0.2">
      <c r="A91" t="s">
        <v>56</v>
      </c>
      <c r="B91" t="s">
        <v>153</v>
      </c>
      <c r="C91">
        <f>((G52+20*C22+G79)+(12/B2)*(F6+B3*B9))/2</f>
        <v>123.60297333333334</v>
      </c>
      <c r="D91">
        <f>((G52+20*C22+G79)+(12/B2)*(F6+2.5*B3*B9)+22*B16)/2.5</f>
        <v>100.64493866666666</v>
      </c>
      <c r="E91">
        <f>(2*(G52+20*C22+G79)+(12/B2)*(F6+2.5*B3*B9)+44*B16)/4</f>
        <v>100.93017333333333</v>
      </c>
      <c r="F91">
        <f t="shared" si="12"/>
        <v>100.64493866666666</v>
      </c>
      <c r="G91">
        <f t="shared" si="13"/>
        <v>100.64493866666666</v>
      </c>
      <c r="H91" t="str">
        <f t="shared" si="14"/>
        <v>增产</v>
      </c>
      <c r="I91" t="s">
        <v>56</v>
      </c>
      <c r="J91">
        <f t="shared" si="3"/>
        <v>189762.15051662014</v>
      </c>
      <c r="K91" t="s">
        <v>313</v>
      </c>
    </row>
    <row r="92" spans="1:11" x14ac:dyDescent="0.2">
      <c r="A92" t="s">
        <v>54</v>
      </c>
      <c r="B92" t="s">
        <v>155</v>
      </c>
      <c r="C92">
        <f>((12*G72+G84+G52)+(24/B2)*(G6+B3*B9))/2</f>
        <v>371.33153333333331</v>
      </c>
      <c r="D92" t="s">
        <v>246</v>
      </c>
      <c r="E92">
        <f>(2*(12*G72+G84+G52)+(24/B2)*(G6+2.5*B3*B9)+52*B16)/4</f>
        <v>325.98593333333332</v>
      </c>
      <c r="F92">
        <f t="shared" si="12"/>
        <v>325.98593333333332</v>
      </c>
      <c r="G92">
        <f t="shared" si="13"/>
        <v>325.98593333333332</v>
      </c>
      <c r="H92" t="str">
        <f t="shared" si="14"/>
        <v>加速</v>
      </c>
      <c r="I92" t="s">
        <v>54</v>
      </c>
      <c r="J92">
        <f t="shared" si="3"/>
        <v>58587.190572026731</v>
      </c>
      <c r="K92" t="s">
        <v>313</v>
      </c>
    </row>
    <row r="93" spans="1:11" x14ac:dyDescent="0.2">
      <c r="A93" t="s">
        <v>61</v>
      </c>
      <c r="B93" t="s">
        <v>161</v>
      </c>
      <c r="C93">
        <f>(2*G51+3*G31)+(4/B2)*(E6+B3*B9)</f>
        <v>60.682533333333339</v>
      </c>
      <c r="D93">
        <f>((2*G51+3*G31)+(4/B2)*(E6+2.5*B3*B9)+5*B16)/1.25</f>
        <v>49.721066666666673</v>
      </c>
      <c r="E93">
        <f>(2*(2*G51+3*G31)+(4/B2)*(E6+2.5*B3*B9)+10*B16)/2</f>
        <v>46.420666666666676</v>
      </c>
      <c r="F93">
        <f t="shared" si="12"/>
        <v>46.420666666666676</v>
      </c>
      <c r="G93">
        <f t="shared" si="13"/>
        <v>46.420666666666676</v>
      </c>
      <c r="H93" t="str">
        <f t="shared" si="14"/>
        <v>加速</v>
      </c>
      <c r="I93" t="s">
        <v>61</v>
      </c>
      <c r="J93">
        <f t="shared" si="3"/>
        <v>411424.50919848908</v>
      </c>
      <c r="K93" t="s">
        <v>313</v>
      </c>
    </row>
    <row r="94" spans="1:11" x14ac:dyDescent="0.2">
      <c r="A94" t="s">
        <v>62</v>
      </c>
      <c r="B94" t="s">
        <v>162</v>
      </c>
      <c r="C94">
        <f>(5*G52+5*G61)+(6/B2)*(E6+B3*B9)</f>
        <v>468.77613333333341</v>
      </c>
      <c r="D94">
        <f>((5*G52+5*G61)+(6/B2)*(E6+2.5*B3*B9)+10*B16)/1.25</f>
        <v>376.7834666666667</v>
      </c>
      <c r="E94">
        <f>(2*(5*G52+5*G61)+(6/B2)*(E6+2.5*B3*B9)+20*B16)/2</f>
        <v>447.38333333333338</v>
      </c>
      <c r="F94">
        <f t="shared" si="12"/>
        <v>376.7834666666667</v>
      </c>
      <c r="G94">
        <f t="shared" si="13"/>
        <v>376.7834666666667</v>
      </c>
      <c r="H94" t="str">
        <f t="shared" si="14"/>
        <v>增产</v>
      </c>
      <c r="I94" t="s">
        <v>62</v>
      </c>
      <c r="J94">
        <f t="shared" si="3"/>
        <v>50688.529857644142</v>
      </c>
      <c r="K94" t="s">
        <v>313</v>
      </c>
    </row>
    <row r="100" spans="1:11" ht="19.5" x14ac:dyDescent="0.2">
      <c r="A100" s="19" t="s">
        <v>22</v>
      </c>
      <c r="B100" s="19"/>
      <c r="C100" s="19"/>
      <c r="D100" s="19"/>
      <c r="E100" s="19"/>
      <c r="F100" s="19"/>
    </row>
    <row r="101" spans="1:11" x14ac:dyDescent="0.2">
      <c r="A101" t="s">
        <v>81</v>
      </c>
      <c r="B101" t="s">
        <v>192</v>
      </c>
      <c r="C101">
        <f>(G50+G57)+(3/G2)*(P6+G3*B9)</f>
        <v>16.083266666666667</v>
      </c>
      <c r="D101">
        <f>((G50+G57)+(3/G2)*(P6+2.5*G3*B9)+2*B16)/1.25</f>
        <v>13.454133333333335</v>
      </c>
      <c r="E101">
        <f>(2*(G50+G57)+(3/G2)*(P6+2.5*G3*B9)+4*B16)/2</f>
        <v>13.955666666666668</v>
      </c>
      <c r="F101">
        <f t="shared" ref="F101:F106" si="15">MIN(C101:E101)</f>
        <v>13.454133333333335</v>
      </c>
      <c r="G101">
        <f t="shared" ref="G101:G106" si="16">F101</f>
        <v>13.454133333333335</v>
      </c>
      <c r="H101" t="str">
        <f t="shared" ref="H101:H106" si="17">IF(C101=G101,"不使用增产剂","")&amp;IF(D101=G101,"增产","")&amp;IF(E101=G101,"加速","")</f>
        <v>增产</v>
      </c>
      <c r="I101" t="s">
        <v>81</v>
      </c>
      <c r="J101">
        <f t="shared" ref="J101:J106" si="18">60*318310/G101</f>
        <v>1419534.0217628286</v>
      </c>
      <c r="K101" t="s">
        <v>313</v>
      </c>
    </row>
    <row r="102" spans="1:11" x14ac:dyDescent="0.2">
      <c r="A102" t="s">
        <v>82</v>
      </c>
      <c r="B102" t="s">
        <v>193</v>
      </c>
      <c r="C102">
        <f>((2*G35)+(6/G2)*(P6+G3*B9))</f>
        <v>18.163200000000003</v>
      </c>
      <c r="D102">
        <f>((2*G35)+(6/G2)*(P6+2.5*G3*B9)+4*B16)/1.25</f>
        <v>15.7056</v>
      </c>
      <c r="E102">
        <f>(2*(2*G35)+(6/G2)*(P6+2.5*G3*B9)+8*B16)/2</f>
        <v>13.908000000000001</v>
      </c>
      <c r="F102">
        <f t="shared" si="15"/>
        <v>13.908000000000001</v>
      </c>
      <c r="G102">
        <f t="shared" si="16"/>
        <v>13.908000000000001</v>
      </c>
      <c r="H102" t="str">
        <f t="shared" si="17"/>
        <v>加速</v>
      </c>
      <c r="I102" t="s">
        <v>82</v>
      </c>
      <c r="J102">
        <f t="shared" si="18"/>
        <v>1373209.6635030196</v>
      </c>
      <c r="K102" t="s">
        <v>313</v>
      </c>
    </row>
    <row r="103" spans="1:11" x14ac:dyDescent="0.2">
      <c r="A103" t="s">
        <v>83</v>
      </c>
      <c r="B103" t="s">
        <v>194</v>
      </c>
      <c r="C103">
        <f>((G38+G62)+(8/G2)*(P6+G3*B9))</f>
        <v>42.846766666666667</v>
      </c>
      <c r="D103">
        <f>((G38+G62)+(8/G2)*(P6+2.5*G3*B9)+2*B16)/1.25</f>
        <v>35.844133333333339</v>
      </c>
      <c r="E103">
        <f>(2*(G38+G62)+(8/G2)*(P6+2.5*G3*B9)+4*B16)/2</f>
        <v>37.173166666666667</v>
      </c>
      <c r="F103">
        <f t="shared" si="15"/>
        <v>35.844133333333339</v>
      </c>
      <c r="G103">
        <f t="shared" si="16"/>
        <v>35.844133333333339</v>
      </c>
      <c r="H103" t="str">
        <f t="shared" si="17"/>
        <v>增产</v>
      </c>
      <c r="I103" t="s">
        <v>83</v>
      </c>
      <c r="J103">
        <f t="shared" si="18"/>
        <v>532823.59549307916</v>
      </c>
      <c r="K103" t="s">
        <v>313</v>
      </c>
    </row>
    <row r="104" spans="1:11" x14ac:dyDescent="0.2">
      <c r="A104" t="s">
        <v>84</v>
      </c>
      <c r="B104" t="s">
        <v>195</v>
      </c>
      <c r="C104">
        <f>((2*G59+G74)+(10/G2)*(P6+G3*B9))</f>
        <v>261.50133333333332</v>
      </c>
      <c r="D104">
        <f>((2*G59+G74)+(10/G2)*(P6+2.5*G3*B9)+3*B16)/1.25</f>
        <v>211.15946666666665</v>
      </c>
      <c r="E104">
        <f>(2*(2*G59+G74)+(10/G2)*(P6+2.5*G3*B9)+6*B16)/2</f>
        <v>254.40933333333331</v>
      </c>
      <c r="F104">
        <f t="shared" si="15"/>
        <v>211.15946666666665</v>
      </c>
      <c r="G104">
        <f t="shared" si="16"/>
        <v>211.15946666666665</v>
      </c>
      <c r="H104" t="str">
        <f t="shared" si="17"/>
        <v>增产</v>
      </c>
      <c r="I104" t="s">
        <v>84</v>
      </c>
      <c r="J104">
        <f t="shared" si="18"/>
        <v>90446.335660379278</v>
      </c>
      <c r="K104" t="s">
        <v>313</v>
      </c>
    </row>
    <row r="105" spans="1:11" x14ac:dyDescent="0.2">
      <c r="A105" t="s">
        <v>85</v>
      </c>
      <c r="B105" t="s">
        <v>196</v>
      </c>
      <c r="C105">
        <f>((G81+G80)+(24/G2)*(P6+G3*B9))/2</f>
        <v>314.2844266666666</v>
      </c>
      <c r="D105">
        <f>((G81+G80)+(24/G2)*(P6+2.5*G3*B9)+2*B16)/2.5</f>
        <v>253.77762133333331</v>
      </c>
      <c r="E105">
        <f>(2*(G81+G80)+(24/G2)*(P6+2.5*G3*B9)+4*B16)/4</f>
        <v>305.7740266666666</v>
      </c>
      <c r="F105">
        <f t="shared" si="15"/>
        <v>253.77762133333331</v>
      </c>
      <c r="G105">
        <f t="shared" si="16"/>
        <v>253.77762133333331</v>
      </c>
      <c r="H105" t="str">
        <f t="shared" si="17"/>
        <v>增产</v>
      </c>
      <c r="I105" t="s">
        <v>85</v>
      </c>
      <c r="J105">
        <f t="shared" si="18"/>
        <v>75257.226778535609</v>
      </c>
      <c r="K105" t="s">
        <v>313</v>
      </c>
    </row>
    <row r="106" spans="1:11" x14ac:dyDescent="0.2">
      <c r="A106" t="s">
        <v>86</v>
      </c>
      <c r="B106" t="s">
        <v>197</v>
      </c>
      <c r="C106">
        <f>(G101+G102+G103+G104+G105+G72)+(15/G2)*(Q6+G3*B9)</f>
        <v>584.3163546666666</v>
      </c>
      <c r="D106">
        <f>((G101+G102+G103+G104+G105+G72)+(15/G2)*(Q6+2.5*G3*B9)+6*B16)/1.25</f>
        <v>470.39068373333328</v>
      </c>
      <c r="E106">
        <f>(2*(G101+G102+G103+G104+G105+G72)+(15/G2)*(Q6+2.5*G3*B9)+12*B16)/2</f>
        <v>573.67835466666656</v>
      </c>
      <c r="F106">
        <f t="shared" si="15"/>
        <v>470.39068373333328</v>
      </c>
      <c r="G106">
        <f t="shared" si="16"/>
        <v>470.39068373333328</v>
      </c>
      <c r="H106" t="str">
        <f t="shared" si="17"/>
        <v>增产</v>
      </c>
      <c r="I106" t="s">
        <v>86</v>
      </c>
      <c r="J106">
        <f t="shared" si="18"/>
        <v>40601.569419744475</v>
      </c>
      <c r="K106" t="s">
        <v>313</v>
      </c>
    </row>
  </sheetData>
  <mergeCells count="6">
    <mergeCell ref="A100:F100"/>
    <mergeCell ref="A26:F26"/>
    <mergeCell ref="A29:F29"/>
    <mergeCell ref="C27:G27"/>
    <mergeCell ref="A49:F49"/>
    <mergeCell ref="A78:F78"/>
  </mergeCells>
  <phoneticPr fontId="1" type="noConversion"/>
  <conditionalFormatting sqref="A45:G47 A43:B44 F43:G44 A26:H38 A39:G42 F48 H39:H49 A101:H106 A50:H74 A79:H94 B75 F75:H75">
    <cfRule type="cellIs" dxfId="34" priority="28" operator="equal">
      <formula>"不使用增产剂"</formula>
    </cfRule>
    <cfRule type="cellIs" dxfId="33" priority="29" operator="equal">
      <formula>"加速"</formula>
    </cfRule>
    <cfRule type="cellIs" dxfId="32" priority="30" operator="equal">
      <formula>"增产"</formula>
    </cfRule>
  </conditionalFormatting>
  <conditionalFormatting sqref="A49:F49">
    <cfRule type="cellIs" dxfId="31" priority="25" operator="equal">
      <formula>"不使用增产剂"</formula>
    </cfRule>
    <cfRule type="cellIs" dxfId="30" priority="26" operator="equal">
      <formula>"加速"</formula>
    </cfRule>
    <cfRule type="cellIs" dxfId="29" priority="27" operator="equal">
      <formula>"增产"</formula>
    </cfRule>
  </conditionalFormatting>
  <conditionalFormatting sqref="A78:F78">
    <cfRule type="cellIs" dxfId="28" priority="22" operator="equal">
      <formula>"不使用增产剂"</formula>
    </cfRule>
    <cfRule type="cellIs" dxfId="27" priority="23" operator="equal">
      <formula>"加速"</formula>
    </cfRule>
    <cfRule type="cellIs" dxfId="26" priority="24" operator="equal">
      <formula>"增产"</formula>
    </cfRule>
  </conditionalFormatting>
  <conditionalFormatting sqref="A100:F100">
    <cfRule type="cellIs" dxfId="25" priority="19" operator="equal">
      <formula>"不使用增产剂"</formula>
    </cfRule>
    <cfRule type="cellIs" dxfId="24" priority="20" operator="equal">
      <formula>"加速"</formula>
    </cfRule>
    <cfRule type="cellIs" dxfId="23" priority="21" operator="equal">
      <formula>"增产"</formula>
    </cfRule>
  </conditionalFormatting>
  <conditionalFormatting sqref="I30:I45">
    <cfRule type="cellIs" dxfId="22" priority="16" operator="equal">
      <formula>"不使用增产剂"</formula>
    </cfRule>
    <cfRule type="cellIs" dxfId="21" priority="17" operator="equal">
      <formula>"加速"</formula>
    </cfRule>
    <cfRule type="cellIs" dxfId="20" priority="18" operator="equal">
      <formula>"增产"</formula>
    </cfRule>
  </conditionalFormatting>
  <conditionalFormatting sqref="I50:I74">
    <cfRule type="cellIs" dxfId="19" priority="13" operator="equal">
      <formula>"不使用增产剂"</formula>
    </cfRule>
    <cfRule type="cellIs" dxfId="18" priority="14" operator="equal">
      <formula>"加速"</formula>
    </cfRule>
    <cfRule type="cellIs" dxfId="17" priority="15" operator="equal">
      <formula>"增产"</formula>
    </cfRule>
  </conditionalFormatting>
  <conditionalFormatting sqref="I79:I94">
    <cfRule type="cellIs" dxfId="16" priority="10" operator="equal">
      <formula>"不使用增产剂"</formula>
    </cfRule>
    <cfRule type="cellIs" dxfId="15" priority="11" operator="equal">
      <formula>"加速"</formula>
    </cfRule>
    <cfRule type="cellIs" dxfId="14" priority="12" operator="equal">
      <formula>"增产"</formula>
    </cfRule>
  </conditionalFormatting>
  <conditionalFormatting sqref="I101:I106">
    <cfRule type="cellIs" dxfId="13" priority="7" operator="equal">
      <formula>"不使用增产剂"</formula>
    </cfRule>
    <cfRule type="cellIs" dxfId="12" priority="8" operator="equal">
      <formula>"加速"</formula>
    </cfRule>
    <cfRule type="cellIs" dxfId="11" priority="9" operator="equal">
      <formula>"增产"</formula>
    </cfRule>
  </conditionalFormatting>
  <conditionalFormatting sqref="A75">
    <cfRule type="cellIs" dxfId="10" priority="4" operator="equal">
      <formula>"不使用增产剂"</formula>
    </cfRule>
    <cfRule type="cellIs" dxfId="9" priority="5" operator="equal">
      <formula>"加速"</formula>
    </cfRule>
    <cfRule type="cellIs" dxfId="8" priority="6" operator="equal">
      <formula>"增产"</formula>
    </cfRule>
  </conditionalFormatting>
  <conditionalFormatting sqref="I75">
    <cfRule type="cellIs" dxfId="7" priority="1" operator="equal">
      <formula>"不使用增产剂"</formula>
    </cfRule>
    <cfRule type="cellIs" dxfId="6" priority="2" operator="equal">
      <formula>"加速"</formula>
    </cfRule>
    <cfRule type="cellIs" dxfId="5"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5A1F-1F48-476B-B978-DDD349002497}">
  <dimension ref="A1:U55"/>
  <sheetViews>
    <sheetView workbookViewId="0">
      <selection activeCell="N24" sqref="N24"/>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244</v>
      </c>
      <c r="B1" t="s">
        <v>102</v>
      </c>
      <c r="C1" t="s">
        <v>103</v>
      </c>
      <c r="D1" t="s">
        <v>104</v>
      </c>
      <c r="E1" t="s">
        <v>106</v>
      </c>
      <c r="F1" t="s">
        <v>105</v>
      </c>
      <c r="G1" t="s">
        <v>154</v>
      </c>
      <c r="H1" t="s">
        <v>110</v>
      </c>
      <c r="I1" t="s">
        <v>111</v>
      </c>
      <c r="J1" t="s">
        <v>107</v>
      </c>
      <c r="K1" t="s">
        <v>108</v>
      </c>
      <c r="L1" t="s">
        <v>109</v>
      </c>
      <c r="M1" t="s">
        <v>112</v>
      </c>
      <c r="N1" t="s">
        <v>113</v>
      </c>
      <c r="O1" t="s">
        <v>237</v>
      </c>
      <c r="P1" t="s">
        <v>236</v>
      </c>
      <c r="Q1" t="s">
        <v>238</v>
      </c>
      <c r="R1" t="s">
        <v>33</v>
      </c>
      <c r="S1" t="s">
        <v>124</v>
      </c>
      <c r="T1" t="s">
        <v>242</v>
      </c>
      <c r="U1" t="s">
        <v>228</v>
      </c>
    </row>
    <row r="2" spans="1:21" x14ac:dyDescent="0.2">
      <c r="A2" t="s">
        <v>241</v>
      </c>
      <c r="B2">
        <v>6.96</v>
      </c>
      <c r="C2">
        <v>8.16</v>
      </c>
      <c r="D2">
        <v>11.52</v>
      </c>
      <c r="E2">
        <v>11.52</v>
      </c>
      <c r="F2">
        <v>12.8</v>
      </c>
      <c r="G2">
        <v>12.8</v>
      </c>
      <c r="H2">
        <v>26.4</v>
      </c>
      <c r="I2">
        <v>26.4</v>
      </c>
      <c r="J2">
        <v>47.5</v>
      </c>
      <c r="K2">
        <v>47.5</v>
      </c>
      <c r="L2">
        <v>52.25</v>
      </c>
      <c r="M2">
        <v>19.5</v>
      </c>
      <c r="N2">
        <v>19.5</v>
      </c>
      <c r="O2">
        <v>22.5</v>
      </c>
      <c r="P2">
        <v>22.5</v>
      </c>
      <c r="Q2">
        <v>25.961500000000001</v>
      </c>
      <c r="R2">
        <v>48.96</v>
      </c>
      <c r="S2">
        <v>54.824300000000001</v>
      </c>
      <c r="T2">
        <v>16.670000000000002</v>
      </c>
      <c r="U2">
        <v>10.5</v>
      </c>
    </row>
    <row r="3" spans="1:21" x14ac:dyDescent="0.2">
      <c r="A3" t="s">
        <v>243</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245</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344</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345</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483</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500</v>
      </c>
      <c r="B8">
        <v>6.96</v>
      </c>
      <c r="C8">
        <v>8.16</v>
      </c>
      <c r="D8">
        <v>10.88</v>
      </c>
      <c r="E8">
        <v>10.88</v>
      </c>
      <c r="F8">
        <v>11.52</v>
      </c>
      <c r="G8">
        <v>11.52</v>
      </c>
      <c r="H8">
        <v>26.4</v>
      </c>
      <c r="I8">
        <v>26.4</v>
      </c>
      <c r="J8">
        <v>47.5</v>
      </c>
      <c r="K8">
        <v>47.5</v>
      </c>
      <c r="L8">
        <v>52.25</v>
      </c>
      <c r="M8">
        <v>19.5</v>
      </c>
      <c r="N8">
        <v>19.5</v>
      </c>
      <c r="O8">
        <v>22.5</v>
      </c>
      <c r="P8">
        <v>22.5</v>
      </c>
      <c r="Q8">
        <v>22.5</v>
      </c>
      <c r="R8">
        <v>48.96</v>
      </c>
      <c r="S8">
        <v>54.824300000000001</v>
      </c>
      <c r="T8">
        <v>16.670000000000002</v>
      </c>
      <c r="U8">
        <v>10.5</v>
      </c>
    </row>
    <row r="18" spans="1:21" x14ac:dyDescent="0.2">
      <c r="A18" t="s">
        <v>352</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 t="shared" ref="R18:T18" si="0">R6+3.2*U27</f>
        <v>5.3702445652173914E-2</v>
      </c>
      <c r="S18">
        <f t="shared" si="0"/>
        <v>5.3702445652173914E-2</v>
      </c>
      <c r="T18">
        <f t="shared" si="0"/>
        <v>3.6809329710144931E-2</v>
      </c>
      <c r="U18">
        <v>44</v>
      </c>
    </row>
    <row r="25" spans="1:21" x14ac:dyDescent="0.2">
      <c r="A25" s="22" t="s">
        <v>575</v>
      </c>
      <c r="B25" s="22"/>
      <c r="C25" s="22"/>
      <c r="D25" s="22"/>
    </row>
    <row r="26" spans="1:21" x14ac:dyDescent="0.2">
      <c r="B26" t="s">
        <v>576</v>
      </c>
      <c r="C26" t="s">
        <v>565</v>
      </c>
      <c r="D26" t="s">
        <v>577</v>
      </c>
      <c r="I26" s="21" t="s">
        <v>568</v>
      </c>
      <c r="J26" s="21"/>
      <c r="K26" s="21"/>
    </row>
    <row r="27" spans="1:21" x14ac:dyDescent="0.2">
      <c r="A27" t="s">
        <v>559</v>
      </c>
      <c r="B27">
        <v>0.64200000000000002</v>
      </c>
      <c r="C27">
        <v>172800</v>
      </c>
      <c r="D27">
        <f t="shared" ref="D27:D30" si="1">1000*B27/C27</f>
        <v>3.7152777777777778E-3</v>
      </c>
      <c r="F27">
        <f>C27*8</f>
        <v>1382400</v>
      </c>
      <c r="I27" t="s">
        <v>567</v>
      </c>
      <c r="J27">
        <f>D27</f>
        <v>3.7152777777777778E-3</v>
      </c>
      <c r="K27" t="s">
        <v>566</v>
      </c>
    </row>
    <row r="28" spans="1:21" x14ac:dyDescent="0.2">
      <c r="A28" t="s">
        <v>560</v>
      </c>
      <c r="B28">
        <v>0</v>
      </c>
      <c r="C28">
        <v>0</v>
      </c>
      <c r="D28" t="e">
        <f t="shared" si="1"/>
        <v>#DIV/0!</v>
      </c>
      <c r="F28">
        <f t="shared" ref="F28:F31" si="2">C28*8</f>
        <v>0</v>
      </c>
      <c r="I28" t="s">
        <v>561</v>
      </c>
      <c r="J28">
        <f>D29</f>
        <v>2.5339673913043478E-2</v>
      </c>
      <c r="K28" t="s">
        <v>574</v>
      </c>
    </row>
    <row r="29" spans="1:21" x14ac:dyDescent="0.2">
      <c r="A29" t="s">
        <v>561</v>
      </c>
      <c r="B29">
        <v>2.984</v>
      </c>
      <c r="C29">
        <v>117760</v>
      </c>
      <c r="D29">
        <f t="shared" si="1"/>
        <v>2.5339673913043478E-2</v>
      </c>
      <c r="F29">
        <f t="shared" si="2"/>
        <v>942080</v>
      </c>
      <c r="I29" t="s">
        <v>569</v>
      </c>
      <c r="J29">
        <v>2.8362771739130436E-2</v>
      </c>
      <c r="K29" t="s">
        <v>573</v>
      </c>
    </row>
    <row r="30" spans="1:21" x14ac:dyDescent="0.2">
      <c r="A30" t="s">
        <v>562</v>
      </c>
      <c r="B30">
        <v>1.5740000000000001</v>
      </c>
      <c r="C30">
        <v>176640</v>
      </c>
      <c r="D30">
        <f t="shared" si="1"/>
        <v>8.9107789855072464E-3</v>
      </c>
      <c r="F30">
        <f t="shared" si="2"/>
        <v>1413120</v>
      </c>
      <c r="I30" t="s">
        <v>570</v>
      </c>
      <c r="J30">
        <v>8.9107789855072464E-3</v>
      </c>
      <c r="K30" t="s">
        <v>573</v>
      </c>
    </row>
    <row r="31" spans="1:21" x14ac:dyDescent="0.2">
      <c r="A31" t="s">
        <v>563</v>
      </c>
      <c r="B31">
        <v>1.67</v>
      </c>
      <c r="C31">
        <v>58880</v>
      </c>
      <c r="D31">
        <f>1000*B31/C31</f>
        <v>2.8362771739130436E-2</v>
      </c>
      <c r="F31">
        <f t="shared" si="2"/>
        <v>471040</v>
      </c>
      <c r="I31" t="s">
        <v>571</v>
      </c>
      <c r="J31">
        <v>8.8212250712250709E-2</v>
      </c>
      <c r="K31" t="s">
        <v>572</v>
      </c>
    </row>
    <row r="32" spans="1:21" x14ac:dyDescent="0.2">
      <c r="A32" t="s">
        <v>564</v>
      </c>
      <c r="B32">
        <v>0.33600000000000002</v>
      </c>
    </row>
    <row r="40" spans="9:11" x14ac:dyDescent="0.2">
      <c r="I40" s="21" t="s">
        <v>482</v>
      </c>
      <c r="J40" s="21"/>
      <c r="K40" s="21"/>
    </row>
    <row r="41" spans="9:11" x14ac:dyDescent="0.2">
      <c r="I41" t="s">
        <v>346</v>
      </c>
      <c r="J41">
        <v>8</v>
      </c>
      <c r="K41" t="s">
        <v>347</v>
      </c>
    </row>
    <row r="42" spans="9:11" x14ac:dyDescent="0.2">
      <c r="I42" t="s">
        <v>348</v>
      </c>
      <c r="J42">
        <v>12</v>
      </c>
      <c r="K42" t="s">
        <v>349</v>
      </c>
    </row>
    <row r="43" spans="9:11" x14ac:dyDescent="0.2">
      <c r="I43" t="s">
        <v>350</v>
      </c>
      <c r="J43">
        <v>5</v>
      </c>
      <c r="K43" t="s">
        <v>349</v>
      </c>
    </row>
    <row r="44" spans="9:11" x14ac:dyDescent="0.2">
      <c r="I44" t="s">
        <v>351</v>
      </c>
      <c r="J44">
        <v>20</v>
      </c>
      <c r="K44" t="s">
        <v>349</v>
      </c>
    </row>
    <row r="49" spans="1:15" x14ac:dyDescent="0.2">
      <c r="A49" s="8"/>
      <c r="B49" s="8"/>
      <c r="C49" s="8">
        <v>1</v>
      </c>
      <c r="D49" s="8">
        <v>2</v>
      </c>
      <c r="E49" s="8">
        <v>4</v>
      </c>
      <c r="F49" s="8">
        <v>8</v>
      </c>
      <c r="G49" s="8">
        <v>16</v>
      </c>
      <c r="H49" s="8"/>
      <c r="I49" s="8" t="s">
        <v>484</v>
      </c>
      <c r="J49" s="8"/>
      <c r="K49" s="8" t="s">
        <v>485</v>
      </c>
      <c r="L49" s="8" t="s">
        <v>486</v>
      </c>
      <c r="M49" s="8"/>
      <c r="N49" s="8" t="s">
        <v>487</v>
      </c>
      <c r="O49" s="8" t="s">
        <v>488</v>
      </c>
    </row>
    <row r="50" spans="1:15" x14ac:dyDescent="0.2">
      <c r="A50" s="14" t="s">
        <v>489</v>
      </c>
      <c r="B50" s="8" t="s">
        <v>490</v>
      </c>
      <c r="C50" s="8">
        <v>28.594999999999999</v>
      </c>
      <c r="D50" s="8">
        <v>16.672999999999998</v>
      </c>
      <c r="E50" s="8">
        <v>10.972</v>
      </c>
      <c r="F50" s="8">
        <v>8.4250000000000007</v>
      </c>
      <c r="G50" s="8">
        <v>7.431</v>
      </c>
      <c r="H50" s="8"/>
      <c r="I50" s="8">
        <f>C50/G50</f>
        <v>3.8480689005517426</v>
      </c>
      <c r="J50" s="8"/>
      <c r="K50" s="8">
        <v>3</v>
      </c>
      <c r="L50" s="8">
        <v>84240</v>
      </c>
      <c r="M50" s="8"/>
      <c r="N50" s="8">
        <f>G50/L50*1000</f>
        <v>8.8212250712250709E-2</v>
      </c>
      <c r="O50" s="8"/>
    </row>
    <row r="51" spans="1:15" x14ac:dyDescent="0.2">
      <c r="A51" s="21" t="s">
        <v>491</v>
      </c>
      <c r="B51" t="s">
        <v>492</v>
      </c>
      <c r="C51">
        <v>1.639</v>
      </c>
      <c r="D51">
        <v>1.208</v>
      </c>
      <c r="E51">
        <v>0.85399999999999998</v>
      </c>
      <c r="F51">
        <v>0.64700000000000002</v>
      </c>
      <c r="G51">
        <v>0.64200000000000002</v>
      </c>
      <c r="H51" s="8"/>
      <c r="I51" s="8">
        <f>C51/G51</f>
        <v>2.5529595015576323</v>
      </c>
      <c r="J51" s="8"/>
      <c r="K51" s="8">
        <v>8</v>
      </c>
      <c r="L51" s="8">
        <v>172800</v>
      </c>
      <c r="M51" s="8"/>
      <c r="N51" s="8">
        <f t="shared" ref="N51:N55" si="3">G51/L51*1000</f>
        <v>3.7152777777777778E-3</v>
      </c>
      <c r="O51" s="8"/>
    </row>
    <row r="52" spans="1:15" x14ac:dyDescent="0.2">
      <c r="A52" s="21"/>
      <c r="B52" t="s">
        <v>493</v>
      </c>
      <c r="C52">
        <v>14.948</v>
      </c>
      <c r="D52">
        <v>9.7629999999999999</v>
      </c>
      <c r="E52">
        <v>5.8849999999999998</v>
      </c>
      <c r="F52">
        <v>3.9129999999999998</v>
      </c>
      <c r="G52">
        <v>3.391</v>
      </c>
      <c r="H52" s="8"/>
      <c r="I52" s="8">
        <f t="shared" ref="I52:I55" si="4">C52/G52</f>
        <v>4.4081391919787674</v>
      </c>
      <c r="J52" s="8"/>
      <c r="K52" s="8">
        <v>8</v>
      </c>
      <c r="L52" s="8">
        <v>117760</v>
      </c>
      <c r="M52" s="8"/>
      <c r="N52" s="8">
        <f t="shared" si="3"/>
        <v>2.8795855978260867E-2</v>
      </c>
      <c r="O52" s="8"/>
    </row>
    <row r="53" spans="1:15" x14ac:dyDescent="0.2">
      <c r="A53" s="21"/>
      <c r="B53" t="s">
        <v>494</v>
      </c>
      <c r="C53">
        <v>2.5419999999999998</v>
      </c>
      <c r="D53">
        <v>1.875</v>
      </c>
      <c r="E53">
        <v>1.6439999999999999</v>
      </c>
      <c r="F53">
        <v>1.655</v>
      </c>
      <c r="G53">
        <v>1.661</v>
      </c>
      <c r="H53" s="8"/>
      <c r="I53" s="8">
        <f t="shared" si="4"/>
        <v>1.5304033714629739</v>
      </c>
      <c r="J53" s="8"/>
      <c r="K53" s="8">
        <v>8</v>
      </c>
      <c r="L53" s="8">
        <v>179040</v>
      </c>
      <c r="M53" s="8"/>
      <c r="N53" s="8">
        <f t="shared" si="3"/>
        <v>9.2772564789991071E-3</v>
      </c>
      <c r="O53" s="8"/>
    </row>
    <row r="54" spans="1:15" x14ac:dyDescent="0.2">
      <c r="A54" s="21"/>
      <c r="B54" t="s">
        <v>495</v>
      </c>
      <c r="C54">
        <v>3.839</v>
      </c>
      <c r="D54">
        <v>2.7189999999999999</v>
      </c>
      <c r="E54">
        <v>2.0569999999999999</v>
      </c>
      <c r="F54">
        <v>1.7769999999999999</v>
      </c>
      <c r="G54">
        <v>1.7649999999999999</v>
      </c>
      <c r="H54" s="8"/>
      <c r="I54" s="8">
        <f t="shared" si="4"/>
        <v>2.175070821529745</v>
      </c>
      <c r="J54" s="8"/>
      <c r="K54" s="8">
        <v>8</v>
      </c>
      <c r="L54" s="8">
        <v>58880</v>
      </c>
      <c r="M54" s="8"/>
      <c r="N54" s="8">
        <f t="shared" si="3"/>
        <v>2.9976222826086953E-2</v>
      </c>
      <c r="O54" s="8"/>
    </row>
    <row r="55" spans="1:15" x14ac:dyDescent="0.2">
      <c r="A55" s="15" t="s">
        <v>496</v>
      </c>
      <c r="B55" t="s">
        <v>497</v>
      </c>
      <c r="C55">
        <v>2.798</v>
      </c>
      <c r="D55">
        <v>3.8010000000000002</v>
      </c>
      <c r="E55">
        <v>3.7170000000000001</v>
      </c>
      <c r="F55">
        <v>3.5990000000000002</v>
      </c>
      <c r="G55">
        <v>3.8479999999999999</v>
      </c>
      <c r="H55" s="8"/>
      <c r="I55" s="8">
        <f t="shared" si="4"/>
        <v>0.72713097713097719</v>
      </c>
      <c r="J55" s="8"/>
      <c r="K55" s="8">
        <v>3</v>
      </c>
      <c r="L55" s="8">
        <v>9000</v>
      </c>
      <c r="M55" s="8"/>
      <c r="N55" s="8">
        <f t="shared" si="3"/>
        <v>0.42755555555555552</v>
      </c>
      <c r="O55" s="8" t="s">
        <v>498</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7E496-A65A-462B-B883-80E7CAFAAF5F}">
  <dimension ref="A1:Q87"/>
  <sheetViews>
    <sheetView workbookViewId="0">
      <selection activeCell="K85" sqref="K85"/>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3" t="s">
        <v>235</v>
      </c>
      <c r="B1" s="23"/>
      <c r="C1" s="23"/>
      <c r="D1" s="23"/>
      <c r="E1" s="23"/>
      <c r="F1" s="23"/>
      <c r="G1" s="23"/>
      <c r="H1" s="23"/>
    </row>
    <row r="2" spans="1:17" x14ac:dyDescent="0.2">
      <c r="A2" t="s">
        <v>204</v>
      </c>
      <c r="B2" t="s">
        <v>234</v>
      </c>
      <c r="C2" t="s">
        <v>205</v>
      </c>
      <c r="D2" t="s">
        <v>207</v>
      </c>
      <c r="E2" t="s">
        <v>208</v>
      </c>
      <c r="F2" t="s">
        <v>206</v>
      </c>
      <c r="G2" t="s">
        <v>214</v>
      </c>
      <c r="H2" t="s">
        <v>215</v>
      </c>
      <c r="N2" t="s">
        <v>212</v>
      </c>
    </row>
    <row r="3" spans="1:17" x14ac:dyDescent="0.2">
      <c r="A3">
        <v>4</v>
      </c>
      <c r="B3">
        <v>1</v>
      </c>
      <c r="C3">
        <f>16*B3+A3</f>
        <v>20</v>
      </c>
      <c r="D3">
        <f>120*2%</f>
        <v>2.4</v>
      </c>
      <c r="E3" s="3">
        <f>D3/C3</f>
        <v>0.12</v>
      </c>
      <c r="F3">
        <f>D3/B3</f>
        <v>2.4</v>
      </c>
      <c r="G3">
        <f>50*F3</f>
        <v>120</v>
      </c>
      <c r="H3">
        <f>C3/B3</f>
        <v>20</v>
      </c>
      <c r="N3" t="s">
        <v>211</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210</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209</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1" t="s">
        <v>247</v>
      </c>
      <c r="L13" s="21"/>
      <c r="M13" s="21"/>
      <c r="N13" s="21"/>
      <c r="O13" s="21"/>
      <c r="P13" s="21"/>
      <c r="Q13" s="21"/>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1" t="s">
        <v>213</v>
      </c>
      <c r="M14" s="21"/>
      <c r="N14" s="21"/>
      <c r="O14" s="21"/>
      <c r="P14" s="21"/>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1" t="s">
        <v>239</v>
      </c>
      <c r="L19" s="21"/>
      <c r="M19">
        <f>2.5*(G8/27.78-0.36)</f>
        <v>9.3733638531317514</v>
      </c>
      <c r="N19" t="s">
        <v>294</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1"/>
      <c r="L20" s="21"/>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204</v>
      </c>
      <c r="B30" t="s">
        <v>234</v>
      </c>
      <c r="C30" t="s">
        <v>205</v>
      </c>
      <c r="D30" t="s">
        <v>292</v>
      </c>
      <c r="E30" t="s">
        <v>208</v>
      </c>
      <c r="F30" t="s">
        <v>206</v>
      </c>
      <c r="G30" t="s">
        <v>214</v>
      </c>
      <c r="H30" t="s">
        <v>215</v>
      </c>
      <c r="I30" t="s">
        <v>293</v>
      </c>
    </row>
    <row r="31" spans="1:17" x14ac:dyDescent="0.2">
      <c r="A31">
        <v>6</v>
      </c>
      <c r="B31">
        <v>6</v>
      </c>
      <c r="C31">
        <f t="shared" ref="C31" si="6">16*B31+A31</f>
        <v>102</v>
      </c>
      <c r="D31">
        <v>13.6989143</v>
      </c>
      <c r="E31" s="7">
        <f>D31/C31</f>
        <v>0.13430308137254901</v>
      </c>
      <c r="F31">
        <f t="shared" ref="F31" si="7">D31/B31</f>
        <v>2.2831523833333334</v>
      </c>
      <c r="G31">
        <f t="shared" ref="G31" si="8">50*F31</f>
        <v>114.15761916666666</v>
      </c>
      <c r="H31">
        <f t="shared" ref="H31" si="9">C31/B31</f>
        <v>17</v>
      </c>
      <c r="I31">
        <f>60*D31</f>
        <v>821.93485799999996</v>
      </c>
    </row>
    <row r="32" spans="1:17" x14ac:dyDescent="0.2">
      <c r="F32">
        <f>F31*60*50</f>
        <v>6849.4571500000002</v>
      </c>
    </row>
    <row r="42" spans="1:14" ht="25.5" x14ac:dyDescent="0.2">
      <c r="A42" s="23" t="s">
        <v>310</v>
      </c>
      <c r="B42" s="23"/>
      <c r="C42" s="23"/>
      <c r="D42" s="23"/>
      <c r="E42" s="23"/>
      <c r="F42" s="23"/>
      <c r="G42" s="23"/>
      <c r="H42" s="23"/>
    </row>
    <row r="43" spans="1:14" x14ac:dyDescent="0.2">
      <c r="A43" t="s">
        <v>204</v>
      </c>
      <c r="B43" t="s">
        <v>234</v>
      </c>
      <c r="C43" t="s">
        <v>205</v>
      </c>
      <c r="D43" t="s">
        <v>207</v>
      </c>
      <c r="E43" t="s">
        <v>208</v>
      </c>
      <c r="F43" t="s">
        <v>206</v>
      </c>
      <c r="G43" t="s">
        <v>214</v>
      </c>
      <c r="H43" t="s">
        <v>215</v>
      </c>
      <c r="N43" t="s">
        <v>212</v>
      </c>
    </row>
    <row r="44" spans="1:14" x14ac:dyDescent="0.2">
      <c r="A44">
        <v>4</v>
      </c>
      <c r="B44">
        <v>1</v>
      </c>
      <c r="C44">
        <f t="shared" ref="C44:C83" si="10">16*B44+A44</f>
        <v>20</v>
      </c>
      <c r="D44">
        <f>120*1%</f>
        <v>1.2</v>
      </c>
      <c r="E44" s="3">
        <f t="shared" ref="E44:E83" si="11">D44/C44</f>
        <v>0.06</v>
      </c>
      <c r="F44">
        <f t="shared" ref="F44:F83" si="12">D44/B44</f>
        <v>1.2</v>
      </c>
      <c r="G44">
        <f>100*F44</f>
        <v>120</v>
      </c>
      <c r="H44">
        <f t="shared" ref="H44:H83" si="13">C44/B44</f>
        <v>20</v>
      </c>
      <c r="N44" t="s">
        <v>211</v>
      </c>
    </row>
    <row r="45" spans="1:14" x14ac:dyDescent="0.2">
      <c r="A45">
        <v>4</v>
      </c>
      <c r="B45">
        <v>2</v>
      </c>
      <c r="C45">
        <f t="shared" si="10"/>
        <v>36</v>
      </c>
      <c r="D45">
        <f t="shared" ref="D45:D83" si="14">D44+(120-D44)*1%</f>
        <v>2.3879999999999999</v>
      </c>
      <c r="E45" s="3">
        <f t="shared" si="11"/>
        <v>6.6333333333333327E-2</v>
      </c>
      <c r="F45">
        <f t="shared" si="12"/>
        <v>1.194</v>
      </c>
      <c r="G45">
        <f t="shared" ref="G45:G82" si="15">100*F45</f>
        <v>119.39999999999999</v>
      </c>
      <c r="H45">
        <f t="shared" si="13"/>
        <v>18</v>
      </c>
      <c r="N45" t="s">
        <v>210</v>
      </c>
    </row>
    <row r="46" spans="1:14" x14ac:dyDescent="0.2">
      <c r="A46">
        <v>4</v>
      </c>
      <c r="B46">
        <v>3</v>
      </c>
      <c r="C46">
        <f t="shared" si="10"/>
        <v>52</v>
      </c>
      <c r="D46">
        <f t="shared" si="14"/>
        <v>3.56412</v>
      </c>
      <c r="E46" s="4">
        <f t="shared" si="11"/>
        <v>6.8540769230769225E-2</v>
      </c>
      <c r="F46">
        <f t="shared" si="12"/>
        <v>1.18804</v>
      </c>
      <c r="G46">
        <f t="shared" si="15"/>
        <v>118.804</v>
      </c>
      <c r="H46">
        <f t="shared" si="13"/>
        <v>17.333333333333332</v>
      </c>
      <c r="N46" t="s">
        <v>209</v>
      </c>
    </row>
    <row r="47" spans="1:14" x14ac:dyDescent="0.2">
      <c r="A47">
        <v>4</v>
      </c>
      <c r="B47">
        <v>4</v>
      </c>
      <c r="C47">
        <f t="shared" si="10"/>
        <v>68</v>
      </c>
      <c r="D47">
        <f t="shared" si="14"/>
        <v>4.7284787999999995</v>
      </c>
      <c r="E47" s="4">
        <f t="shared" si="11"/>
        <v>6.9536452941176469E-2</v>
      </c>
      <c r="F47">
        <f t="shared" si="12"/>
        <v>1.1821196999999999</v>
      </c>
      <c r="G47">
        <f t="shared" si="15"/>
        <v>118.21196999999999</v>
      </c>
      <c r="H47">
        <f t="shared" si="13"/>
        <v>17</v>
      </c>
    </row>
    <row r="48" spans="1:14" x14ac:dyDescent="0.2">
      <c r="A48">
        <v>4</v>
      </c>
      <c r="B48">
        <v>5</v>
      </c>
      <c r="C48">
        <f t="shared" si="10"/>
        <v>84</v>
      </c>
      <c r="D48">
        <f t="shared" si="14"/>
        <v>5.8811940119999999</v>
      </c>
      <c r="E48" s="5">
        <f t="shared" si="11"/>
        <v>7.0014214428571434E-2</v>
      </c>
      <c r="F48">
        <f t="shared" si="12"/>
        <v>1.1762388023999999</v>
      </c>
      <c r="G48">
        <f t="shared" si="15"/>
        <v>117.62388023999999</v>
      </c>
      <c r="H48">
        <f t="shared" si="13"/>
        <v>16.8</v>
      </c>
    </row>
    <row r="49" spans="1:17" x14ac:dyDescent="0.2">
      <c r="A49">
        <v>4</v>
      </c>
      <c r="B49">
        <v>6</v>
      </c>
      <c r="C49">
        <f t="shared" si="10"/>
        <v>100</v>
      </c>
      <c r="D49">
        <f t="shared" si="14"/>
        <v>7.0223820718800001</v>
      </c>
      <c r="E49" s="5">
        <f t="shared" si="11"/>
        <v>7.0223820718799998E-2</v>
      </c>
      <c r="F49">
        <f t="shared" si="12"/>
        <v>1.17039701198</v>
      </c>
      <c r="G49">
        <f t="shared" si="15"/>
        <v>117.039701198</v>
      </c>
      <c r="H49">
        <f t="shared" si="13"/>
        <v>16.666666666666668</v>
      </c>
    </row>
    <row r="50" spans="1:17" x14ac:dyDescent="0.2">
      <c r="A50">
        <v>4</v>
      </c>
      <c r="B50">
        <v>7</v>
      </c>
      <c r="C50">
        <f t="shared" si="10"/>
        <v>116</v>
      </c>
      <c r="D50">
        <f t="shared" si="14"/>
        <v>8.1521582511612003</v>
      </c>
      <c r="E50" s="6">
        <f t="shared" si="11"/>
        <v>7.0277226303113796E-2</v>
      </c>
      <c r="F50">
        <f t="shared" si="12"/>
        <v>1.1645940358801714</v>
      </c>
      <c r="G50">
        <f t="shared" si="15"/>
        <v>116.45940358801714</v>
      </c>
      <c r="H50">
        <f t="shared" si="13"/>
        <v>16.571428571428573</v>
      </c>
    </row>
    <row r="51" spans="1:17" x14ac:dyDescent="0.2">
      <c r="A51">
        <v>4</v>
      </c>
      <c r="B51">
        <v>8</v>
      </c>
      <c r="C51">
        <f t="shared" si="10"/>
        <v>132</v>
      </c>
      <c r="D51">
        <f t="shared" si="14"/>
        <v>9.2706366686495887</v>
      </c>
      <c r="E51" s="6">
        <f t="shared" si="11"/>
        <v>7.0232095974618103E-2</v>
      </c>
      <c r="F51">
        <f t="shared" si="12"/>
        <v>1.1588295835811986</v>
      </c>
      <c r="G51">
        <f t="shared" si="15"/>
        <v>115.88295835811986</v>
      </c>
      <c r="H51">
        <f t="shared" si="13"/>
        <v>16.5</v>
      </c>
    </row>
    <row r="52" spans="1:17" x14ac:dyDescent="0.2">
      <c r="A52">
        <v>4</v>
      </c>
      <c r="B52">
        <v>9</v>
      </c>
      <c r="C52">
        <f t="shared" si="10"/>
        <v>148</v>
      </c>
      <c r="D52">
        <f t="shared" si="14"/>
        <v>10.377930301963094</v>
      </c>
      <c r="E52" s="7">
        <f t="shared" si="11"/>
        <v>7.0121150688939829E-2</v>
      </c>
      <c r="F52">
        <f t="shared" si="12"/>
        <v>1.1531033668847881</v>
      </c>
      <c r="G52">
        <f t="shared" si="15"/>
        <v>115.31033668847881</v>
      </c>
      <c r="H52">
        <f t="shared" si="13"/>
        <v>16.444444444444443</v>
      </c>
    </row>
    <row r="53" spans="1:17" x14ac:dyDescent="0.2">
      <c r="A53">
        <v>4</v>
      </c>
      <c r="B53">
        <v>10</v>
      </c>
      <c r="C53">
        <f t="shared" si="10"/>
        <v>164</v>
      </c>
      <c r="D53">
        <f t="shared" si="14"/>
        <v>11.474150998943463</v>
      </c>
      <c r="E53" s="6">
        <f t="shared" si="11"/>
        <v>6.9964335359411364E-2</v>
      </c>
      <c r="F53">
        <f t="shared" si="12"/>
        <v>1.1474150998943462</v>
      </c>
      <c r="G53">
        <f t="shared" si="15"/>
        <v>114.74150998943462</v>
      </c>
      <c r="H53">
        <f t="shared" si="13"/>
        <v>16.399999999999999</v>
      </c>
    </row>
    <row r="54" spans="1:17" x14ac:dyDescent="0.2">
      <c r="A54">
        <v>4</v>
      </c>
      <c r="B54">
        <v>11</v>
      </c>
      <c r="C54">
        <f t="shared" si="10"/>
        <v>180</v>
      </c>
      <c r="D54">
        <f t="shared" si="14"/>
        <v>12.559409488954028</v>
      </c>
      <c r="E54" s="6">
        <f t="shared" si="11"/>
        <v>6.9774497160855709E-2</v>
      </c>
      <c r="F54">
        <f t="shared" si="12"/>
        <v>1.1417644989958207</v>
      </c>
      <c r="G54">
        <f t="shared" si="15"/>
        <v>114.17644989958207</v>
      </c>
      <c r="H54">
        <f t="shared" si="13"/>
        <v>16.363636363636363</v>
      </c>
      <c r="K54" s="21" t="s">
        <v>247</v>
      </c>
      <c r="L54" s="21"/>
      <c r="M54" s="21"/>
      <c r="N54" s="21"/>
      <c r="O54" s="21"/>
      <c r="P54" s="21"/>
      <c r="Q54" s="21"/>
    </row>
    <row r="55" spans="1:17" x14ac:dyDescent="0.2">
      <c r="A55">
        <v>4</v>
      </c>
      <c r="B55">
        <v>12</v>
      </c>
      <c r="C55">
        <f t="shared" si="10"/>
        <v>196</v>
      </c>
      <c r="D55">
        <f t="shared" si="14"/>
        <v>13.633815394064488</v>
      </c>
      <c r="E55" s="5">
        <f t="shared" si="11"/>
        <v>6.9560282622777997E-2</v>
      </c>
      <c r="F55">
        <f t="shared" si="12"/>
        <v>1.1361512828387073</v>
      </c>
      <c r="G55">
        <f t="shared" si="15"/>
        <v>113.61512828387073</v>
      </c>
      <c r="H55">
        <f t="shared" si="13"/>
        <v>16.333333333333332</v>
      </c>
      <c r="L55" s="21" t="s">
        <v>213</v>
      </c>
      <c r="M55" s="21"/>
      <c r="N55" s="21"/>
      <c r="O55" s="21"/>
      <c r="P55" s="21"/>
    </row>
    <row r="56" spans="1:17" x14ac:dyDescent="0.2">
      <c r="A56">
        <v>4</v>
      </c>
      <c r="B56">
        <v>13</v>
      </c>
      <c r="C56">
        <f t="shared" si="10"/>
        <v>212</v>
      </c>
      <c r="D56">
        <f t="shared" si="14"/>
        <v>14.697477240123844</v>
      </c>
      <c r="E56" s="5">
        <f t="shared" si="11"/>
        <v>6.9327722830772848E-2</v>
      </c>
      <c r="F56">
        <f t="shared" si="12"/>
        <v>1.1305751723172188</v>
      </c>
      <c r="G56">
        <f t="shared" si="15"/>
        <v>113.05751723172189</v>
      </c>
      <c r="H56">
        <f t="shared" si="13"/>
        <v>16.307692307692307</v>
      </c>
    </row>
    <row r="57" spans="1:17" x14ac:dyDescent="0.2">
      <c r="A57">
        <v>4</v>
      </c>
      <c r="B57">
        <v>14</v>
      </c>
      <c r="C57">
        <f t="shared" si="10"/>
        <v>228</v>
      </c>
      <c r="D57">
        <f t="shared" si="14"/>
        <v>15.750502467722605</v>
      </c>
      <c r="E57" s="5">
        <f t="shared" si="11"/>
        <v>6.908115117422195E-2</v>
      </c>
      <c r="F57">
        <f t="shared" si="12"/>
        <v>1.1250358905516147</v>
      </c>
      <c r="G57">
        <f t="shared" si="15"/>
        <v>112.50358905516147</v>
      </c>
      <c r="H57">
        <f t="shared" si="13"/>
        <v>16.285714285714285</v>
      </c>
    </row>
    <row r="58" spans="1:17" x14ac:dyDescent="0.2">
      <c r="A58">
        <v>4</v>
      </c>
      <c r="B58">
        <v>15</v>
      </c>
      <c r="C58">
        <f t="shared" si="10"/>
        <v>244</v>
      </c>
      <c r="D58">
        <f t="shared" si="14"/>
        <v>16.79299744304538</v>
      </c>
      <c r="E58" s="5">
        <f t="shared" si="11"/>
        <v>6.8823760012481069E-2</v>
      </c>
      <c r="F58">
        <f t="shared" si="12"/>
        <v>1.1195331628696921</v>
      </c>
      <c r="G58">
        <f t="shared" si="15"/>
        <v>111.95331628696921</v>
      </c>
      <c r="H58">
        <f t="shared" si="13"/>
        <v>16.266666666666666</v>
      </c>
    </row>
    <row r="59" spans="1:17" x14ac:dyDescent="0.2">
      <c r="A59">
        <v>4</v>
      </c>
      <c r="B59">
        <v>16</v>
      </c>
      <c r="C59">
        <f t="shared" si="10"/>
        <v>260</v>
      </c>
      <c r="D59">
        <f t="shared" si="14"/>
        <v>17.825067468614925</v>
      </c>
      <c r="E59" s="5">
        <f t="shared" si="11"/>
        <v>6.8557951802365097E-2</v>
      </c>
      <c r="F59">
        <f t="shared" si="12"/>
        <v>1.1140667167884328</v>
      </c>
      <c r="G59">
        <f t="shared" si="15"/>
        <v>111.40667167884328</v>
      </c>
      <c r="H59">
        <f t="shared" si="13"/>
        <v>16.25</v>
      </c>
    </row>
    <row r="60" spans="1:17" x14ac:dyDescent="0.2">
      <c r="A60">
        <v>4</v>
      </c>
      <c r="B60">
        <v>17</v>
      </c>
      <c r="C60">
        <f t="shared" si="10"/>
        <v>276</v>
      </c>
      <c r="D60">
        <f t="shared" si="14"/>
        <v>18.846816793928777</v>
      </c>
      <c r="E60" s="4">
        <f t="shared" si="11"/>
        <v>6.8285568093944843E-2</v>
      </c>
      <c r="F60">
        <f t="shared" si="12"/>
        <v>1.1086362819958104</v>
      </c>
      <c r="G60">
        <f t="shared" si="15"/>
        <v>110.86362819958104</v>
      </c>
      <c r="H60">
        <f t="shared" si="13"/>
        <v>16.235294117647058</v>
      </c>
      <c r="K60" s="21" t="s">
        <v>239</v>
      </c>
      <c r="L60" s="21"/>
      <c r="M60">
        <f>2.5*(G49/27.78-0.36)</f>
        <v>9.632730489380851</v>
      </c>
      <c r="N60" t="s">
        <v>294</v>
      </c>
    </row>
    <row r="61" spans="1:17" x14ac:dyDescent="0.2">
      <c r="A61">
        <v>4</v>
      </c>
      <c r="B61">
        <v>18</v>
      </c>
      <c r="C61">
        <f t="shared" si="10"/>
        <v>292</v>
      </c>
      <c r="D61">
        <f t="shared" si="14"/>
        <v>19.858348625989489</v>
      </c>
      <c r="E61" s="4">
        <f t="shared" si="11"/>
        <v>6.8008043239690036E-2</v>
      </c>
      <c r="F61">
        <f t="shared" si="12"/>
        <v>1.1032415903327495</v>
      </c>
      <c r="G61">
        <f t="shared" si="15"/>
        <v>110.32415903327495</v>
      </c>
      <c r="H61">
        <f t="shared" si="13"/>
        <v>16.222222222222221</v>
      </c>
      <c r="K61" s="21"/>
      <c r="L61" s="21"/>
    </row>
    <row r="62" spans="1:17" x14ac:dyDescent="0.2">
      <c r="A62">
        <v>4</v>
      </c>
      <c r="B62">
        <v>19</v>
      </c>
      <c r="C62">
        <f t="shared" si="10"/>
        <v>308</v>
      </c>
      <c r="D62">
        <f t="shared" si="14"/>
        <v>20.859765139729593</v>
      </c>
      <c r="E62" s="4">
        <f t="shared" si="11"/>
        <v>6.7726510193927253E-2</v>
      </c>
      <c r="F62">
        <f t="shared" si="12"/>
        <v>1.0978823757752416</v>
      </c>
      <c r="G62">
        <f t="shared" si="15"/>
        <v>109.78823757752416</v>
      </c>
      <c r="H62">
        <f t="shared" si="13"/>
        <v>16.210526315789473</v>
      </c>
    </row>
    <row r="63" spans="1:17" x14ac:dyDescent="0.2">
      <c r="A63">
        <v>4</v>
      </c>
      <c r="B63">
        <v>20</v>
      </c>
      <c r="C63">
        <f t="shared" si="10"/>
        <v>324</v>
      </c>
      <c r="D63">
        <f t="shared" si="14"/>
        <v>21.851167488332297</v>
      </c>
      <c r="E63" s="4">
        <f t="shared" si="11"/>
        <v>6.7441874963988568E-2</v>
      </c>
      <c r="F63">
        <f t="shared" si="12"/>
        <v>1.092558374416615</v>
      </c>
      <c r="G63">
        <f t="shared" si="15"/>
        <v>109.2558374416615</v>
      </c>
      <c r="H63">
        <f t="shared" si="13"/>
        <v>16.2</v>
      </c>
    </row>
    <row r="64" spans="1:17" x14ac:dyDescent="0.2">
      <c r="A64">
        <v>4</v>
      </c>
      <c r="B64">
        <v>21</v>
      </c>
      <c r="C64">
        <f t="shared" si="10"/>
        <v>340</v>
      </c>
      <c r="D64">
        <f t="shared" si="14"/>
        <v>22.832655813448973</v>
      </c>
      <c r="E64" s="4">
        <f t="shared" si="11"/>
        <v>6.7154870039555808E-2</v>
      </c>
      <c r="F64">
        <f t="shared" si="12"/>
        <v>1.0872693244499512</v>
      </c>
      <c r="G64">
        <f t="shared" si="15"/>
        <v>108.72693244499511</v>
      </c>
      <c r="H64">
        <f t="shared" si="13"/>
        <v>16.19047619047619</v>
      </c>
    </row>
    <row r="65" spans="1:17" x14ac:dyDescent="0.2">
      <c r="A65">
        <v>4</v>
      </c>
      <c r="B65">
        <v>22</v>
      </c>
      <c r="C65">
        <f t="shared" si="10"/>
        <v>356</v>
      </c>
      <c r="D65">
        <f t="shared" si="14"/>
        <v>23.804329255314482</v>
      </c>
      <c r="E65" s="4">
        <f t="shared" si="11"/>
        <v>6.6866093413804728E-2</v>
      </c>
      <c r="F65">
        <f t="shared" si="12"/>
        <v>1.0820149661506582</v>
      </c>
      <c r="G65">
        <f t="shared" si="15"/>
        <v>108.20149661506582</v>
      </c>
      <c r="H65">
        <f t="shared" si="13"/>
        <v>16.181818181818183</v>
      </c>
      <c r="I65" s="8"/>
      <c r="J65" s="8"/>
      <c r="K65" s="8"/>
      <c r="L65" s="8"/>
      <c r="M65" s="8"/>
      <c r="N65" s="8"/>
      <c r="O65" s="8"/>
      <c r="P65" s="8"/>
      <c r="Q65" s="8"/>
    </row>
    <row r="66" spans="1:17" x14ac:dyDescent="0.2">
      <c r="A66">
        <v>4</v>
      </c>
      <c r="B66">
        <v>23</v>
      </c>
      <c r="C66">
        <f t="shared" si="10"/>
        <v>372</v>
      </c>
      <c r="D66">
        <f t="shared" si="14"/>
        <v>24.766285962761337</v>
      </c>
      <c r="E66" s="4">
        <f t="shared" si="11"/>
        <v>6.6576037534304675E-2</v>
      </c>
      <c r="F66">
        <f t="shared" si="12"/>
        <v>1.0767950418591885</v>
      </c>
      <c r="G66">
        <f t="shared" si="15"/>
        <v>107.67950418591884</v>
      </c>
      <c r="H66">
        <f t="shared" si="13"/>
        <v>16.173913043478262</v>
      </c>
      <c r="I66" s="8"/>
      <c r="J66" s="8"/>
      <c r="K66" s="8"/>
      <c r="L66" s="8"/>
      <c r="M66" s="8"/>
      <c r="N66" s="8"/>
      <c r="O66" s="8"/>
      <c r="P66" s="8"/>
      <c r="Q66" s="8"/>
    </row>
    <row r="67" spans="1:17" x14ac:dyDescent="0.2">
      <c r="A67">
        <v>4</v>
      </c>
      <c r="B67">
        <v>24</v>
      </c>
      <c r="C67">
        <f t="shared" si="10"/>
        <v>388</v>
      </c>
      <c r="D67">
        <f t="shared" si="14"/>
        <v>25.718623103133723</v>
      </c>
      <c r="E67" s="4">
        <f t="shared" si="11"/>
        <v>6.6285111090550838E-2</v>
      </c>
      <c r="F67">
        <f t="shared" si="12"/>
        <v>1.0716092959639052</v>
      </c>
      <c r="G67">
        <f t="shared" si="15"/>
        <v>107.16092959639052</v>
      </c>
      <c r="H67">
        <f t="shared" si="13"/>
        <v>16.166666666666668</v>
      </c>
      <c r="I67" s="8"/>
      <c r="J67" s="8"/>
      <c r="K67" s="8"/>
      <c r="L67" s="8"/>
      <c r="M67" s="8"/>
      <c r="N67" s="8"/>
      <c r="O67" s="8"/>
      <c r="P67" s="8"/>
      <c r="Q67" s="8"/>
    </row>
    <row r="68" spans="1:17" x14ac:dyDescent="0.2">
      <c r="A68">
        <v>4</v>
      </c>
      <c r="B68">
        <v>25</v>
      </c>
      <c r="C68">
        <f t="shared" si="10"/>
        <v>404</v>
      </c>
      <c r="D68">
        <f t="shared" si="14"/>
        <v>26.661436872102385</v>
      </c>
      <c r="E68" s="4">
        <f t="shared" si="11"/>
        <v>6.599365562401581E-2</v>
      </c>
      <c r="F68">
        <f t="shared" si="12"/>
        <v>1.0664574748840954</v>
      </c>
      <c r="G68">
        <f t="shared" si="15"/>
        <v>106.64574748840954</v>
      </c>
      <c r="H68">
        <f t="shared" si="13"/>
        <v>16.16</v>
      </c>
      <c r="I68" s="8"/>
      <c r="J68" s="8"/>
      <c r="K68" s="8"/>
      <c r="L68" s="8"/>
      <c r="M68" s="8"/>
      <c r="N68" s="8"/>
      <c r="O68" s="8"/>
      <c r="P68" s="8"/>
      <c r="Q68" s="8"/>
    </row>
    <row r="69" spans="1:17" x14ac:dyDescent="0.2">
      <c r="A69">
        <v>4</v>
      </c>
      <c r="B69">
        <v>26</v>
      </c>
      <c r="C69">
        <f t="shared" si="10"/>
        <v>420</v>
      </c>
      <c r="D69">
        <f t="shared" si="14"/>
        <v>27.594822503381362</v>
      </c>
      <c r="E69" s="4">
        <f t="shared" si="11"/>
        <v>6.570195834138419E-2</v>
      </c>
      <c r="F69">
        <f t="shared" si="12"/>
        <v>1.0613393270531293</v>
      </c>
      <c r="G69">
        <f t="shared" si="15"/>
        <v>106.13393270531293</v>
      </c>
      <c r="H69">
        <f t="shared" si="13"/>
        <v>16.153846153846153</v>
      </c>
      <c r="I69" s="8"/>
      <c r="J69" s="8"/>
      <c r="K69" s="8"/>
      <c r="L69" s="8"/>
      <c r="M69" s="8"/>
      <c r="N69" s="8"/>
      <c r="O69" s="8"/>
      <c r="P69" s="8"/>
      <c r="Q69" s="8"/>
    </row>
    <row r="70" spans="1:17" x14ac:dyDescent="0.2">
      <c r="A70">
        <v>4</v>
      </c>
      <c r="B70">
        <v>27</v>
      </c>
      <c r="C70">
        <f t="shared" si="10"/>
        <v>436</v>
      </c>
      <c r="D70">
        <f t="shared" si="14"/>
        <v>28.51887427834755</v>
      </c>
      <c r="E70" s="4">
        <f t="shared" si="11"/>
        <v>6.5410262106301714E-2</v>
      </c>
      <c r="F70">
        <f t="shared" si="12"/>
        <v>1.0562546029017612</v>
      </c>
      <c r="G70">
        <f t="shared" si="15"/>
        <v>105.62546029017612</v>
      </c>
      <c r="H70">
        <f t="shared" si="13"/>
        <v>16.148148148148149</v>
      </c>
      <c r="I70" s="8"/>
      <c r="J70" s="8"/>
      <c r="K70" s="8"/>
      <c r="L70" s="8"/>
      <c r="M70" s="8"/>
      <c r="N70" s="8"/>
      <c r="O70" s="8"/>
      <c r="P70" s="8"/>
      <c r="Q70" s="8"/>
    </row>
    <row r="71" spans="1:17" x14ac:dyDescent="0.2">
      <c r="A71">
        <v>4</v>
      </c>
      <c r="B71">
        <v>28</v>
      </c>
      <c r="C71">
        <f t="shared" si="10"/>
        <v>452</v>
      </c>
      <c r="D71">
        <f t="shared" si="14"/>
        <v>29.433685535564074</v>
      </c>
      <c r="E71" s="3">
        <f t="shared" si="11"/>
        <v>6.511877330877007E-2</v>
      </c>
      <c r="F71">
        <f t="shared" si="12"/>
        <v>1.0512030548415741</v>
      </c>
      <c r="G71">
        <f t="shared" si="15"/>
        <v>105.1203054841574</v>
      </c>
      <c r="H71">
        <f t="shared" si="13"/>
        <v>16.142857142857142</v>
      </c>
    </row>
    <row r="72" spans="1:17" x14ac:dyDescent="0.2">
      <c r="A72">
        <v>4</v>
      </c>
      <c r="B72">
        <v>29</v>
      </c>
      <c r="C72">
        <f t="shared" si="10"/>
        <v>468</v>
      </c>
      <c r="D72">
        <f t="shared" si="14"/>
        <v>30.339348680208431</v>
      </c>
      <c r="E72" s="3">
        <f t="shared" si="11"/>
        <v>6.4827668120103488E-2</v>
      </c>
      <c r="F72">
        <f t="shared" si="12"/>
        <v>1.0461844372485667</v>
      </c>
      <c r="G72">
        <f t="shared" si="15"/>
        <v>104.61844372485668</v>
      </c>
      <c r="H72">
        <f t="shared" si="13"/>
        <v>16.137931034482758</v>
      </c>
    </row>
    <row r="73" spans="1:17" x14ac:dyDescent="0.2">
      <c r="A73">
        <v>4</v>
      </c>
      <c r="B73">
        <v>30</v>
      </c>
      <c r="C73">
        <f t="shared" si="10"/>
        <v>484</v>
      </c>
      <c r="D73">
        <f t="shared" si="14"/>
        <v>31.235955193406348</v>
      </c>
      <c r="E73" s="3">
        <f t="shared" si="11"/>
        <v>6.4537097507037913E-2</v>
      </c>
      <c r="F73">
        <f t="shared" si="12"/>
        <v>1.0411985064468783</v>
      </c>
      <c r="G73">
        <f t="shared" si="15"/>
        <v>104.11985064468783</v>
      </c>
      <c r="H73">
        <f t="shared" si="13"/>
        <v>16.133333333333333</v>
      </c>
    </row>
    <row r="74" spans="1:17" x14ac:dyDescent="0.2">
      <c r="A74">
        <v>4</v>
      </c>
      <c r="B74">
        <v>31</v>
      </c>
      <c r="C74">
        <f t="shared" si="10"/>
        <v>500</v>
      </c>
      <c r="D74">
        <f t="shared" si="14"/>
        <v>32.123595641472285</v>
      </c>
      <c r="E74" s="3">
        <f t="shared" si="11"/>
        <v>6.4247191282944566E-2</v>
      </c>
      <c r="F74">
        <f t="shared" si="12"/>
        <v>1.0362450206926543</v>
      </c>
      <c r="G74">
        <f t="shared" si="15"/>
        <v>103.62450206926543</v>
      </c>
      <c r="H74">
        <f t="shared" si="13"/>
        <v>16.129032258064516</v>
      </c>
    </row>
    <row r="75" spans="1:17" x14ac:dyDescent="0.2">
      <c r="A75">
        <v>4</v>
      </c>
      <c r="B75">
        <v>32</v>
      </c>
      <c r="C75">
        <f t="shared" si="10"/>
        <v>516</v>
      </c>
      <c r="D75">
        <f t="shared" si="14"/>
        <v>33.002359685057563</v>
      </c>
      <c r="E75" s="3">
        <f t="shared" si="11"/>
        <v>6.3958061405150313E-2</v>
      </c>
      <c r="F75">
        <f t="shared" si="12"/>
        <v>1.0313237401580488</v>
      </c>
      <c r="G75">
        <f t="shared" si="15"/>
        <v>103.13237401580488</v>
      </c>
      <c r="H75">
        <f t="shared" si="13"/>
        <v>16.125</v>
      </c>
    </row>
    <row r="76" spans="1:17" x14ac:dyDescent="0.2">
      <c r="A76">
        <v>4</v>
      </c>
      <c r="B76">
        <v>33</v>
      </c>
      <c r="C76">
        <f t="shared" si="10"/>
        <v>532</v>
      </c>
      <c r="D76">
        <f t="shared" si="14"/>
        <v>33.872336088206985</v>
      </c>
      <c r="E76" s="3">
        <f t="shared" si="11"/>
        <v>6.3669804677080805E-2</v>
      </c>
      <c r="F76">
        <f t="shared" si="12"/>
        <v>1.0264344269153631</v>
      </c>
      <c r="G76">
        <f t="shared" si="15"/>
        <v>102.64344269153631</v>
      </c>
      <c r="H76">
        <f t="shared" si="13"/>
        <v>16.121212121212121</v>
      </c>
    </row>
    <row r="77" spans="1:17" x14ac:dyDescent="0.2">
      <c r="A77">
        <v>4</v>
      </c>
      <c r="B77">
        <v>34</v>
      </c>
      <c r="C77">
        <f t="shared" si="10"/>
        <v>548</v>
      </c>
      <c r="D77">
        <f t="shared" si="14"/>
        <v>34.733612727324918</v>
      </c>
      <c r="E77" s="3">
        <f t="shared" si="11"/>
        <v>6.3382504976870285E-2</v>
      </c>
      <c r="F77">
        <f t="shared" si="12"/>
        <v>1.0215768449213212</v>
      </c>
      <c r="G77">
        <f t="shared" si="15"/>
        <v>102.15768449213212</v>
      </c>
      <c r="H77">
        <f t="shared" si="13"/>
        <v>16.117647058823529</v>
      </c>
    </row>
    <row r="78" spans="1:17" x14ac:dyDescent="0.2">
      <c r="A78">
        <v>4</v>
      </c>
      <c r="B78">
        <v>35</v>
      </c>
      <c r="C78">
        <f t="shared" si="10"/>
        <v>564</v>
      </c>
      <c r="D78">
        <f t="shared" si="14"/>
        <v>35.586276600051669</v>
      </c>
      <c r="E78" s="3">
        <f t="shared" si="11"/>
        <v>6.3096235106474594E-2</v>
      </c>
      <c r="F78">
        <f t="shared" si="12"/>
        <v>1.0167507600014762</v>
      </c>
      <c r="G78">
        <f t="shared" si="15"/>
        <v>101.67507600014763</v>
      </c>
      <c r="H78">
        <f t="shared" si="13"/>
        <v>16.114285714285714</v>
      </c>
    </row>
    <row r="79" spans="1:17" x14ac:dyDescent="0.2">
      <c r="A79">
        <v>4</v>
      </c>
      <c r="B79">
        <v>36</v>
      </c>
      <c r="C79">
        <f t="shared" si="10"/>
        <v>580</v>
      </c>
      <c r="D79">
        <f t="shared" si="14"/>
        <v>36.430413834051151</v>
      </c>
      <c r="E79" s="3">
        <f t="shared" si="11"/>
        <v>6.2811058334570957E-2</v>
      </c>
      <c r="F79">
        <f t="shared" si="12"/>
        <v>1.0119559398347542</v>
      </c>
      <c r="G79">
        <f t="shared" si="15"/>
        <v>101.19559398347542</v>
      </c>
      <c r="H79">
        <f t="shared" si="13"/>
        <v>16.111111111111111</v>
      </c>
    </row>
    <row r="80" spans="1:17" x14ac:dyDescent="0.2">
      <c r="A80">
        <v>4</v>
      </c>
      <c r="B80">
        <v>37</v>
      </c>
      <c r="C80">
        <f t="shared" si="10"/>
        <v>596</v>
      </c>
      <c r="D80">
        <f t="shared" si="14"/>
        <v>37.266109695710639</v>
      </c>
      <c r="E80" s="3">
        <f t="shared" si="11"/>
        <v>6.2527029690789659E-2</v>
      </c>
      <c r="F80">
        <f t="shared" si="12"/>
        <v>1.0071921539381254</v>
      </c>
      <c r="G80">
        <f t="shared" si="15"/>
        <v>100.71921539381255</v>
      </c>
      <c r="H80">
        <f t="shared" si="13"/>
        <v>16.108108108108109</v>
      </c>
    </row>
    <row r="81" spans="1:9" x14ac:dyDescent="0.2">
      <c r="A81">
        <v>4</v>
      </c>
      <c r="B81">
        <v>38</v>
      </c>
      <c r="C81">
        <f t="shared" si="10"/>
        <v>612</v>
      </c>
      <c r="D81">
        <f t="shared" si="14"/>
        <v>38.093448598753533</v>
      </c>
      <c r="E81" s="3">
        <f t="shared" si="11"/>
        <v>6.2244197056786819E-2</v>
      </c>
      <c r="F81">
        <f t="shared" si="12"/>
        <v>1.0024591736514088</v>
      </c>
      <c r="G81">
        <f t="shared" si="15"/>
        <v>100.24591736514088</v>
      </c>
      <c r="H81">
        <f t="shared" si="13"/>
        <v>16.105263157894736</v>
      </c>
    </row>
    <row r="82" spans="1:9" x14ac:dyDescent="0.2">
      <c r="A82">
        <v>4</v>
      </c>
      <c r="B82">
        <v>39</v>
      </c>
      <c r="C82">
        <f t="shared" si="10"/>
        <v>628</v>
      </c>
      <c r="D82">
        <f t="shared" si="14"/>
        <v>38.912514112765997</v>
      </c>
      <c r="E82" s="3">
        <f t="shared" si="11"/>
        <v>6.1962602090391714E-2</v>
      </c>
      <c r="F82">
        <f t="shared" si="12"/>
        <v>0.99775677212220504</v>
      </c>
      <c r="G82">
        <f t="shared" si="15"/>
        <v>99.775677212220501</v>
      </c>
      <c r="H82">
        <f t="shared" si="13"/>
        <v>16.102564102564102</v>
      </c>
    </row>
    <row r="83" spans="1:9" x14ac:dyDescent="0.2">
      <c r="A83">
        <v>4</v>
      </c>
      <c r="B83">
        <v>40</v>
      </c>
      <c r="C83">
        <f t="shared" si="10"/>
        <v>644</v>
      </c>
      <c r="D83">
        <f t="shared" si="14"/>
        <v>39.723388971638336</v>
      </c>
      <c r="E83" s="3">
        <f t="shared" si="11"/>
        <v>6.1682281011860768E-2</v>
      </c>
      <c r="F83">
        <f t="shared" si="12"/>
        <v>0.9930847242909584</v>
      </c>
      <c r="G83">
        <f>100*F83</f>
        <v>99.308472429095843</v>
      </c>
      <c r="H83">
        <f t="shared" si="13"/>
        <v>16.100000000000001</v>
      </c>
    </row>
    <row r="86" spans="1:9" x14ac:dyDescent="0.2">
      <c r="A86" t="s">
        <v>204</v>
      </c>
      <c r="B86" t="s">
        <v>234</v>
      </c>
      <c r="C86" t="s">
        <v>205</v>
      </c>
      <c r="D86" t="s">
        <v>292</v>
      </c>
      <c r="E86" t="s">
        <v>208</v>
      </c>
      <c r="F86" t="s">
        <v>206</v>
      </c>
      <c r="G86" t="s">
        <v>214</v>
      </c>
      <c r="H86" t="s">
        <v>215</v>
      </c>
      <c r="I86" t="s">
        <v>293</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xmlns:xlrd2="http://schemas.microsoft.com/office/spreadsheetml/2017/richdata2" ref="A45:H83">
    <sortCondition ref="A44:A83"/>
  </sortState>
  <mergeCells count="10">
    <mergeCell ref="L14:P14"/>
    <mergeCell ref="A1:H1"/>
    <mergeCell ref="K19:L19"/>
    <mergeCell ref="K20:L20"/>
    <mergeCell ref="K13:Q13"/>
    <mergeCell ref="A42:H42"/>
    <mergeCell ref="K54:Q54"/>
    <mergeCell ref="L55:P55"/>
    <mergeCell ref="K60:L60"/>
    <mergeCell ref="K61:L61"/>
  </mergeCells>
  <phoneticPr fontId="1" type="noConversion"/>
  <conditionalFormatting sqref="E3:E23">
    <cfRule type="cellIs" dxfId="4" priority="2" operator="between">
      <formula>0.135</formula>
      <formula>1</formula>
    </cfRule>
    <cfRule type="cellIs" dxfId="3" priority="3" operator="between">
      <formula>0.13</formula>
      <formula>0.135</formula>
    </cfRule>
    <cfRule type="cellIs" dxfId="2" priority="4" operator="between">
      <formula>0.125</formula>
      <formula>0.13</formula>
    </cfRule>
    <cfRule type="cellIs" dxfId="1" priority="5" operator="between">
      <formula>0</formula>
      <formula>0.125</formula>
    </cfRule>
  </conditionalFormatting>
  <conditionalFormatting sqref="E7">
    <cfRule type="cellIs" dxfId="0"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2CBBA-82E8-4251-A3F5-C9580F222831}">
  <dimension ref="A1:J34"/>
  <sheetViews>
    <sheetView workbookViewId="0">
      <selection activeCell="G34" sqref="G34"/>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268</v>
      </c>
    </row>
    <row r="2" spans="1:10" x14ac:dyDescent="0.2">
      <c r="A2" t="s">
        <v>269</v>
      </c>
    </row>
    <row r="3" spans="1:10" x14ac:dyDescent="0.2">
      <c r="B3" t="s">
        <v>270</v>
      </c>
    </row>
    <row r="4" spans="1:10" x14ac:dyDescent="0.2">
      <c r="B4" t="s">
        <v>271</v>
      </c>
    </row>
    <row r="5" spans="1:10" x14ac:dyDescent="0.2">
      <c r="B5" t="s">
        <v>272</v>
      </c>
    </row>
    <row r="6" spans="1:10" x14ac:dyDescent="0.2">
      <c r="A6" t="s">
        <v>273</v>
      </c>
    </row>
    <row r="7" spans="1:10" x14ac:dyDescent="0.2">
      <c r="A7" s="22" t="s">
        <v>516</v>
      </c>
      <c r="B7" s="22"/>
      <c r="C7" s="22"/>
      <c r="D7" s="22"/>
      <c r="E7" s="22"/>
      <c r="F7" s="22"/>
    </row>
    <row r="8" spans="1:10" x14ac:dyDescent="0.2">
      <c r="A8" s="22" t="s">
        <v>517</v>
      </c>
      <c r="B8" s="22"/>
      <c r="C8" s="22"/>
      <c r="D8" s="22"/>
      <c r="E8" s="22"/>
    </row>
    <row r="9" spans="1:10" x14ac:dyDescent="0.2">
      <c r="A9" t="s">
        <v>274</v>
      </c>
    </row>
    <row r="10" spans="1:10" x14ac:dyDescent="0.2">
      <c r="A10" t="s">
        <v>275</v>
      </c>
    </row>
    <row r="11" spans="1:10" x14ac:dyDescent="0.2">
      <c r="A11" t="s">
        <v>478</v>
      </c>
    </row>
    <row r="15" spans="1:10" x14ac:dyDescent="0.2">
      <c r="H15" s="21" t="s">
        <v>479</v>
      </c>
      <c r="I15" s="21"/>
      <c r="J15" s="21"/>
    </row>
    <row r="16" spans="1:10" x14ac:dyDescent="0.2">
      <c r="A16" t="s">
        <v>260</v>
      </c>
      <c r="B16" t="s">
        <v>261</v>
      </c>
      <c r="C16" t="s">
        <v>266</v>
      </c>
      <c r="D16" t="s">
        <v>267</v>
      </c>
      <c r="E16" t="s">
        <v>276</v>
      </c>
      <c r="F16" t="s">
        <v>278</v>
      </c>
      <c r="G16" t="s">
        <v>277</v>
      </c>
      <c r="H16" t="s">
        <v>480</v>
      </c>
      <c r="I16" t="s">
        <v>278</v>
      </c>
      <c r="J16" t="s">
        <v>481</v>
      </c>
    </row>
    <row r="17" spans="1:10" x14ac:dyDescent="0.2">
      <c r="A17" t="s">
        <v>262</v>
      </c>
      <c r="B17">
        <v>0</v>
      </c>
      <c r="C17">
        <v>0</v>
      </c>
      <c r="D17">
        <f>C17-1</f>
        <v>-1</v>
      </c>
      <c r="E17">
        <f>(0.5/6-D17)/0.8</f>
        <v>1.3541666666666665</v>
      </c>
      <c r="F17" t="s">
        <v>262</v>
      </c>
      <c r="G17">
        <f>(0.25/6-D17)/0.8</f>
        <v>1.3020833333333333</v>
      </c>
      <c r="H17">
        <f>1/E17</f>
        <v>0.7384615384615385</v>
      </c>
      <c r="I17" t="s">
        <v>262</v>
      </c>
      <c r="J17">
        <f>1/G17</f>
        <v>0.76800000000000002</v>
      </c>
    </row>
    <row r="18" spans="1:10" x14ac:dyDescent="0.2">
      <c r="A18" t="s">
        <v>263</v>
      </c>
      <c r="B18">
        <v>50</v>
      </c>
      <c r="C18">
        <f>SQRT(400*B18*0.6+B18*0.6*B18*0.6)/(200+B18*0.6)</f>
        <v>0.49381811702611073</v>
      </c>
      <c r="D18">
        <f>C18-1</f>
        <v>-0.50618188297388933</v>
      </c>
      <c r="E18">
        <f>(0.5/6-D18)/0.8</f>
        <v>0.73689402038402829</v>
      </c>
      <c r="F18" t="s">
        <v>263</v>
      </c>
      <c r="G18">
        <f t="shared" ref="G18:G21" si="0">(0.25/6-D18)/0.8</f>
        <v>0.68481068705069492</v>
      </c>
      <c r="H18">
        <f t="shared" ref="H18:H21" si="1">1/E18</f>
        <v>1.3570472447026445</v>
      </c>
      <c r="I18" t="s">
        <v>263</v>
      </c>
      <c r="J18">
        <f t="shared" ref="J18:J21" si="2">1/G18</f>
        <v>1.4602575849199215</v>
      </c>
    </row>
    <row r="19" spans="1:10" x14ac:dyDescent="0.2">
      <c r="A19" t="s">
        <v>264</v>
      </c>
      <c r="B19">
        <v>55</v>
      </c>
      <c r="C19">
        <f t="shared" ref="C19:C21" si="3">SQRT(400*B19*0.6+B19*0.6*B19*0.6)/(200+B19*0.6)</f>
        <v>0.51303264065318743</v>
      </c>
      <c r="D19">
        <f t="shared" ref="D19:D21" si="4">C19-1</f>
        <v>-0.48696735934681257</v>
      </c>
      <c r="E19">
        <f>(0.5/6-D19)/0.8</f>
        <v>0.71287586585018237</v>
      </c>
      <c r="F19" t="s">
        <v>264</v>
      </c>
      <c r="G19">
        <f t="shared" si="0"/>
        <v>0.660792532516849</v>
      </c>
      <c r="H19">
        <f t="shared" si="1"/>
        <v>1.4027687678939598</v>
      </c>
      <c r="I19" t="s">
        <v>264</v>
      </c>
      <c r="J19">
        <f t="shared" si="2"/>
        <v>1.5133342929756881</v>
      </c>
    </row>
    <row r="20" spans="1:10" x14ac:dyDescent="0.2">
      <c r="A20" t="s">
        <v>279</v>
      </c>
      <c r="B20">
        <v>60</v>
      </c>
      <c r="C20">
        <f t="shared" si="3"/>
        <v>0.5308630428259602</v>
      </c>
      <c r="D20">
        <f t="shared" si="4"/>
        <v>-0.4691369571740398</v>
      </c>
      <c r="E20">
        <f>(0.5/6-D20)/0.8</f>
        <v>0.69058786313421638</v>
      </c>
      <c r="F20" t="s">
        <v>279</v>
      </c>
      <c r="G20">
        <f t="shared" si="0"/>
        <v>0.63850452980088301</v>
      </c>
      <c r="H20">
        <f t="shared" si="1"/>
        <v>1.4480416662139473</v>
      </c>
      <c r="I20" t="s">
        <v>279</v>
      </c>
      <c r="J20">
        <f t="shared" si="2"/>
        <v>1.5661596015800374</v>
      </c>
    </row>
    <row r="21" spans="1:10" x14ac:dyDescent="0.2">
      <c r="A21" t="s">
        <v>265</v>
      </c>
      <c r="B21">
        <v>70</v>
      </c>
      <c r="C21">
        <f t="shared" si="3"/>
        <v>0.56301558116532557</v>
      </c>
      <c r="D21">
        <f t="shared" si="4"/>
        <v>-0.43698441883467443</v>
      </c>
      <c r="E21">
        <f>(0.5/6-D21)/0.8</f>
        <v>0.65039719021000975</v>
      </c>
      <c r="F21" t="s">
        <v>265</v>
      </c>
      <c r="G21">
        <f t="shared" si="0"/>
        <v>0.59831385687667638</v>
      </c>
      <c r="H21">
        <f t="shared" si="1"/>
        <v>1.5375220173954094</v>
      </c>
      <c r="I21" t="s">
        <v>265</v>
      </c>
      <c r="J21">
        <f t="shared" si="2"/>
        <v>1.6713635970595924</v>
      </c>
    </row>
    <row r="25" spans="1:10" x14ac:dyDescent="0.2">
      <c r="A25" t="s">
        <v>280</v>
      </c>
      <c r="B25" t="s">
        <v>281</v>
      </c>
    </row>
    <row r="26" spans="1:10" x14ac:dyDescent="0.2">
      <c r="A26">
        <v>74400</v>
      </c>
      <c r="B26">
        <v>12</v>
      </c>
    </row>
    <row r="28" spans="1:10" x14ac:dyDescent="0.2">
      <c r="A28" s="21" t="s">
        <v>282</v>
      </c>
      <c r="B28" s="21"/>
      <c r="C28" s="21"/>
      <c r="D28" s="21"/>
      <c r="E28" s="21"/>
    </row>
    <row r="29" spans="1:10" x14ac:dyDescent="0.2">
      <c r="A29" t="s">
        <v>260</v>
      </c>
      <c r="B29" t="s">
        <v>285</v>
      </c>
      <c r="C29" t="s">
        <v>284</v>
      </c>
      <c r="D29" t="s">
        <v>286</v>
      </c>
    </row>
    <row r="30" spans="1:10" x14ac:dyDescent="0.2">
      <c r="A30" t="s">
        <v>262</v>
      </c>
      <c r="B30" s="2" t="str">
        <f>IF(0.5/6-C17-A26/(B26*50000)&gt;-1,180*ASIN(0.5/6-C17-A26/(B26*50000))/PI(),"")&amp;IF(0.5/6-C17-A26/(B26*50000)&lt;=-1,-90,"")</f>
        <v>-2.33067107013589</v>
      </c>
      <c r="C30" s="2" t="str">
        <f>IF(0.25/6-C17-A26/(B26*50000)&gt;-1,180*ASIN(0.25/6-C17-A26/(B26*50000))/PI(),"")&amp;IF(0.25/6-C17-A26/(B26*50000)&lt;=-1,-90,"")</f>
        <v>-4.72269848436872</v>
      </c>
      <c r="D30" t="s">
        <v>287</v>
      </c>
    </row>
    <row r="31" spans="1:10" x14ac:dyDescent="0.2">
      <c r="A31" t="s">
        <v>263</v>
      </c>
      <c r="B31" s="2" t="str">
        <f>IF(0.5/6-C18-A26/(B26*50000)&gt;-1,180*ASIN(0.5/6-C18-A26/(B26*50000))/PI(),"")&amp;IF(0.5/6-C18-A26/(B26*50000)&lt;=-1,-90,"")</f>
        <v>-32.3089774578436</v>
      </c>
      <c r="C31" s="2" t="str">
        <f>IF(0.25/6-C18-A26/(B26*50000)&gt;-1,180*ASIN(0.25/6-C18-A26/(B26*50000))/PI(),"")&amp;IF(0.25/6-C18-A26/(B26*50000)&lt;=-1,-90,"")</f>
        <v>-35.1803089079551</v>
      </c>
      <c r="D31" t="s">
        <v>288</v>
      </c>
    </row>
    <row r="32" spans="1:10" x14ac:dyDescent="0.2">
      <c r="A32" t="s">
        <v>264</v>
      </c>
      <c r="B32" s="2" t="str">
        <f>IF(0.5/6-C19-A26/(B26*50000)&gt;-1,180*ASIN(0.5/6-C19-A26/(B26*50000))/PI(),"")&amp;IF(0.5/6-C19-A26/(B26*50000)&lt;=-1,-90,"")</f>
        <v>-33.6211729553282</v>
      </c>
      <c r="C32" s="2" t="str">
        <f>IF(0.25/6-C19-A26/(B26*50000)&gt;-1,180*ASIN(0.25/6-C19-A26/(B26*50000))/PI(),"")&amp;IF(0.25/6-C19-A26/(B26*50000)&lt;=-1,-90,"")</f>
        <v>-36.5387259530996</v>
      </c>
      <c r="D32" t="s">
        <v>289</v>
      </c>
    </row>
    <row r="33" spans="1:3" x14ac:dyDescent="0.2">
      <c r="A33" t="s">
        <v>265</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283</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94A6-5691-4DB4-B947-FA6B8184BE38}">
  <dimension ref="A1:Y116"/>
  <sheetViews>
    <sheetView tabSelected="1" workbookViewId="0">
      <selection activeCell="M22" sqref="M22"/>
    </sheetView>
  </sheetViews>
  <sheetFormatPr defaultRowHeight="14.25" x14ac:dyDescent="0.2"/>
  <cols>
    <col min="16" max="16" width="14.375" customWidth="1"/>
    <col min="17" max="18" width="11.625" customWidth="1"/>
  </cols>
  <sheetData>
    <row r="1" spans="1:20" x14ac:dyDescent="0.2">
      <c r="A1" s="25" t="s">
        <v>295</v>
      </c>
      <c r="B1" s="25"/>
      <c r="C1" s="25"/>
      <c r="D1" s="25"/>
      <c r="E1" s="25"/>
      <c r="F1" s="25"/>
      <c r="G1" s="25"/>
    </row>
    <row r="2" spans="1:20" x14ac:dyDescent="0.2">
      <c r="A2" s="22" t="s">
        <v>297</v>
      </c>
      <c r="B2" s="22"/>
      <c r="C2" s="22"/>
      <c r="D2" s="22"/>
      <c r="E2" s="22"/>
      <c r="F2" s="22"/>
      <c r="G2" s="22"/>
      <c r="H2" s="22"/>
    </row>
    <row r="3" spans="1:20" ht="29.25" customHeight="1" x14ac:dyDescent="0.2">
      <c r="A3" s="21"/>
      <c r="B3" s="21"/>
      <c r="C3" s="21"/>
      <c r="D3" s="21"/>
      <c r="E3" s="21"/>
      <c r="F3" s="21"/>
      <c r="G3" s="21"/>
      <c r="H3" s="21"/>
    </row>
    <row r="4" spans="1:20" x14ac:dyDescent="0.2">
      <c r="B4" s="26" t="s">
        <v>296</v>
      </c>
      <c r="C4" s="26"/>
      <c r="D4" s="26"/>
      <c r="E4" s="26"/>
      <c r="F4" s="26"/>
      <c r="G4" s="26"/>
    </row>
    <row r="5" spans="1:20" x14ac:dyDescent="0.2">
      <c r="A5" s="10" t="s">
        <v>298</v>
      </c>
      <c r="B5" s="10"/>
      <c r="C5" s="10"/>
      <c r="D5" s="10"/>
      <c r="E5" s="10"/>
      <c r="F5" s="10"/>
    </row>
    <row r="6" spans="1:20" x14ac:dyDescent="0.2">
      <c r="A6" s="9"/>
    </row>
    <row r="9" spans="1:20" x14ac:dyDescent="0.2">
      <c r="P9" t="s">
        <v>353</v>
      </c>
      <c r="Q9" t="s">
        <v>357</v>
      </c>
    </row>
    <row r="10" spans="1:20" x14ac:dyDescent="0.2">
      <c r="A10" s="22" t="s">
        <v>299</v>
      </c>
      <c r="B10" s="22"/>
      <c r="C10" s="11"/>
      <c r="D10" s="11"/>
      <c r="E10" s="11"/>
      <c r="F10" s="11"/>
      <c r="G10" s="11"/>
      <c r="H10" s="11"/>
      <c r="I10" s="11"/>
      <c r="J10" s="11"/>
      <c r="K10" s="11"/>
      <c r="P10" t="s">
        <v>354</v>
      </c>
      <c r="Q10" t="s">
        <v>355</v>
      </c>
      <c r="R10" t="s">
        <v>356</v>
      </c>
    </row>
    <row r="11" spans="1:20" x14ac:dyDescent="0.2">
      <c r="A11" s="11"/>
      <c r="B11" s="22" t="s">
        <v>300</v>
      </c>
      <c r="C11" s="22"/>
      <c r="D11" s="22"/>
      <c r="E11" s="22"/>
      <c r="F11" s="22"/>
      <c r="G11" s="22"/>
      <c r="H11" s="22"/>
      <c r="I11" s="11"/>
      <c r="J11" s="11"/>
      <c r="K11" s="11"/>
      <c r="P11">
        <f>5</f>
        <v>5</v>
      </c>
      <c r="Q11">
        <f>26+14472*P11+100</f>
        <v>72486</v>
      </c>
      <c r="R11">
        <f>706+72*P11</f>
        <v>1066</v>
      </c>
      <c r="S11">
        <f>2000*60*300/Q11</f>
        <v>496.64762850757387</v>
      </c>
      <c r="T11">
        <f>2000*60*300/R11</f>
        <v>33771.106941838647</v>
      </c>
    </row>
    <row r="12" spans="1:20" x14ac:dyDescent="0.2">
      <c r="A12" s="11"/>
      <c r="B12" s="22" t="s">
        <v>301</v>
      </c>
      <c r="C12" s="22"/>
      <c r="D12" s="22"/>
      <c r="E12" s="22"/>
      <c r="F12" s="11"/>
      <c r="G12" s="11"/>
      <c r="H12" s="11"/>
      <c r="I12" s="11"/>
      <c r="J12" s="11"/>
      <c r="K12" s="11"/>
      <c r="P12" t="s">
        <v>585</v>
      </c>
      <c r="Q12" t="s">
        <v>586</v>
      </c>
    </row>
    <row r="13" spans="1:20" x14ac:dyDescent="0.2">
      <c r="A13" s="11"/>
      <c r="B13" s="11"/>
      <c r="C13" s="22" t="s">
        <v>302</v>
      </c>
      <c r="D13" s="22"/>
      <c r="E13" s="22"/>
      <c r="F13" s="22"/>
      <c r="G13" s="11"/>
      <c r="H13" s="11"/>
      <c r="I13" s="11"/>
      <c r="J13" s="11"/>
      <c r="K13" s="11"/>
    </row>
    <row r="14" spans="1:20" x14ac:dyDescent="0.2">
      <c r="A14" s="11"/>
      <c r="B14" s="22" t="s">
        <v>303</v>
      </c>
      <c r="C14" s="22"/>
      <c r="D14" s="11"/>
      <c r="E14" s="11"/>
      <c r="F14" s="11"/>
      <c r="G14" s="11"/>
      <c r="H14" s="11"/>
      <c r="I14" s="11"/>
      <c r="J14" s="11"/>
      <c r="K14" s="11"/>
    </row>
    <row r="15" spans="1:20" x14ac:dyDescent="0.2">
      <c r="A15" s="11"/>
      <c r="B15" s="11"/>
      <c r="C15" s="22" t="s">
        <v>304</v>
      </c>
      <c r="D15" s="22"/>
      <c r="E15" s="11"/>
      <c r="F15" s="11"/>
      <c r="G15" s="11"/>
      <c r="H15" s="11"/>
      <c r="I15" s="11"/>
      <c r="J15" s="11"/>
      <c r="K15" s="11"/>
    </row>
    <row r="16" spans="1:20" x14ac:dyDescent="0.2">
      <c r="A16" s="11"/>
      <c r="B16" s="22" t="s">
        <v>305</v>
      </c>
      <c r="C16" s="22"/>
      <c r="D16" s="22"/>
      <c r="E16" s="22"/>
      <c r="F16" s="22"/>
      <c r="G16" s="22"/>
      <c r="H16" s="11"/>
      <c r="I16" s="11"/>
      <c r="J16" s="11"/>
      <c r="K16" s="11"/>
    </row>
    <row r="17" spans="1:25" x14ac:dyDescent="0.2">
      <c r="A17" s="11"/>
      <c r="B17" s="22" t="s">
        <v>307</v>
      </c>
      <c r="C17" s="22"/>
      <c r="D17" s="22"/>
      <c r="E17" s="22"/>
      <c r="F17" s="22"/>
      <c r="G17" s="22"/>
      <c r="H17" s="22"/>
      <c r="I17" s="22"/>
      <c r="J17" s="22"/>
      <c r="K17" s="22"/>
      <c r="P17" s="22" t="s">
        <v>510</v>
      </c>
      <c r="Q17" s="22"/>
      <c r="R17" s="22"/>
      <c r="S17" s="22"/>
      <c r="T17" s="22"/>
      <c r="U17" s="22"/>
      <c r="V17" s="22"/>
      <c r="W17" s="22"/>
      <c r="X17" t="s">
        <v>552</v>
      </c>
      <c r="Y17" t="s">
        <v>554</v>
      </c>
    </row>
    <row r="18" spans="1:25" x14ac:dyDescent="0.2">
      <c r="A18" s="11"/>
      <c r="B18" s="11"/>
      <c r="C18" s="22" t="s">
        <v>306</v>
      </c>
      <c r="D18" s="22"/>
      <c r="E18" s="22"/>
      <c r="F18" s="22"/>
      <c r="G18" s="22"/>
      <c r="H18" s="22"/>
      <c r="I18" s="22"/>
      <c r="J18" s="22"/>
      <c r="K18" s="22"/>
      <c r="P18" t="s">
        <v>547</v>
      </c>
      <c r="Q18" s="27" t="s">
        <v>548</v>
      </c>
      <c r="R18" s="28"/>
      <c r="S18" s="28"/>
      <c r="T18" s="28"/>
      <c r="U18" s="28"/>
      <c r="V18" s="28"/>
      <c r="Y18" t="s">
        <v>553</v>
      </c>
    </row>
    <row r="19" spans="1:25" x14ac:dyDescent="0.2">
      <c r="A19" s="11"/>
      <c r="B19" s="22" t="s">
        <v>308</v>
      </c>
      <c r="C19" s="22"/>
      <c r="D19" s="22"/>
      <c r="E19" s="22"/>
      <c r="F19" s="11"/>
      <c r="G19" s="11"/>
      <c r="H19" s="11"/>
      <c r="I19" s="11"/>
      <c r="J19" s="11"/>
      <c r="K19" s="11"/>
      <c r="Q19" s="28"/>
      <c r="R19" s="28"/>
      <c r="S19" s="28"/>
      <c r="T19" s="28"/>
      <c r="U19" s="28"/>
      <c r="V19" s="28"/>
    </row>
    <row r="20" spans="1:25" x14ac:dyDescent="0.2">
      <c r="A20" s="22" t="s">
        <v>309</v>
      </c>
      <c r="B20" s="22"/>
      <c r="C20" s="22"/>
      <c r="D20" s="22"/>
      <c r="E20" s="22"/>
      <c r="F20" s="22"/>
      <c r="G20" s="11"/>
      <c r="H20" s="11"/>
      <c r="I20" s="11"/>
      <c r="J20" s="11"/>
      <c r="K20" s="11"/>
      <c r="P20" t="s">
        <v>583</v>
      </c>
      <c r="Q20" s="21" t="s">
        <v>550</v>
      </c>
      <c r="R20" s="21"/>
      <c r="S20" s="21" t="s">
        <v>549</v>
      </c>
      <c r="T20" s="21"/>
      <c r="U20" s="21" t="s">
        <v>551</v>
      </c>
      <c r="V20" s="21"/>
    </row>
    <row r="21" spans="1:25" x14ac:dyDescent="0.2">
      <c r="P21" t="s">
        <v>555</v>
      </c>
      <c r="Q21" s="21">
        <v>2146</v>
      </c>
      <c r="R21" s="21"/>
      <c r="S21" s="21">
        <v>300</v>
      </c>
      <c r="T21" s="21"/>
      <c r="U21" s="21">
        <f>120000/(IF(Q21&lt;600,Q21,"600")/S21+12000*LN(12000/(12600-IF(Q21&lt;600,600,Q21)))/S21)</f>
        <v>15964.072790560967</v>
      </c>
      <c r="V21" s="21"/>
    </row>
    <row r="22" spans="1:25" x14ac:dyDescent="0.2">
      <c r="A22" s="22" t="s">
        <v>338</v>
      </c>
      <c r="B22" s="22"/>
      <c r="C22" s="22"/>
      <c r="D22" s="22"/>
      <c r="E22" s="22"/>
      <c r="F22" s="22"/>
      <c r="G22" s="22"/>
      <c r="H22" s="22"/>
      <c r="I22" s="22"/>
      <c r="J22" s="22"/>
      <c r="P22" t="s">
        <v>584</v>
      </c>
      <c r="Q22" s="21">
        <v>2146</v>
      </c>
      <c r="R22" s="21"/>
      <c r="S22" s="21">
        <v>300</v>
      </c>
      <c r="T22" s="21"/>
      <c r="U22" s="21">
        <f t="shared" ref="U22:U35" si="0">120000/(IF(Q22&lt;600,Q22,"600")/S22+12000*LN(12000/(12600-IF(Q22&lt;600,600,Q22)))/S22)</f>
        <v>15964.072790560967</v>
      </c>
      <c r="V22" s="21"/>
    </row>
    <row r="23" spans="1:25" x14ac:dyDescent="0.2">
      <c r="B23" s="22" t="s">
        <v>339</v>
      </c>
      <c r="C23" s="22"/>
      <c r="D23" s="22"/>
      <c r="E23" s="22"/>
      <c r="F23" s="22"/>
      <c r="Q23" s="21">
        <v>2146</v>
      </c>
      <c r="R23" s="21"/>
      <c r="S23" s="21">
        <v>300</v>
      </c>
      <c r="T23" s="21"/>
      <c r="U23" s="21">
        <f t="shared" si="0"/>
        <v>15964.072790560967</v>
      </c>
      <c r="V23" s="21"/>
    </row>
    <row r="24" spans="1:25" x14ac:dyDescent="0.2">
      <c r="C24" s="22" t="s">
        <v>343</v>
      </c>
      <c r="D24" s="22"/>
      <c r="E24" s="22"/>
      <c r="F24" s="22"/>
      <c r="G24" s="22"/>
      <c r="H24" s="22"/>
      <c r="I24" s="22"/>
      <c r="J24" s="22"/>
      <c r="Q24" s="21">
        <v>2146</v>
      </c>
      <c r="R24" s="21"/>
      <c r="S24" s="21">
        <v>300</v>
      </c>
      <c r="T24" s="21"/>
      <c r="U24" s="21">
        <f t="shared" si="0"/>
        <v>15964.072790560967</v>
      </c>
      <c r="V24" s="21"/>
    </row>
    <row r="25" spans="1:25" x14ac:dyDescent="0.2">
      <c r="D25" s="22" t="s">
        <v>340</v>
      </c>
      <c r="E25" s="22"/>
      <c r="F25" s="22"/>
      <c r="Q25" s="21">
        <v>2146</v>
      </c>
      <c r="R25" s="21"/>
      <c r="S25" s="21">
        <v>300</v>
      </c>
      <c r="T25" s="21"/>
      <c r="U25" s="21">
        <f t="shared" si="0"/>
        <v>15964.072790560967</v>
      </c>
      <c r="V25" s="21"/>
    </row>
    <row r="26" spans="1:25" x14ac:dyDescent="0.2">
      <c r="B26" s="11" t="s">
        <v>341</v>
      </c>
      <c r="C26" s="11"/>
      <c r="D26" s="11"/>
      <c r="E26" s="11"/>
      <c r="F26" s="11"/>
      <c r="G26" s="11"/>
      <c r="H26" s="11"/>
      <c r="I26" s="11"/>
      <c r="J26" s="11"/>
      <c r="K26" s="11"/>
      <c r="L26" s="11"/>
      <c r="Q26" s="21">
        <v>2146</v>
      </c>
      <c r="R26" s="21"/>
      <c r="S26" s="21">
        <v>300</v>
      </c>
      <c r="T26" s="21"/>
      <c r="U26" s="21">
        <f t="shared" si="0"/>
        <v>15964.072790560967</v>
      </c>
      <c r="V26" s="21"/>
    </row>
    <row r="27" spans="1:25" x14ac:dyDescent="0.2">
      <c r="B27" s="22" t="s">
        <v>342</v>
      </c>
      <c r="C27" s="22"/>
      <c r="D27" s="22"/>
      <c r="E27" s="22"/>
      <c r="F27" s="22"/>
      <c r="G27" s="22"/>
      <c r="H27" s="22"/>
      <c r="I27" s="22"/>
      <c r="J27" s="22"/>
      <c r="K27" s="22"/>
      <c r="L27" s="22"/>
      <c r="Q27" s="21">
        <v>2146</v>
      </c>
      <c r="R27" s="21"/>
      <c r="S27" s="21">
        <v>300</v>
      </c>
      <c r="T27" s="21"/>
      <c r="U27" s="21">
        <f t="shared" si="0"/>
        <v>15964.072790560967</v>
      </c>
      <c r="V27" s="21"/>
    </row>
    <row r="28" spans="1:25" x14ac:dyDescent="0.2">
      <c r="Q28" s="21">
        <v>2146</v>
      </c>
      <c r="R28" s="21"/>
      <c r="S28" s="21">
        <v>300</v>
      </c>
      <c r="T28" s="21"/>
      <c r="U28" s="21">
        <f t="shared" si="0"/>
        <v>15964.072790560967</v>
      </c>
      <c r="V28" s="21"/>
    </row>
    <row r="29" spans="1:25" x14ac:dyDescent="0.2">
      <c r="Q29" s="21">
        <v>2146</v>
      </c>
      <c r="R29" s="21"/>
      <c r="S29" s="21">
        <v>300</v>
      </c>
      <c r="T29" s="21"/>
      <c r="U29" s="21">
        <f t="shared" si="0"/>
        <v>15964.072790560967</v>
      </c>
      <c r="V29" s="21"/>
    </row>
    <row r="30" spans="1:25" x14ac:dyDescent="0.2">
      <c r="Q30" s="21">
        <v>2146</v>
      </c>
      <c r="R30" s="21"/>
      <c r="S30" s="21">
        <v>300</v>
      </c>
      <c r="T30" s="21"/>
      <c r="U30" s="21">
        <f t="shared" si="0"/>
        <v>15964.072790560967</v>
      </c>
      <c r="V30" s="21"/>
    </row>
    <row r="31" spans="1:25" x14ac:dyDescent="0.2">
      <c r="Q31" s="21">
        <v>2146</v>
      </c>
      <c r="R31" s="21"/>
      <c r="S31" s="21">
        <v>300</v>
      </c>
      <c r="T31" s="21"/>
      <c r="U31" s="21">
        <f t="shared" si="0"/>
        <v>15964.072790560967</v>
      </c>
      <c r="V31" s="21"/>
    </row>
    <row r="32" spans="1:25" x14ac:dyDescent="0.2">
      <c r="Q32" s="21">
        <v>2146</v>
      </c>
      <c r="R32" s="21"/>
      <c r="S32" s="21">
        <v>300</v>
      </c>
      <c r="T32" s="21"/>
      <c r="U32" s="21">
        <f t="shared" si="0"/>
        <v>15964.072790560967</v>
      </c>
      <c r="V32" s="21"/>
    </row>
    <row r="33" spans="1:22" x14ac:dyDescent="0.2">
      <c r="Q33" s="21">
        <v>2146</v>
      </c>
      <c r="R33" s="21"/>
      <c r="S33" s="21">
        <v>300</v>
      </c>
      <c r="T33" s="21"/>
      <c r="U33" s="21">
        <f t="shared" si="0"/>
        <v>15964.072790560967</v>
      </c>
      <c r="V33" s="21"/>
    </row>
    <row r="34" spans="1:22" ht="14.25" customHeight="1" x14ac:dyDescent="0.2">
      <c r="A34" s="24" t="s">
        <v>556</v>
      </c>
      <c r="B34" s="24"/>
      <c r="C34" s="24"/>
      <c r="D34" s="24"/>
      <c r="E34" s="24"/>
      <c r="F34" s="24"/>
      <c r="G34" s="16"/>
      <c r="Q34" s="21">
        <v>2146</v>
      </c>
      <c r="R34" s="21"/>
      <c r="S34" s="21">
        <v>300</v>
      </c>
      <c r="T34" s="21"/>
      <c r="U34" s="21">
        <f t="shared" si="0"/>
        <v>15964.072790560967</v>
      </c>
      <c r="V34" s="21"/>
    </row>
    <row r="35" spans="1:22" ht="14.25" customHeight="1" x14ac:dyDescent="0.2">
      <c r="A35" s="24"/>
      <c r="B35" s="24"/>
      <c r="C35" s="24"/>
      <c r="D35" s="24"/>
      <c r="E35" s="24"/>
      <c r="F35" s="24"/>
      <c r="G35" s="16"/>
      <c r="Q35" s="21">
        <v>2146</v>
      </c>
      <c r="R35" s="21"/>
      <c r="S35" s="21">
        <v>300</v>
      </c>
      <c r="T35" s="21"/>
      <c r="U35" s="21">
        <f t="shared" si="0"/>
        <v>15964.072790560967</v>
      </c>
      <c r="V35" s="21"/>
    </row>
    <row r="36" spans="1:22" x14ac:dyDescent="0.2">
      <c r="A36" t="s">
        <v>557</v>
      </c>
      <c r="B36" t="s">
        <v>558</v>
      </c>
      <c r="C36" s="21" t="s">
        <v>549</v>
      </c>
      <c r="D36" s="21"/>
      <c r="E36" s="21" t="s">
        <v>551</v>
      </c>
      <c r="F36" s="21"/>
    </row>
    <row r="37" spans="1:22" x14ac:dyDescent="0.2">
      <c r="A37">
        <v>1</v>
      </c>
      <c r="B37">
        <f>706+72*A37</f>
        <v>778</v>
      </c>
      <c r="C37" s="21">
        <v>300</v>
      </c>
      <c r="D37" s="21"/>
      <c r="E37" s="21">
        <f>120000/(IF(B37&lt;600,B37,"600")/C37+12000*LN(12000/(12600-IF(B37&lt;600,600,B37)))/C37)</f>
        <v>46193.325538326266</v>
      </c>
      <c r="F37" s="21"/>
    </row>
    <row r="38" spans="1:22" x14ac:dyDescent="0.2">
      <c r="A38">
        <v>2</v>
      </c>
      <c r="B38">
        <f t="shared" ref="B38:B101" si="1">706+72*A38</f>
        <v>850</v>
      </c>
      <c r="C38" s="21">
        <v>300</v>
      </c>
      <c r="D38" s="21"/>
      <c r="E38" s="21">
        <f t="shared" ref="E38:E101" si="2">120000/(IF(B38&lt;600,B38,"600")/C38+12000*LN(12000/(12600-IF(B38&lt;600,600,B38)))/C38)</f>
        <v>42221.760136057281</v>
      </c>
      <c r="F38" s="21"/>
    </row>
    <row r="39" spans="1:22" x14ac:dyDescent="0.2">
      <c r="A39">
        <v>3</v>
      </c>
      <c r="B39">
        <f t="shared" si="1"/>
        <v>922</v>
      </c>
      <c r="C39" s="21">
        <v>300</v>
      </c>
      <c r="D39" s="21"/>
      <c r="E39" s="21">
        <f t="shared" si="2"/>
        <v>38860.143933442108</v>
      </c>
      <c r="F39" s="21"/>
    </row>
    <row r="40" spans="1:22" x14ac:dyDescent="0.2">
      <c r="A40">
        <v>4</v>
      </c>
      <c r="B40">
        <f t="shared" si="1"/>
        <v>994</v>
      </c>
      <c r="C40" s="21">
        <v>300</v>
      </c>
      <c r="D40" s="21"/>
      <c r="E40" s="21">
        <f t="shared" si="2"/>
        <v>35977.933717413958</v>
      </c>
      <c r="F40" s="21"/>
    </row>
    <row r="41" spans="1:22" x14ac:dyDescent="0.2">
      <c r="A41">
        <v>5</v>
      </c>
      <c r="B41">
        <f t="shared" si="1"/>
        <v>1066</v>
      </c>
      <c r="C41" s="21">
        <v>300</v>
      </c>
      <c r="D41" s="21"/>
      <c r="E41" s="21">
        <f t="shared" si="2"/>
        <v>33479.357421394525</v>
      </c>
      <c r="F41" s="21"/>
    </row>
    <row r="42" spans="1:22" x14ac:dyDescent="0.2">
      <c r="A42">
        <v>6</v>
      </c>
      <c r="B42">
        <f t="shared" si="1"/>
        <v>1138</v>
      </c>
      <c r="C42" s="21">
        <v>300</v>
      </c>
      <c r="D42" s="21"/>
      <c r="E42" s="21">
        <f t="shared" si="2"/>
        <v>31292.559948646718</v>
      </c>
      <c r="F42" s="21"/>
    </row>
    <row r="43" spans="1:22" x14ac:dyDescent="0.2">
      <c r="A43">
        <v>7</v>
      </c>
      <c r="B43">
        <f t="shared" si="1"/>
        <v>1210</v>
      </c>
      <c r="C43" s="21">
        <v>300</v>
      </c>
      <c r="D43" s="21"/>
      <c r="E43" s="21">
        <f t="shared" si="2"/>
        <v>29362.575963356467</v>
      </c>
      <c r="F43" s="21"/>
    </row>
    <row r="44" spans="1:22" x14ac:dyDescent="0.2">
      <c r="A44">
        <v>8</v>
      </c>
      <c r="B44">
        <f t="shared" si="1"/>
        <v>1282</v>
      </c>
      <c r="C44" s="21">
        <v>300</v>
      </c>
      <c r="D44" s="21"/>
      <c r="E44" s="21">
        <f t="shared" si="2"/>
        <v>27646.642821890655</v>
      </c>
      <c r="F44" s="21"/>
    </row>
    <row r="45" spans="1:22" x14ac:dyDescent="0.2">
      <c r="A45">
        <v>9</v>
      </c>
      <c r="B45">
        <f t="shared" si="1"/>
        <v>1354</v>
      </c>
      <c r="C45" s="21">
        <v>300</v>
      </c>
      <c r="D45" s="21"/>
      <c r="E45" s="21">
        <f t="shared" si="2"/>
        <v>26110.992276380268</v>
      </c>
      <c r="F45" s="21"/>
    </row>
    <row r="46" spans="1:22" x14ac:dyDescent="0.2">
      <c r="A46">
        <v>10</v>
      </c>
      <c r="B46">
        <f t="shared" si="1"/>
        <v>1426</v>
      </c>
      <c r="C46" s="21">
        <v>300</v>
      </c>
      <c r="D46" s="21"/>
      <c r="E46" s="21">
        <f t="shared" si="2"/>
        <v>24728.603830336691</v>
      </c>
      <c r="F46" s="21"/>
    </row>
    <row r="47" spans="1:22" x14ac:dyDescent="0.2">
      <c r="A47">
        <v>11</v>
      </c>
      <c r="B47">
        <f t="shared" si="1"/>
        <v>1498</v>
      </c>
      <c r="C47" s="21">
        <v>300</v>
      </c>
      <c r="D47" s="21"/>
      <c r="E47" s="21">
        <f t="shared" si="2"/>
        <v>23477.5994610774</v>
      </c>
      <c r="F47" s="21"/>
    </row>
    <row r="48" spans="1:22" x14ac:dyDescent="0.2">
      <c r="A48">
        <v>12</v>
      </c>
      <c r="B48">
        <f t="shared" si="1"/>
        <v>1570</v>
      </c>
      <c r="C48" s="21">
        <v>300</v>
      </c>
      <c r="D48" s="21"/>
      <c r="E48" s="21">
        <f t="shared" si="2"/>
        <v>22340.075799023467</v>
      </c>
      <c r="F48" s="21"/>
      <c r="M48" s="11"/>
    </row>
    <row r="49" spans="1:6" x14ac:dyDescent="0.2">
      <c r="A49">
        <v>13</v>
      </c>
      <c r="B49">
        <f t="shared" si="1"/>
        <v>1642</v>
      </c>
      <c r="C49" s="21">
        <v>300</v>
      </c>
      <c r="D49" s="21"/>
      <c r="E49" s="21">
        <f t="shared" si="2"/>
        <v>21301.240725495354</v>
      </c>
      <c r="F49" s="21"/>
    </row>
    <row r="50" spans="1:6" x14ac:dyDescent="0.2">
      <c r="A50">
        <v>14</v>
      </c>
      <c r="B50">
        <f t="shared" si="1"/>
        <v>1714</v>
      </c>
      <c r="C50" s="21">
        <v>300</v>
      </c>
      <c r="D50" s="21"/>
      <c r="E50" s="21">
        <f t="shared" si="2"/>
        <v>20348.765664620769</v>
      </c>
      <c r="F50" s="21"/>
    </row>
    <row r="51" spans="1:6" x14ac:dyDescent="0.2">
      <c r="A51">
        <v>15</v>
      </c>
      <c r="B51">
        <f t="shared" si="1"/>
        <v>1786</v>
      </c>
      <c r="C51" s="21">
        <v>300</v>
      </c>
      <c r="D51" s="21"/>
      <c r="E51" s="21">
        <f t="shared" si="2"/>
        <v>19472.293217020662</v>
      </c>
      <c r="F51" s="21"/>
    </row>
    <row r="52" spans="1:6" x14ac:dyDescent="0.2">
      <c r="A52">
        <v>16</v>
      </c>
      <c r="B52">
        <f t="shared" si="1"/>
        <v>1858</v>
      </c>
      <c r="C52" s="21">
        <v>300</v>
      </c>
      <c r="D52" s="21"/>
      <c r="E52" s="21">
        <f t="shared" si="2"/>
        <v>18663.058340463896</v>
      </c>
      <c r="F52" s="21"/>
    </row>
    <row r="53" spans="1:6" x14ac:dyDescent="0.2">
      <c r="A53">
        <v>17</v>
      </c>
      <c r="B53">
        <f t="shared" si="1"/>
        <v>1930</v>
      </c>
      <c r="C53" s="21">
        <v>300</v>
      </c>
      <c r="D53" s="21"/>
      <c r="E53" s="21">
        <f t="shared" si="2"/>
        <v>17913.593658351932</v>
      </c>
      <c r="F53" s="21"/>
    </row>
    <row r="54" spans="1:6" x14ac:dyDescent="0.2">
      <c r="A54">
        <v>18</v>
      </c>
      <c r="B54">
        <f t="shared" si="1"/>
        <v>2002</v>
      </c>
      <c r="C54" s="21">
        <v>300</v>
      </c>
      <c r="D54" s="21"/>
      <c r="E54" s="21">
        <f t="shared" si="2"/>
        <v>17217.497877140762</v>
      </c>
      <c r="F54" s="21"/>
    </row>
    <row r="55" spans="1:6" x14ac:dyDescent="0.2">
      <c r="A55">
        <v>19</v>
      </c>
      <c r="B55">
        <f t="shared" si="1"/>
        <v>2074</v>
      </c>
      <c r="C55" s="21">
        <v>300</v>
      </c>
      <c r="D55" s="21"/>
      <c r="E55" s="21">
        <f t="shared" si="2"/>
        <v>16569.252088644687</v>
      </c>
      <c r="F55" s="21"/>
    </row>
    <row r="56" spans="1:6" x14ac:dyDescent="0.2">
      <c r="A56">
        <v>20</v>
      </c>
      <c r="B56">
        <f t="shared" si="1"/>
        <v>2146</v>
      </c>
      <c r="C56" s="21">
        <v>300</v>
      </c>
      <c r="D56" s="21"/>
      <c r="E56" s="21">
        <f t="shared" si="2"/>
        <v>15964.072790560967</v>
      </c>
      <c r="F56" s="21"/>
    </row>
    <row r="57" spans="1:6" x14ac:dyDescent="0.2">
      <c r="A57">
        <v>21</v>
      </c>
      <c r="B57">
        <f t="shared" si="1"/>
        <v>2218</v>
      </c>
      <c r="C57" s="21">
        <v>300</v>
      </c>
      <c r="D57" s="21"/>
      <c r="E57" s="21">
        <f t="shared" si="2"/>
        <v>15397.793338655973</v>
      </c>
      <c r="F57" s="21"/>
    </row>
    <row r="58" spans="1:6" x14ac:dyDescent="0.2">
      <c r="A58">
        <v>22</v>
      </c>
      <c r="B58">
        <f t="shared" si="1"/>
        <v>2290</v>
      </c>
      <c r="C58" s="21">
        <v>300</v>
      </c>
      <c r="D58" s="21"/>
      <c r="E58" s="21">
        <f t="shared" si="2"/>
        <v>14866.767614567138</v>
      </c>
      <c r="F58" s="21"/>
    </row>
    <row r="59" spans="1:6" x14ac:dyDescent="0.2">
      <c r="A59">
        <v>23</v>
      </c>
      <c r="B59">
        <f t="shared" si="1"/>
        <v>2362</v>
      </c>
      <c r="C59" s="21">
        <v>300</v>
      </c>
      <c r="D59" s="21"/>
      <c r="E59" s="21">
        <f t="shared" si="2"/>
        <v>14367.791199301013</v>
      </c>
      <c r="F59" s="21"/>
    </row>
    <row r="60" spans="1:6" x14ac:dyDescent="0.2">
      <c r="A60">
        <v>24</v>
      </c>
      <c r="B60">
        <f t="shared" si="1"/>
        <v>2434</v>
      </c>
      <c r="C60" s="21">
        <v>300</v>
      </c>
      <c r="D60" s="21"/>
      <c r="E60" s="21">
        <f t="shared" si="2"/>
        <v>13898.036450156917</v>
      </c>
      <c r="F60" s="21"/>
    </row>
    <row r="61" spans="1:6" x14ac:dyDescent="0.2">
      <c r="A61">
        <v>25</v>
      </c>
      <c r="B61">
        <f t="shared" si="1"/>
        <v>2506</v>
      </c>
      <c r="C61" s="21">
        <v>300</v>
      </c>
      <c r="D61" s="21"/>
      <c r="E61" s="21">
        <f t="shared" si="2"/>
        <v>13454.998701772458</v>
      </c>
      <c r="F61" s="21"/>
    </row>
    <row r="62" spans="1:6" x14ac:dyDescent="0.2">
      <c r="A62">
        <v>26</v>
      </c>
      <c r="B62">
        <f t="shared" si="1"/>
        <v>2578</v>
      </c>
      <c r="C62" s="21">
        <v>300</v>
      </c>
      <c r="D62" s="21"/>
      <c r="E62" s="21">
        <f t="shared" si="2"/>
        <v>13036.451429311945</v>
      </c>
      <c r="F62" s="21"/>
    </row>
    <row r="63" spans="1:6" x14ac:dyDescent="0.2">
      <c r="A63">
        <v>27</v>
      </c>
      <c r="B63">
        <f t="shared" si="1"/>
        <v>2650</v>
      </c>
      <c r="C63" s="21">
        <v>300</v>
      </c>
      <c r="D63" s="21"/>
      <c r="E63" s="21">
        <f t="shared" si="2"/>
        <v>12640.40867905362</v>
      </c>
      <c r="F63" s="21"/>
    </row>
    <row r="64" spans="1:6" x14ac:dyDescent="0.2">
      <c r="A64">
        <v>28</v>
      </c>
      <c r="B64">
        <f t="shared" si="1"/>
        <v>2722</v>
      </c>
      <c r="C64" s="21">
        <v>300</v>
      </c>
      <c r="D64" s="21"/>
      <c r="E64" s="21">
        <f t="shared" si="2"/>
        <v>12265.093428256609</v>
      </c>
      <c r="F64" s="21"/>
    </row>
    <row r="65" spans="1:6" x14ac:dyDescent="0.2">
      <c r="A65">
        <v>29</v>
      </c>
      <c r="B65">
        <f t="shared" si="1"/>
        <v>2794</v>
      </c>
      <c r="C65" s="21">
        <v>300</v>
      </c>
      <c r="D65" s="21"/>
      <c r="E65" s="21">
        <f t="shared" si="2"/>
        <v>11908.910810552026</v>
      </c>
      <c r="F65" s="21"/>
    </row>
    <row r="66" spans="1:6" x14ac:dyDescent="0.2">
      <c r="A66">
        <v>30</v>
      </c>
      <c r="B66">
        <f t="shared" si="1"/>
        <v>2866</v>
      </c>
      <c r="C66" s="21">
        <v>300</v>
      </c>
      <c r="D66" s="21"/>
      <c r="E66" s="21">
        <f t="shared" si="2"/>
        <v>11570.42535576101</v>
      </c>
      <c r="F66" s="21"/>
    </row>
    <row r="67" spans="1:6" x14ac:dyDescent="0.2">
      <c r="A67">
        <v>31</v>
      </c>
      <c r="B67">
        <f t="shared" si="1"/>
        <v>2938</v>
      </c>
      <c r="C67" s="21">
        <v>300</v>
      </c>
      <c r="D67" s="21"/>
      <c r="E67" s="21">
        <f t="shared" si="2"/>
        <v>11248.341559039951</v>
      </c>
      <c r="F67" s="21"/>
    </row>
    <row r="68" spans="1:6" x14ac:dyDescent="0.2">
      <c r="A68">
        <v>32</v>
      </c>
      <c r="B68">
        <f t="shared" si="1"/>
        <v>3010</v>
      </c>
      <c r="C68" s="21">
        <v>300</v>
      </c>
      <c r="D68" s="21"/>
      <c r="E68" s="21">
        <f t="shared" si="2"/>
        <v>10941.487224694103</v>
      </c>
      <c r="F68" s="21"/>
    </row>
    <row r="69" spans="1:6" x14ac:dyDescent="0.2">
      <c r="A69">
        <v>33</v>
      </c>
      <c r="B69">
        <f t="shared" si="1"/>
        <v>3082</v>
      </c>
      <c r="C69" s="21">
        <v>300</v>
      </c>
      <c r="D69" s="21"/>
      <c r="E69" s="21">
        <f t="shared" si="2"/>
        <v>10648.799133151502</v>
      </c>
      <c r="F69" s="21"/>
    </row>
    <row r="70" spans="1:6" x14ac:dyDescent="0.2">
      <c r="A70">
        <v>34</v>
      </c>
      <c r="B70">
        <f t="shared" si="1"/>
        <v>3154</v>
      </c>
      <c r="C70" s="21">
        <v>300</v>
      </c>
      <c r="D70" s="21"/>
      <c r="E70" s="21">
        <f t="shared" si="2"/>
        <v>10369.310661648704</v>
      </c>
      <c r="F70" s="21"/>
    </row>
    <row r="71" spans="1:6" x14ac:dyDescent="0.2">
      <c r="A71">
        <v>35</v>
      </c>
      <c r="B71">
        <f t="shared" si="1"/>
        <v>3226</v>
      </c>
      <c r="C71" s="21">
        <v>300</v>
      </c>
      <c r="D71" s="21"/>
      <c r="E71" s="21">
        <f t="shared" si="2"/>
        <v>10102.14105483451</v>
      </c>
      <c r="F71" s="21"/>
    </row>
    <row r="72" spans="1:6" x14ac:dyDescent="0.2">
      <c r="A72">
        <v>36</v>
      </c>
      <c r="B72">
        <f t="shared" si="1"/>
        <v>3298</v>
      </c>
      <c r="C72" s="21">
        <v>300</v>
      </c>
      <c r="D72" s="21"/>
      <c r="E72" s="21">
        <f t="shared" si="2"/>
        <v>9846.4860943112235</v>
      </c>
      <c r="F72" s="21"/>
    </row>
    <row r="73" spans="1:6" x14ac:dyDescent="0.2">
      <c r="A73">
        <v>37</v>
      </c>
      <c r="B73">
        <f t="shared" si="1"/>
        <v>3370</v>
      </c>
      <c r="C73" s="21">
        <v>300</v>
      </c>
      <c r="D73" s="21"/>
      <c r="E73" s="21">
        <f t="shared" si="2"/>
        <v>9601.6099588374182</v>
      </c>
      <c r="F73" s="21"/>
    </row>
    <row r="74" spans="1:6" x14ac:dyDescent="0.2">
      <c r="A74">
        <v>38</v>
      </c>
      <c r="B74">
        <f t="shared" si="1"/>
        <v>3442</v>
      </c>
      <c r="C74" s="21">
        <v>300</v>
      </c>
      <c r="D74" s="21"/>
      <c r="E74" s="21">
        <f t="shared" si="2"/>
        <v>9366.8381016161547</v>
      </c>
      <c r="F74" s="21"/>
    </row>
    <row r="75" spans="1:6" x14ac:dyDescent="0.2">
      <c r="A75">
        <v>39</v>
      </c>
      <c r="B75">
        <f t="shared" si="1"/>
        <v>3514</v>
      </c>
      <c r="C75" s="21">
        <v>300</v>
      </c>
      <c r="D75" s="21"/>
      <c r="E75" s="21">
        <f t="shared" si="2"/>
        <v>9141.5509994213699</v>
      </c>
      <c r="F75" s="21"/>
    </row>
    <row r="76" spans="1:6" x14ac:dyDescent="0.2">
      <c r="A76">
        <v>40</v>
      </c>
      <c r="B76">
        <f t="shared" si="1"/>
        <v>3586</v>
      </c>
      <c r="C76" s="21">
        <v>300</v>
      </c>
      <c r="D76" s="21"/>
      <c r="E76" s="21">
        <f t="shared" si="2"/>
        <v>8925.1786515467538</v>
      </c>
      <c r="F76" s="21"/>
    </row>
    <row r="77" spans="1:6" x14ac:dyDescent="0.2">
      <c r="A77">
        <v>41</v>
      </c>
      <c r="B77">
        <f t="shared" si="1"/>
        <v>3658</v>
      </c>
      <c r="C77" s="21">
        <v>300</v>
      </c>
      <c r="D77" s="21"/>
      <c r="E77" s="21">
        <f t="shared" si="2"/>
        <v>8717.1957256944243</v>
      </c>
      <c r="F77" s="21"/>
    </row>
    <row r="78" spans="1:6" x14ac:dyDescent="0.2">
      <c r="A78">
        <v>42</v>
      </c>
      <c r="B78">
        <f t="shared" si="1"/>
        <v>3730</v>
      </c>
      <c r="C78" s="21">
        <v>300</v>
      </c>
      <c r="D78" s="21"/>
      <c r="E78" s="21">
        <f t="shared" si="2"/>
        <v>8517.1172637434956</v>
      </c>
      <c r="F78" s="21"/>
    </row>
    <row r="79" spans="1:6" x14ac:dyDescent="0.2">
      <c r="A79">
        <v>43</v>
      </c>
      <c r="B79">
        <f t="shared" si="1"/>
        <v>3802</v>
      </c>
      <c r="C79" s="21">
        <v>300</v>
      </c>
      <c r="D79" s="21"/>
      <c r="E79" s="21">
        <f t="shared" si="2"/>
        <v>8324.4948734754707</v>
      </c>
      <c r="F79" s="21"/>
    </row>
    <row r="80" spans="1:6" x14ac:dyDescent="0.2">
      <c r="A80">
        <v>44</v>
      </c>
      <c r="B80">
        <f t="shared" si="1"/>
        <v>3874</v>
      </c>
      <c r="C80" s="21">
        <v>300</v>
      </c>
      <c r="D80" s="21"/>
      <c r="E80" s="21">
        <f t="shared" si="2"/>
        <v>8138.9133432812914</v>
      </c>
      <c r="F80" s="21"/>
    </row>
    <row r="81" spans="1:6" x14ac:dyDescent="0.2">
      <c r="A81">
        <v>45</v>
      </c>
      <c r="B81">
        <f t="shared" si="1"/>
        <v>3946</v>
      </c>
      <c r="C81" s="21">
        <v>300</v>
      </c>
      <c r="D81" s="21"/>
      <c r="E81" s="21">
        <f t="shared" si="2"/>
        <v>7959.9876260319561</v>
      </c>
      <c r="F81" s="21"/>
    </row>
    <row r="82" spans="1:6" x14ac:dyDescent="0.2">
      <c r="A82">
        <v>46</v>
      </c>
      <c r="B82">
        <f t="shared" si="1"/>
        <v>4018</v>
      </c>
      <c r="C82" s="21">
        <v>300</v>
      </c>
      <c r="D82" s="21"/>
      <c r="E82" s="21">
        <f t="shared" si="2"/>
        <v>7787.3601459804995</v>
      </c>
      <c r="F82" s="21"/>
    </row>
    <row r="83" spans="1:6" x14ac:dyDescent="0.2">
      <c r="A83">
        <v>47</v>
      </c>
      <c r="B83">
        <f t="shared" si="1"/>
        <v>4090</v>
      </c>
      <c r="C83" s="21">
        <v>300</v>
      </c>
      <c r="D83" s="21"/>
      <c r="E83" s="21">
        <f t="shared" si="2"/>
        <v>7620.6983890358024</v>
      </c>
      <c r="F83" s="21"/>
    </row>
    <row r="84" spans="1:6" x14ac:dyDescent="0.2">
      <c r="A84">
        <v>48</v>
      </c>
      <c r="B84">
        <f t="shared" si="1"/>
        <v>4162</v>
      </c>
      <c r="C84" s="21">
        <v>300</v>
      </c>
      <c r="D84" s="21"/>
      <c r="E84" s="21">
        <f t="shared" si="2"/>
        <v>7459.6927422171675</v>
      </c>
      <c r="F84" s="21"/>
    </row>
    <row r="85" spans="1:6" x14ac:dyDescent="0.2">
      <c r="A85">
        <v>49</v>
      </c>
      <c r="B85">
        <f t="shared" si="1"/>
        <v>4234</v>
      </c>
      <c r="C85" s="21">
        <v>300</v>
      </c>
      <c r="D85" s="21"/>
      <c r="E85" s="21">
        <f t="shared" si="2"/>
        <v>7304.0545527334252</v>
      </c>
      <c r="F85" s="21"/>
    </row>
    <row r="86" spans="1:6" x14ac:dyDescent="0.2">
      <c r="A86">
        <v>50</v>
      </c>
      <c r="B86">
        <f t="shared" si="1"/>
        <v>4306</v>
      </c>
      <c r="C86" s="21">
        <v>300</v>
      </c>
      <c r="D86" s="21"/>
      <c r="E86" s="21">
        <f t="shared" si="2"/>
        <v>7153.5143810697318</v>
      </c>
      <c r="F86" s="21"/>
    </row>
    <row r="87" spans="1:6" x14ac:dyDescent="0.2">
      <c r="A87">
        <v>51</v>
      </c>
      <c r="B87">
        <f t="shared" si="1"/>
        <v>4378</v>
      </c>
      <c r="C87" s="21">
        <v>300</v>
      </c>
      <c r="D87" s="21"/>
      <c r="E87" s="21">
        <f t="shared" si="2"/>
        <v>7007.8204258240003</v>
      </c>
      <c r="F87" s="21"/>
    </row>
    <row r="88" spans="1:6" x14ac:dyDescent="0.2">
      <c r="A88">
        <v>52</v>
      </c>
      <c r="B88">
        <f t="shared" si="1"/>
        <v>4450</v>
      </c>
      <c r="C88" s="21">
        <v>300</v>
      </c>
      <c r="D88" s="21"/>
      <c r="E88" s="21">
        <f t="shared" si="2"/>
        <v>6866.7371009058088</v>
      </c>
      <c r="F88" s="21"/>
    </row>
    <row r="89" spans="1:6" x14ac:dyDescent="0.2">
      <c r="A89">
        <v>53</v>
      </c>
      <c r="B89">
        <f t="shared" si="1"/>
        <v>4522</v>
      </c>
      <c r="C89" s="21">
        <v>300</v>
      </c>
      <c r="D89" s="21"/>
      <c r="E89" s="21">
        <f t="shared" si="2"/>
        <v>6730.0437481719464</v>
      </c>
      <c r="F89" s="21"/>
    </row>
    <row r="90" spans="1:6" x14ac:dyDescent="0.2">
      <c r="A90">
        <v>54</v>
      </c>
      <c r="B90">
        <f t="shared" si="1"/>
        <v>4594</v>
      </c>
      <c r="C90" s="21">
        <v>300</v>
      </c>
      <c r="D90" s="21"/>
      <c r="E90" s="21">
        <f t="shared" si="2"/>
        <v>6597.533470687652</v>
      </c>
      <c r="F90" s="21"/>
    </row>
    <row r="91" spans="1:6" x14ac:dyDescent="0.2">
      <c r="A91">
        <v>55</v>
      </c>
      <c r="B91">
        <f t="shared" si="1"/>
        <v>4666</v>
      </c>
      <c r="C91" s="21">
        <v>300</v>
      </c>
      <c r="D91" s="21"/>
      <c r="E91" s="21">
        <f t="shared" si="2"/>
        <v>6469.0120736249846</v>
      </c>
      <c r="F91" s="21"/>
    </row>
    <row r="92" spans="1:6" x14ac:dyDescent="0.2">
      <c r="A92">
        <v>56</v>
      </c>
      <c r="B92">
        <f t="shared" si="1"/>
        <v>4738</v>
      </c>
      <c r="C92" s="21">
        <v>300</v>
      </c>
      <c r="D92" s="21"/>
      <c r="E92" s="21">
        <f t="shared" si="2"/>
        <v>6344.2971013836777</v>
      </c>
      <c r="F92" s="21"/>
    </row>
    <row r="93" spans="1:6" x14ac:dyDescent="0.2">
      <c r="A93">
        <v>57</v>
      </c>
      <c r="B93">
        <f t="shared" si="1"/>
        <v>4810</v>
      </c>
      <c r="C93" s="21">
        <v>300</v>
      </c>
      <c r="D93" s="21"/>
      <c r="E93" s="21">
        <f t="shared" si="2"/>
        <v>6223.2169608821823</v>
      </c>
      <c r="F93" s="21"/>
    </row>
    <row r="94" spans="1:6" x14ac:dyDescent="0.2">
      <c r="A94">
        <v>58</v>
      </c>
      <c r="B94">
        <f t="shared" si="1"/>
        <v>4882</v>
      </c>
      <c r="C94" s="21">
        <v>300</v>
      </c>
      <c r="D94" s="21"/>
      <c r="E94" s="21">
        <f t="shared" si="2"/>
        <v>6105.6101221489771</v>
      </c>
      <c r="F94" s="21"/>
    </row>
    <row r="95" spans="1:6" x14ac:dyDescent="0.2">
      <c r="A95">
        <v>59</v>
      </c>
      <c r="B95">
        <f t="shared" si="1"/>
        <v>4954</v>
      </c>
      <c r="C95" s="21">
        <v>300</v>
      </c>
      <c r="D95" s="21"/>
      <c r="E95" s="21">
        <f t="shared" si="2"/>
        <v>5991.3243883721179</v>
      </c>
      <c r="F95" s="21"/>
    </row>
    <row r="96" spans="1:6" x14ac:dyDescent="0.2">
      <c r="A96">
        <v>60</v>
      </c>
      <c r="B96">
        <f t="shared" si="1"/>
        <v>5026</v>
      </c>
      <c r="C96" s="21">
        <v>300</v>
      </c>
      <c r="D96" s="21"/>
      <c r="E96" s="21">
        <f t="shared" si="2"/>
        <v>5880.2162284609803</v>
      </c>
      <c r="F96" s="21"/>
    </row>
    <row r="97" spans="1:6" x14ac:dyDescent="0.2">
      <c r="A97">
        <v>61</v>
      </c>
      <c r="B97">
        <f t="shared" si="1"/>
        <v>5098</v>
      </c>
      <c r="C97" s="21">
        <v>300</v>
      </c>
      <c r="D97" s="21"/>
      <c r="E97" s="21">
        <f t="shared" si="2"/>
        <v>5772.1501659564465</v>
      </c>
      <c r="F97" s="21"/>
    </row>
    <row r="98" spans="1:6" x14ac:dyDescent="0.2">
      <c r="A98">
        <v>62</v>
      </c>
      <c r="B98">
        <f t="shared" si="1"/>
        <v>5170</v>
      </c>
      <c r="C98" s="21">
        <v>300</v>
      </c>
      <c r="D98" s="21"/>
      <c r="E98" s="21">
        <f t="shared" si="2"/>
        <v>5666.9982188103804</v>
      </c>
      <c r="F98" s="21"/>
    </row>
    <row r="99" spans="1:6" x14ac:dyDescent="0.2">
      <c r="A99">
        <v>63</v>
      </c>
      <c r="B99">
        <f t="shared" si="1"/>
        <v>5242</v>
      </c>
      <c r="C99" s="21">
        <v>300</v>
      </c>
      <c r="D99" s="21"/>
      <c r="E99" s="21">
        <f t="shared" si="2"/>
        <v>5564.6393851553312</v>
      </c>
      <c r="F99" s="21"/>
    </row>
    <row r="100" spans="1:6" x14ac:dyDescent="0.2">
      <c r="A100">
        <v>64</v>
      </c>
      <c r="B100">
        <f t="shared" si="1"/>
        <v>5314</v>
      </c>
      <c r="C100" s="21">
        <v>300</v>
      </c>
      <c r="D100" s="21"/>
      <c r="E100" s="21">
        <f t="shared" si="2"/>
        <v>5464.9591707127565</v>
      </c>
      <c r="F100" s="21"/>
    </row>
    <row r="101" spans="1:6" x14ac:dyDescent="0.2">
      <c r="A101">
        <v>65</v>
      </c>
      <c r="B101">
        <f t="shared" si="1"/>
        <v>5386</v>
      </c>
      <c r="C101" s="21">
        <v>300</v>
      </c>
      <c r="D101" s="21"/>
      <c r="E101" s="21">
        <f t="shared" si="2"/>
        <v>5367.8491539517918</v>
      </c>
      <c r="F101" s="21"/>
    </row>
    <row r="102" spans="1:6" x14ac:dyDescent="0.2">
      <c r="A102">
        <v>66</v>
      </c>
      <c r="B102">
        <f t="shared" ref="B102:B116" si="3">706+72*A102</f>
        <v>5458</v>
      </c>
      <c r="C102" s="21">
        <v>300</v>
      </c>
      <c r="D102" s="21"/>
      <c r="E102" s="21">
        <f t="shared" ref="E102:E116" si="4">120000/(IF(B102&lt;600,B102,"600")/C102+12000*LN(12000/(12600-IF(B102&lt;600,600,B102)))/C102)</f>
        <v>5273.2065855197343</v>
      </c>
      <c r="F102" s="21"/>
    </row>
    <row r="103" spans="1:6" x14ac:dyDescent="0.2">
      <c r="A103">
        <v>67</v>
      </c>
      <c r="B103">
        <f t="shared" si="3"/>
        <v>5530</v>
      </c>
      <c r="C103" s="21">
        <v>300</v>
      </c>
      <c r="D103" s="21"/>
      <c r="E103" s="21">
        <f t="shared" si="4"/>
        <v>5180.9340188265205</v>
      </c>
      <c r="F103" s="21"/>
    </row>
    <row r="104" spans="1:6" x14ac:dyDescent="0.2">
      <c r="A104">
        <v>68</v>
      </c>
      <c r="B104">
        <f t="shared" si="3"/>
        <v>5602</v>
      </c>
      <c r="C104" s="21">
        <v>300</v>
      </c>
      <c r="D104" s="21"/>
      <c r="E104" s="21">
        <f t="shared" si="4"/>
        <v>5090.9389689850141</v>
      </c>
      <c r="F104" s="21"/>
    </row>
    <row r="105" spans="1:6" x14ac:dyDescent="0.2">
      <c r="A105">
        <v>69</v>
      </c>
      <c r="B105">
        <f t="shared" si="3"/>
        <v>5674</v>
      </c>
      <c r="C105" s="21">
        <v>300</v>
      </c>
      <c r="D105" s="21"/>
      <c r="E105" s="21">
        <f t="shared" si="4"/>
        <v>5003.1335975919883</v>
      </c>
      <c r="F105" s="21"/>
    </row>
    <row r="106" spans="1:6" x14ac:dyDescent="0.2">
      <c r="A106">
        <v>70</v>
      </c>
      <c r="B106">
        <f t="shared" si="3"/>
        <v>5746</v>
      </c>
      <c r="C106" s="21">
        <v>300</v>
      </c>
      <c r="D106" s="21"/>
      <c r="E106" s="21">
        <f t="shared" si="4"/>
        <v>4917.4344210859881</v>
      </c>
      <c r="F106" s="21"/>
    </row>
    <row r="107" spans="1:6" x14ac:dyDescent="0.2">
      <c r="A107">
        <v>71</v>
      </c>
      <c r="B107">
        <f t="shared" si="3"/>
        <v>5818</v>
      </c>
      <c r="C107" s="21">
        <v>300</v>
      </c>
      <c r="D107" s="21"/>
      <c r="E107" s="21">
        <f t="shared" si="4"/>
        <v>4833.7620406414935</v>
      </c>
      <c r="F107" s="21"/>
    </row>
    <row r="108" spans="1:6" x14ac:dyDescent="0.2">
      <c r="A108">
        <v>72</v>
      </c>
      <c r="B108">
        <f t="shared" si="3"/>
        <v>5890</v>
      </c>
      <c r="C108" s="21">
        <v>300</v>
      </c>
      <c r="D108" s="21"/>
      <c r="E108" s="21">
        <f t="shared" si="4"/>
        <v>4752.0408917576842</v>
      </c>
      <c r="F108" s="21"/>
    </row>
    <row r="109" spans="1:6" x14ac:dyDescent="0.2">
      <c r="A109">
        <v>73</v>
      </c>
      <c r="B109">
        <f t="shared" si="3"/>
        <v>5962</v>
      </c>
      <c r="C109" s="21">
        <v>300</v>
      </c>
      <c r="D109" s="21"/>
      <c r="E109" s="21">
        <f t="shared" si="4"/>
        <v>4672.1990118772637</v>
      </c>
      <c r="F109" s="21"/>
    </row>
    <row r="110" spans="1:6" x14ac:dyDescent="0.2">
      <c r="A110">
        <v>74</v>
      </c>
      <c r="B110">
        <f t="shared" si="3"/>
        <v>6034</v>
      </c>
      <c r="C110" s="21">
        <v>300</v>
      </c>
      <c r="D110" s="21"/>
      <c r="E110" s="21">
        <f t="shared" si="4"/>
        <v>4594.1678245290295</v>
      </c>
      <c r="F110" s="21"/>
    </row>
    <row r="111" spans="1:6" x14ac:dyDescent="0.2">
      <c r="A111">
        <v>75</v>
      </c>
      <c r="B111">
        <f t="shared" si="3"/>
        <v>6106</v>
      </c>
      <c r="C111" s="21">
        <v>300</v>
      </c>
      <c r="D111" s="21"/>
      <c r="E111" s="21">
        <f t="shared" si="4"/>
        <v>4517.8819386293799</v>
      </c>
      <c r="F111" s="21"/>
    </row>
    <row r="112" spans="1:6" x14ac:dyDescent="0.2">
      <c r="A112">
        <v>76</v>
      </c>
      <c r="B112">
        <f t="shared" si="3"/>
        <v>6178</v>
      </c>
      <c r="C112" s="21">
        <v>300</v>
      </c>
      <c r="D112" s="21"/>
      <c r="E112" s="21">
        <f t="shared" si="4"/>
        <v>4443.2789617044564</v>
      </c>
      <c r="F112" s="21"/>
    </row>
    <row r="113" spans="1:6" x14ac:dyDescent="0.2">
      <c r="A113">
        <v>77</v>
      </c>
      <c r="B113">
        <f t="shared" si="3"/>
        <v>6250</v>
      </c>
      <c r="C113" s="21">
        <v>300</v>
      </c>
      <c r="D113" s="21"/>
      <c r="E113" s="21">
        <f t="shared" si="4"/>
        <v>4370.2993259082459</v>
      </c>
      <c r="F113" s="21"/>
    </row>
    <row r="114" spans="1:6" x14ac:dyDescent="0.2">
      <c r="A114">
        <v>78</v>
      </c>
      <c r="B114">
        <f t="shared" si="3"/>
        <v>6322</v>
      </c>
      <c r="C114" s="21">
        <v>300</v>
      </c>
      <c r="D114" s="21"/>
      <c r="E114" s="21">
        <f t="shared" si="4"/>
        <v>4298.8861258137222</v>
      </c>
      <c r="F114" s="21"/>
    </row>
    <row r="115" spans="1:6" x14ac:dyDescent="0.2">
      <c r="A115">
        <v>79</v>
      </c>
      <c r="B115">
        <f t="shared" si="3"/>
        <v>6394</v>
      </c>
      <c r="C115" s="21">
        <v>300</v>
      </c>
      <c r="D115" s="21"/>
      <c r="E115" s="21">
        <f t="shared" si="4"/>
        <v>4228.9849670457106</v>
      </c>
      <c r="F115" s="21"/>
    </row>
    <row r="116" spans="1:6" x14ac:dyDescent="0.2">
      <c r="A116">
        <v>80</v>
      </c>
      <c r="B116">
        <f t="shared" si="3"/>
        <v>6466</v>
      </c>
      <c r="C116" s="21">
        <v>300</v>
      </c>
      <c r="D116" s="21"/>
      <c r="E116" s="21">
        <f t="shared" si="4"/>
        <v>4160.54382490648</v>
      </c>
      <c r="F116" s="21"/>
    </row>
  </sheetData>
  <mergeCells count="233">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B27:L27"/>
    <mergeCell ref="A22:J22"/>
    <mergeCell ref="B23:F23"/>
    <mergeCell ref="C24:J24"/>
    <mergeCell ref="Q18:V19"/>
    <mergeCell ref="Q20:R20"/>
    <mergeCell ref="S20:T20"/>
    <mergeCell ref="Q21:R21"/>
    <mergeCell ref="S21:T21"/>
    <mergeCell ref="U20:V20"/>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Q28:R28"/>
    <mergeCell ref="S28:T28"/>
    <mergeCell ref="U28:V28"/>
    <mergeCell ref="Q29:R29"/>
    <mergeCell ref="S29:T29"/>
    <mergeCell ref="U29:V29"/>
    <mergeCell ref="Q26:R26"/>
    <mergeCell ref="S26:T26"/>
    <mergeCell ref="U26:V26"/>
    <mergeCell ref="Q27:R27"/>
    <mergeCell ref="S27:T27"/>
    <mergeCell ref="U27:V27"/>
    <mergeCell ref="Q32:R32"/>
    <mergeCell ref="S32:T32"/>
    <mergeCell ref="U32:V32"/>
    <mergeCell ref="Q33:R33"/>
    <mergeCell ref="S33:T33"/>
    <mergeCell ref="U33:V33"/>
    <mergeCell ref="Q30:R30"/>
    <mergeCell ref="S30:T30"/>
    <mergeCell ref="U30:V30"/>
    <mergeCell ref="Q31:R31"/>
    <mergeCell ref="S31:T31"/>
    <mergeCell ref="U31:V31"/>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C54:D54"/>
    <mergeCell ref="C55:D55"/>
    <mergeCell ref="C56:D56"/>
    <mergeCell ref="C57:D57"/>
    <mergeCell ref="C58:D58"/>
    <mergeCell ref="C49:D49"/>
    <mergeCell ref="C50:D50"/>
    <mergeCell ref="C51:D51"/>
    <mergeCell ref="C52:D52"/>
    <mergeCell ref="C53:D53"/>
    <mergeCell ref="C64:D64"/>
    <mergeCell ref="C65:D65"/>
    <mergeCell ref="C66:D66"/>
    <mergeCell ref="C67:D67"/>
    <mergeCell ref="C68:D68"/>
    <mergeCell ref="C59:D59"/>
    <mergeCell ref="C60:D60"/>
    <mergeCell ref="C61:D61"/>
    <mergeCell ref="C62:D62"/>
    <mergeCell ref="C63:D63"/>
    <mergeCell ref="C74:D74"/>
    <mergeCell ref="C75:D75"/>
    <mergeCell ref="C76:D76"/>
    <mergeCell ref="C77:D77"/>
    <mergeCell ref="C78:D78"/>
    <mergeCell ref="C69:D69"/>
    <mergeCell ref="C70:D70"/>
    <mergeCell ref="C71:D71"/>
    <mergeCell ref="C72:D72"/>
    <mergeCell ref="C73:D73"/>
    <mergeCell ref="C84:D84"/>
    <mergeCell ref="C85:D85"/>
    <mergeCell ref="C86:D86"/>
    <mergeCell ref="C87:D87"/>
    <mergeCell ref="C88:D88"/>
    <mergeCell ref="C79:D79"/>
    <mergeCell ref="C80:D80"/>
    <mergeCell ref="C81:D81"/>
    <mergeCell ref="C82:D82"/>
    <mergeCell ref="C83:D83"/>
    <mergeCell ref="C94:D94"/>
    <mergeCell ref="C95:D95"/>
    <mergeCell ref="C96:D96"/>
    <mergeCell ref="C97:D97"/>
    <mergeCell ref="C98:D98"/>
    <mergeCell ref="C89:D89"/>
    <mergeCell ref="C90:D90"/>
    <mergeCell ref="C91:D91"/>
    <mergeCell ref="C92:D92"/>
    <mergeCell ref="C93:D93"/>
    <mergeCell ref="C112:D112"/>
    <mergeCell ref="C113:D113"/>
    <mergeCell ref="C104:D104"/>
    <mergeCell ref="C105:D105"/>
    <mergeCell ref="C106:D106"/>
    <mergeCell ref="C107:D107"/>
    <mergeCell ref="C108:D108"/>
    <mergeCell ref="C99:D99"/>
    <mergeCell ref="C100:D100"/>
    <mergeCell ref="C101:D101"/>
    <mergeCell ref="C102:D102"/>
    <mergeCell ref="C103:D103"/>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E60:F60"/>
    <mergeCell ref="E61:F61"/>
    <mergeCell ref="E62:F62"/>
    <mergeCell ref="E63:F63"/>
    <mergeCell ref="E64:F64"/>
    <mergeCell ref="E55:F55"/>
    <mergeCell ref="E56:F56"/>
    <mergeCell ref="E57:F57"/>
    <mergeCell ref="E58:F58"/>
    <mergeCell ref="E59:F59"/>
    <mergeCell ref="E70:F70"/>
    <mergeCell ref="E71:F71"/>
    <mergeCell ref="E72:F72"/>
    <mergeCell ref="E73:F73"/>
    <mergeCell ref="E74:F74"/>
    <mergeCell ref="E65:F65"/>
    <mergeCell ref="E66:F66"/>
    <mergeCell ref="E67:F67"/>
    <mergeCell ref="E68:F68"/>
    <mergeCell ref="E69:F69"/>
    <mergeCell ref="E80:F80"/>
    <mergeCell ref="E81:F81"/>
    <mergeCell ref="E82:F82"/>
    <mergeCell ref="E83:F83"/>
    <mergeCell ref="E84:F84"/>
    <mergeCell ref="E75:F75"/>
    <mergeCell ref="E76:F76"/>
    <mergeCell ref="E77:F77"/>
    <mergeCell ref="E78:F78"/>
    <mergeCell ref="E79:F79"/>
    <mergeCell ref="E91:F91"/>
    <mergeCell ref="E92:F92"/>
    <mergeCell ref="E93:F93"/>
    <mergeCell ref="E94:F94"/>
    <mergeCell ref="E85:F85"/>
    <mergeCell ref="E86:F86"/>
    <mergeCell ref="E87:F87"/>
    <mergeCell ref="E88:F88"/>
    <mergeCell ref="E89:F89"/>
    <mergeCell ref="E115:F115"/>
    <mergeCell ref="E116:F116"/>
    <mergeCell ref="A34:F35"/>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8949E-C095-4868-AECE-6B5CF74E2BED}">
  <dimension ref="A1:BU24"/>
  <sheetViews>
    <sheetView workbookViewId="0">
      <selection activeCell="P32" sqref="P32"/>
    </sheetView>
  </sheetViews>
  <sheetFormatPr defaultRowHeight="14.25" x14ac:dyDescent="0.2"/>
  <cols>
    <col min="3" max="3" width="22.25" customWidth="1"/>
    <col min="5" max="5" width="10.125" customWidth="1"/>
  </cols>
  <sheetData>
    <row r="1" spans="1:36" x14ac:dyDescent="0.2">
      <c r="A1" s="22" t="s">
        <v>315</v>
      </c>
      <c r="B1" s="22"/>
      <c r="C1" s="22"/>
      <c r="D1" s="22"/>
      <c r="E1" s="22"/>
    </row>
    <row r="2" spans="1:36" x14ac:dyDescent="0.2">
      <c r="B2" s="22" t="s">
        <v>316</v>
      </c>
      <c r="C2" s="22"/>
      <c r="D2" s="22"/>
      <c r="E2" s="22"/>
      <c r="F2" s="22"/>
      <c r="G2" s="22"/>
      <c r="H2" s="22"/>
      <c r="I2" s="22"/>
      <c r="J2" s="22"/>
    </row>
    <row r="3" spans="1:36" x14ac:dyDescent="0.2">
      <c r="A3" s="22" t="s">
        <v>314</v>
      </c>
      <c r="B3" s="22"/>
      <c r="C3" s="22"/>
      <c r="D3" s="22"/>
    </row>
    <row r="4" spans="1:36" x14ac:dyDescent="0.2">
      <c r="B4" s="22" t="s">
        <v>317</v>
      </c>
      <c r="C4" s="22"/>
      <c r="D4" s="22"/>
      <c r="E4" s="22"/>
      <c r="F4" s="22"/>
      <c r="G4" s="22"/>
      <c r="H4" s="22"/>
      <c r="I4" s="22"/>
      <c r="J4" s="22"/>
      <c r="K4" s="22"/>
      <c r="L4" s="22"/>
      <c r="M4" s="22"/>
      <c r="N4" s="22"/>
    </row>
    <row r="5" spans="1:36" x14ac:dyDescent="0.2">
      <c r="B5" s="22" t="s">
        <v>318</v>
      </c>
      <c r="C5" s="22"/>
      <c r="D5" s="22"/>
      <c r="E5" s="22"/>
      <c r="F5" s="22"/>
      <c r="G5" s="22"/>
    </row>
    <row r="6" spans="1:36" x14ac:dyDescent="0.2">
      <c r="B6" s="22" t="s">
        <v>319</v>
      </c>
      <c r="C6" s="22"/>
      <c r="D6" s="22"/>
      <c r="E6" s="22"/>
      <c r="F6" s="22"/>
      <c r="G6" s="22"/>
      <c r="H6" s="22"/>
      <c r="I6" s="22"/>
      <c r="J6" s="22"/>
      <c r="K6" s="22"/>
    </row>
    <row r="7" spans="1:36" x14ac:dyDescent="0.2">
      <c r="B7" s="22" t="s">
        <v>320</v>
      </c>
      <c r="C7" s="22"/>
      <c r="D7" s="22"/>
      <c r="E7" s="22"/>
      <c r="F7" s="22"/>
      <c r="G7" s="22"/>
      <c r="H7" s="22"/>
      <c r="I7" s="22"/>
      <c r="J7" s="22"/>
      <c r="K7" s="22"/>
      <c r="L7" s="22"/>
      <c r="M7" s="22"/>
      <c r="N7" s="22"/>
    </row>
    <row r="8" spans="1:36" x14ac:dyDescent="0.2">
      <c r="B8" s="22" t="s">
        <v>386</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36" x14ac:dyDescent="0.2">
      <c r="B9" t="s">
        <v>321</v>
      </c>
    </row>
    <row r="10" spans="1:36" x14ac:dyDescent="0.2">
      <c r="D10" t="s">
        <v>326</v>
      </c>
      <c r="E10" t="s">
        <v>327</v>
      </c>
    </row>
    <row r="11" spans="1:36" x14ac:dyDescent="0.2">
      <c r="C11" t="s">
        <v>322</v>
      </c>
      <c r="D11" t="s">
        <v>328</v>
      </c>
      <c r="E11" t="s">
        <v>328</v>
      </c>
    </row>
    <row r="12" spans="1:36" x14ac:dyDescent="0.2">
      <c r="C12" t="s">
        <v>323</v>
      </c>
      <c r="D12" t="s">
        <v>329</v>
      </c>
      <c r="E12" t="s">
        <v>328</v>
      </c>
    </row>
    <row r="13" spans="1:36" x14ac:dyDescent="0.2">
      <c r="C13" t="s">
        <v>324</v>
      </c>
      <c r="D13" t="s">
        <v>328</v>
      </c>
      <c r="E13" t="s">
        <v>330</v>
      </c>
    </row>
    <row r="14" spans="1:36" x14ac:dyDescent="0.2">
      <c r="C14" t="s">
        <v>325</v>
      </c>
      <c r="D14" t="s">
        <v>329</v>
      </c>
      <c r="E14" t="s">
        <v>330</v>
      </c>
    </row>
    <row r="15" spans="1:36" x14ac:dyDescent="0.2">
      <c r="C15" t="s">
        <v>331</v>
      </c>
    </row>
    <row r="17" spans="2:73" x14ac:dyDescent="0.2">
      <c r="B17" s="22" t="s">
        <v>333</v>
      </c>
      <c r="C17" s="22"/>
    </row>
    <row r="18" spans="2:73" x14ac:dyDescent="0.2">
      <c r="C18" s="21" t="s">
        <v>332</v>
      </c>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row>
    <row r="22" spans="2:73" x14ac:dyDescent="0.2">
      <c r="B22" t="s">
        <v>334</v>
      </c>
    </row>
    <row r="23" spans="2:73" x14ac:dyDescent="0.2">
      <c r="C23" t="s">
        <v>335</v>
      </c>
    </row>
    <row r="24" spans="2:73" x14ac:dyDescent="0.2">
      <c r="C24" t="s">
        <v>336</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太阳能计算公式</vt:lpstr>
      <vt:lpstr>集装机可堆叠间隔</vt:lpstr>
      <vt:lpstr>飞船运输耗时估计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65352</cp:lastModifiedBy>
  <dcterms:created xsi:type="dcterms:W3CDTF">2022-03-04T05:20:55Z</dcterms:created>
  <dcterms:modified xsi:type="dcterms:W3CDTF">2023-02-24T14:04:21Z</dcterms:modified>
</cp:coreProperties>
</file>