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戴森球笔记\"/>
    </mc:Choice>
  </mc:AlternateContent>
  <bookViews>
    <workbookView xWindow="0" yWindow="0" windowWidth="28800" windowHeight="12240" tabRatio="902" activeTab="7"/>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 name="科技蓝爪运力" sheetId="21"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9" l="1"/>
  <c r="Q7" i="9"/>
  <c r="R6" i="9"/>
  <c r="U21" i="9" l="1"/>
  <c r="U6" i="9"/>
  <c r="V6" i="9" s="1"/>
  <c r="V8" i="9"/>
  <c r="V7" i="9"/>
  <c r="U7" i="9"/>
  <c r="X7" i="9" s="1"/>
  <c r="U8" i="9"/>
  <c r="X8" i="9" s="1"/>
  <c r="R8" i="9" s="1"/>
  <c r="S8" i="9" s="1"/>
  <c r="X6" i="9" l="1"/>
  <c r="W7" i="9"/>
  <c r="R7" i="9" s="1"/>
  <c r="S7" i="9" s="1"/>
  <c r="W8" i="9"/>
  <c r="W6" i="9"/>
  <c r="B10" i="16"/>
  <c r="D73" i="16"/>
  <c r="E73" i="16" s="1"/>
  <c r="F73" i="16" s="1"/>
  <c r="G73" i="16" s="1"/>
  <c r="H73" i="16" s="1"/>
  <c r="I73" i="16" s="1"/>
  <c r="J73" i="16" s="1"/>
  <c r="K73" i="16" s="1"/>
  <c r="L73" i="16" s="1"/>
  <c r="M73" i="16" s="1"/>
  <c r="N73" i="16" s="1"/>
  <c r="O73" i="16" s="1"/>
  <c r="P73" i="16" s="1"/>
  <c r="Q73" i="16" s="1"/>
  <c r="R73" i="16" s="1"/>
  <c r="S73" i="16" s="1"/>
  <c r="T73" i="16" s="1"/>
  <c r="C73" i="16"/>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B107" i="16"/>
  <c r="C107" i="16" s="1"/>
  <c r="D107" i="16" s="1"/>
  <c r="E107" i="16" s="1"/>
  <c r="F107" i="16" s="1"/>
  <c r="G107" i="16" s="1"/>
  <c r="H107" i="16" s="1"/>
  <c r="I107" i="16" s="1"/>
  <c r="J107" i="16" s="1"/>
  <c r="K107" i="16" s="1"/>
  <c r="L107" i="16" s="1"/>
  <c r="M107" i="16" s="1"/>
  <c r="N107" i="16" s="1"/>
  <c r="O107" i="16" s="1"/>
  <c r="P107" i="16" s="1"/>
  <c r="Q107" i="16" s="1"/>
  <c r="R107" i="16" s="1"/>
  <c r="S107" i="16" s="1"/>
  <c r="T107" i="16" s="1"/>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B110" i="16"/>
  <c r="C110" i="16"/>
  <c r="D110" i="16" s="1"/>
  <c r="E110" i="16" s="1"/>
  <c r="F110" i="16" s="1"/>
  <c r="G110" i="16" s="1"/>
  <c r="H110" i="16" s="1"/>
  <c r="I110" i="16" s="1"/>
  <c r="J110" i="16" s="1"/>
  <c r="K110" i="16" s="1"/>
  <c r="L110" i="16" s="1"/>
  <c r="M110" i="16" s="1"/>
  <c r="N110" i="16" s="1"/>
  <c r="O110" i="16" s="1"/>
  <c r="P110" i="16" s="1"/>
  <c r="Q110" i="16" s="1"/>
  <c r="R110" i="16" s="1"/>
  <c r="S110" i="16" s="1"/>
  <c r="T110" i="16" s="1"/>
  <c r="B111" i="16"/>
  <c r="C111" i="16"/>
  <c r="D111" i="16" s="1"/>
  <c r="E111" i="16" s="1"/>
  <c r="F111" i="16" s="1"/>
  <c r="G111" i="16" s="1"/>
  <c r="H111" i="16" s="1"/>
  <c r="I111" i="16" s="1"/>
  <c r="J111" i="16" s="1"/>
  <c r="K111" i="16" s="1"/>
  <c r="L111" i="16" s="1"/>
  <c r="M111" i="16" s="1"/>
  <c r="N111" i="16" s="1"/>
  <c r="O111" i="16" s="1"/>
  <c r="P111" i="16" s="1"/>
  <c r="Q111" i="16" s="1"/>
  <c r="R111" i="16" s="1"/>
  <c r="S111" i="16" s="1"/>
  <c r="T111"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113" i="16"/>
  <c r="C113" i="16"/>
  <c r="D113" i="16" s="1"/>
  <c r="E113" i="16" s="1"/>
  <c r="F113" i="16" s="1"/>
  <c r="G113" i="16" s="1"/>
  <c r="H113" i="16" s="1"/>
  <c r="I113" i="16" s="1"/>
  <c r="J113" i="16" s="1"/>
  <c r="K113" i="16" s="1"/>
  <c r="L113" i="16" s="1"/>
  <c r="M113" i="16" s="1"/>
  <c r="N113" i="16" s="1"/>
  <c r="O113" i="16" s="1"/>
  <c r="P113" i="16" s="1"/>
  <c r="Q113" i="16" s="1"/>
  <c r="R113" i="16" s="1"/>
  <c r="S113" i="16" s="1"/>
  <c r="T113" i="16" s="1"/>
  <c r="B114" i="16"/>
  <c r="C114" i="16"/>
  <c r="D114" i="16" s="1"/>
  <c r="E114" i="16" s="1"/>
  <c r="F114" i="16" s="1"/>
  <c r="G114" i="16" s="1"/>
  <c r="H114" i="16" s="1"/>
  <c r="I114" i="16" s="1"/>
  <c r="J114" i="16" s="1"/>
  <c r="K114" i="16" s="1"/>
  <c r="L114" i="16" s="1"/>
  <c r="M114" i="16" s="1"/>
  <c r="N114" i="16" s="1"/>
  <c r="O114" i="16" s="1"/>
  <c r="P114" i="16" s="1"/>
  <c r="Q114" i="16" s="1"/>
  <c r="R114" i="16" s="1"/>
  <c r="S114" i="16" s="1"/>
  <c r="T114" i="16" s="1"/>
  <c r="B115" i="16"/>
  <c r="C115" i="16" s="1"/>
  <c r="D115" i="16" s="1"/>
  <c r="E115" i="16" s="1"/>
  <c r="F115" i="16" s="1"/>
  <c r="G115" i="16" s="1"/>
  <c r="H115" i="16" s="1"/>
  <c r="I115" i="16" s="1"/>
  <c r="J115" i="16" s="1"/>
  <c r="K115" i="16" s="1"/>
  <c r="L115" i="16" s="1"/>
  <c r="M115" i="16" s="1"/>
  <c r="N115" i="16" s="1"/>
  <c r="O115" i="16" s="1"/>
  <c r="P115" i="16" s="1"/>
  <c r="Q115" i="16" s="1"/>
  <c r="R115" i="16" s="1"/>
  <c r="S115" i="16" s="1"/>
  <c r="T115" i="16" s="1"/>
  <c r="B116" i="16"/>
  <c r="C116" i="16"/>
  <c r="D116" i="16"/>
  <c r="E116" i="16" s="1"/>
  <c r="F116" i="16" s="1"/>
  <c r="G116" i="16" s="1"/>
  <c r="H116" i="16" s="1"/>
  <c r="I116" i="16" s="1"/>
  <c r="J116" i="16" s="1"/>
  <c r="K116" i="16" s="1"/>
  <c r="L116" i="16" s="1"/>
  <c r="M116" i="16" s="1"/>
  <c r="N116" i="16" s="1"/>
  <c r="O116" i="16" s="1"/>
  <c r="P116" i="16" s="1"/>
  <c r="Q116" i="16" s="1"/>
  <c r="R116" i="16" s="1"/>
  <c r="S116" i="16" s="1"/>
  <c r="T116"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B121" i="16"/>
  <c r="C121" i="16" s="1"/>
  <c r="D121" i="16" s="1"/>
  <c r="E121" i="16" s="1"/>
  <c r="F121" i="16" s="1"/>
  <c r="G121" i="16" s="1"/>
  <c r="H121" i="16" s="1"/>
  <c r="I121" i="16" s="1"/>
  <c r="J121" i="16" s="1"/>
  <c r="K121" i="16" s="1"/>
  <c r="L121" i="16" s="1"/>
  <c r="M121" i="16" s="1"/>
  <c r="N121" i="16" s="1"/>
  <c r="O121" i="16" s="1"/>
  <c r="P121" i="16" s="1"/>
  <c r="Q121" i="16" s="1"/>
  <c r="R121" i="16" s="1"/>
  <c r="S121" i="16" s="1"/>
  <c r="T121" i="16" s="1"/>
  <c r="B122" i="16"/>
  <c r="C122" i="16"/>
  <c r="D122" i="16" s="1"/>
  <c r="E122" i="16" s="1"/>
  <c r="F122" i="16" s="1"/>
  <c r="G122" i="16" s="1"/>
  <c r="H122" i="16" s="1"/>
  <c r="I122" i="16" s="1"/>
  <c r="J122" i="16" s="1"/>
  <c r="K122" i="16" s="1"/>
  <c r="L122" i="16" s="1"/>
  <c r="M122" i="16" s="1"/>
  <c r="N122" i="16" s="1"/>
  <c r="O122" i="16" s="1"/>
  <c r="P122" i="16" s="1"/>
  <c r="Q122" i="16" s="1"/>
  <c r="R122" i="16" s="1"/>
  <c r="S122" i="16" s="1"/>
  <c r="T122" i="16" s="1"/>
  <c r="B123" i="16"/>
  <c r="C123" i="16"/>
  <c r="D123" i="16" s="1"/>
  <c r="E123" i="16" s="1"/>
  <c r="F123" i="16" s="1"/>
  <c r="G123" i="16" s="1"/>
  <c r="H123" i="16" s="1"/>
  <c r="I123" i="16" s="1"/>
  <c r="J123" i="16" s="1"/>
  <c r="K123" i="16" s="1"/>
  <c r="L123" i="16" s="1"/>
  <c r="M123" i="16" s="1"/>
  <c r="N123" i="16" s="1"/>
  <c r="O123" i="16" s="1"/>
  <c r="P123" i="16" s="1"/>
  <c r="Q123" i="16" s="1"/>
  <c r="R123" i="16" s="1"/>
  <c r="S123" i="16" s="1"/>
  <c r="T123" i="16" s="1"/>
  <c r="D105" i="16"/>
  <c r="E105" i="16"/>
  <c r="F105" i="16" s="1"/>
  <c r="G105" i="16" s="1"/>
  <c r="H105" i="16" s="1"/>
  <c r="I105" i="16" s="1"/>
  <c r="J105" i="16" s="1"/>
  <c r="K105" i="16" s="1"/>
  <c r="L105" i="16" s="1"/>
  <c r="M105" i="16" s="1"/>
  <c r="N105" i="16" s="1"/>
  <c r="O105" i="16" s="1"/>
  <c r="P105" i="16" s="1"/>
  <c r="Q105" i="16" s="1"/>
  <c r="R105" i="16" s="1"/>
  <c r="S105" i="16" s="1"/>
  <c r="T105" i="16" s="1"/>
  <c r="C105" i="16"/>
  <c r="B105" i="16"/>
  <c r="B81" i="16"/>
  <c r="C81" i="16" s="1"/>
  <c r="D81" i="16" s="1"/>
  <c r="E81" i="16" s="1"/>
  <c r="F81" i="16" s="1"/>
  <c r="G81" i="16" s="1"/>
  <c r="H81" i="16" s="1"/>
  <c r="I81" i="16" s="1"/>
  <c r="J81" i="16" s="1"/>
  <c r="K81" i="16" s="1"/>
  <c r="L81" i="16" s="1"/>
  <c r="M81" i="16" s="1"/>
  <c r="N81" i="16" s="1"/>
  <c r="O81" i="16" s="1"/>
  <c r="P81" i="16" s="1"/>
  <c r="Q81" i="16" s="1"/>
  <c r="R81" i="16" s="1"/>
  <c r="S81" i="16" s="1"/>
  <c r="T81" i="16" s="1"/>
  <c r="B82" i="16"/>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c r="D84" i="16"/>
  <c r="E84" i="16" s="1"/>
  <c r="F84" i="16" s="1"/>
  <c r="G84" i="16" s="1"/>
  <c r="H84" i="16" s="1"/>
  <c r="I84" i="16" s="1"/>
  <c r="J84" i="16" s="1"/>
  <c r="K84" i="16" s="1"/>
  <c r="L84" i="16" s="1"/>
  <c r="M84" i="16" s="1"/>
  <c r="N84" i="16" s="1"/>
  <c r="O84" i="16" s="1"/>
  <c r="P84" i="16" s="1"/>
  <c r="Q84" i="16" s="1"/>
  <c r="R84" i="16" s="1"/>
  <c r="S84" i="16" s="1"/>
  <c r="T84" i="16" s="1"/>
  <c r="B85" i="16"/>
  <c r="C85" i="16" s="1"/>
  <c r="D85" i="16" s="1"/>
  <c r="E85" i="16" s="1"/>
  <c r="F85" i="16" s="1"/>
  <c r="G85" i="16" s="1"/>
  <c r="H85" i="16" s="1"/>
  <c r="I85" i="16" s="1"/>
  <c r="J85" i="16" s="1"/>
  <c r="K85" i="16" s="1"/>
  <c r="L85" i="16" s="1"/>
  <c r="M85" i="16" s="1"/>
  <c r="N85" i="16" s="1"/>
  <c r="O85" i="16" s="1"/>
  <c r="P85" i="16" s="1"/>
  <c r="Q85" i="16" s="1"/>
  <c r="R85" i="16" s="1"/>
  <c r="S85" i="16" s="1"/>
  <c r="T85" i="16" s="1"/>
  <c r="B86" i="16"/>
  <c r="C86" i="16" s="1"/>
  <c r="D86" i="16" s="1"/>
  <c r="E86" i="16" s="1"/>
  <c r="F86" i="16" s="1"/>
  <c r="G86" i="16" s="1"/>
  <c r="H86" i="16" s="1"/>
  <c r="I86" i="16" s="1"/>
  <c r="J86" i="16" s="1"/>
  <c r="K86" i="16" s="1"/>
  <c r="L86" i="16" s="1"/>
  <c r="M86" i="16" s="1"/>
  <c r="N86" i="16" s="1"/>
  <c r="O86" i="16" s="1"/>
  <c r="P86" i="16" s="1"/>
  <c r="Q86" i="16" s="1"/>
  <c r="R86" i="16" s="1"/>
  <c r="S86" i="16" s="1"/>
  <c r="T86" i="16" s="1"/>
  <c r="B87" i="16"/>
  <c r="C87" i="16" s="1"/>
  <c r="D87" i="16" s="1"/>
  <c r="E87" i="16" s="1"/>
  <c r="F87" i="16" s="1"/>
  <c r="G87" i="16" s="1"/>
  <c r="H87" i="16" s="1"/>
  <c r="I87" i="16" s="1"/>
  <c r="J87" i="16" s="1"/>
  <c r="K87" i="16" s="1"/>
  <c r="L87" i="16" s="1"/>
  <c r="M87" i="16" s="1"/>
  <c r="N87" i="16" s="1"/>
  <c r="O87" i="16" s="1"/>
  <c r="P87" i="16" s="1"/>
  <c r="Q87" i="16" s="1"/>
  <c r="R87" i="16" s="1"/>
  <c r="S87" i="16" s="1"/>
  <c r="T87" i="16" s="1"/>
  <c r="B88" i="16"/>
  <c r="C88" i="16" s="1"/>
  <c r="D88" i="16" s="1"/>
  <c r="E88" i="16" s="1"/>
  <c r="F88" i="16" s="1"/>
  <c r="G88" i="16" s="1"/>
  <c r="H88" i="16" s="1"/>
  <c r="I88" i="16" s="1"/>
  <c r="J88" i="16" s="1"/>
  <c r="K88" i="16" s="1"/>
  <c r="L88" i="16" s="1"/>
  <c r="M88" i="16" s="1"/>
  <c r="N88" i="16" s="1"/>
  <c r="O88" i="16" s="1"/>
  <c r="P88" i="16" s="1"/>
  <c r="Q88" i="16" s="1"/>
  <c r="R88" i="16" s="1"/>
  <c r="S88" i="16" s="1"/>
  <c r="T88" i="16" s="1"/>
  <c r="B89" i="16"/>
  <c r="C89" i="16" s="1"/>
  <c r="D89" i="16" s="1"/>
  <c r="E89" i="16" s="1"/>
  <c r="F89" i="16" s="1"/>
  <c r="G89" i="16" s="1"/>
  <c r="H89" i="16" s="1"/>
  <c r="I89" i="16" s="1"/>
  <c r="J89" i="16" s="1"/>
  <c r="K89" i="16" s="1"/>
  <c r="L89" i="16" s="1"/>
  <c r="M89" i="16" s="1"/>
  <c r="N89" i="16" s="1"/>
  <c r="O89" i="16" s="1"/>
  <c r="P89" i="16" s="1"/>
  <c r="Q89" i="16" s="1"/>
  <c r="R89" i="16" s="1"/>
  <c r="S89" i="16" s="1"/>
  <c r="T89" i="16" s="1"/>
  <c r="B90" i="16"/>
  <c r="C90" i="16" s="1"/>
  <c r="D90" i="16" s="1"/>
  <c r="E90" i="16" s="1"/>
  <c r="F90" i="16" s="1"/>
  <c r="G90" i="16" s="1"/>
  <c r="H90" i="16" s="1"/>
  <c r="I90" i="16" s="1"/>
  <c r="J90" i="16" s="1"/>
  <c r="K90" i="16" s="1"/>
  <c r="L90" i="16" s="1"/>
  <c r="M90" i="16" s="1"/>
  <c r="N90" i="16" s="1"/>
  <c r="O90" i="16" s="1"/>
  <c r="P90" i="16" s="1"/>
  <c r="Q90" i="16" s="1"/>
  <c r="R90" i="16" s="1"/>
  <c r="S90" i="16" s="1"/>
  <c r="T90" i="16" s="1"/>
  <c r="B91" i="16"/>
  <c r="C91" i="16"/>
  <c r="D91" i="16" s="1"/>
  <c r="E91" i="16" s="1"/>
  <c r="F91" i="16" s="1"/>
  <c r="G91" i="16" s="1"/>
  <c r="H91" i="16" s="1"/>
  <c r="I91" i="16" s="1"/>
  <c r="J91" i="16" s="1"/>
  <c r="K91" i="16" s="1"/>
  <c r="L91" i="16" s="1"/>
  <c r="M91" i="16" s="1"/>
  <c r="N91" i="16" s="1"/>
  <c r="O91" i="16" s="1"/>
  <c r="P91" i="16" s="1"/>
  <c r="Q91" i="16" s="1"/>
  <c r="R91" i="16" s="1"/>
  <c r="S91" i="16" s="1"/>
  <c r="T91" i="16" s="1"/>
  <c r="B92" i="16"/>
  <c r="C92" i="16"/>
  <c r="D92" i="16" s="1"/>
  <c r="E92" i="16" s="1"/>
  <c r="F92" i="16" s="1"/>
  <c r="G92" i="16" s="1"/>
  <c r="H92" i="16" s="1"/>
  <c r="I92" i="16" s="1"/>
  <c r="J92" i="16" s="1"/>
  <c r="K92" i="16" s="1"/>
  <c r="L92" i="16" s="1"/>
  <c r="M92" i="16" s="1"/>
  <c r="N92" i="16" s="1"/>
  <c r="O92" i="16" s="1"/>
  <c r="P92" i="16" s="1"/>
  <c r="Q92" i="16" s="1"/>
  <c r="R92" i="16" s="1"/>
  <c r="S92" i="16" s="1"/>
  <c r="T92" i="16" s="1"/>
  <c r="B93" i="16"/>
  <c r="C93" i="16" s="1"/>
  <c r="D93" i="16" s="1"/>
  <c r="E93" i="16" s="1"/>
  <c r="F93" i="16" s="1"/>
  <c r="G93" i="16" s="1"/>
  <c r="H93" i="16" s="1"/>
  <c r="I93" i="16" s="1"/>
  <c r="J93" i="16" s="1"/>
  <c r="K93" i="16" s="1"/>
  <c r="L93" i="16" s="1"/>
  <c r="M93" i="16" s="1"/>
  <c r="N93" i="16" s="1"/>
  <c r="O93" i="16" s="1"/>
  <c r="P93" i="16" s="1"/>
  <c r="Q93" i="16" s="1"/>
  <c r="R93" i="16" s="1"/>
  <c r="S93" i="16" s="1"/>
  <c r="T93" i="16" s="1"/>
  <c r="B94" i="16"/>
  <c r="C94" i="16"/>
  <c r="D94" i="16" s="1"/>
  <c r="E94" i="16" s="1"/>
  <c r="F94" i="16" s="1"/>
  <c r="G94" i="16" s="1"/>
  <c r="H94" i="16" s="1"/>
  <c r="I94" i="16" s="1"/>
  <c r="J94" i="16" s="1"/>
  <c r="K94" i="16" s="1"/>
  <c r="L94" i="16" s="1"/>
  <c r="M94" i="16" s="1"/>
  <c r="N94" i="16" s="1"/>
  <c r="O94" i="16" s="1"/>
  <c r="P94" i="16" s="1"/>
  <c r="Q94" i="16" s="1"/>
  <c r="R94" i="16" s="1"/>
  <c r="S94" i="16" s="1"/>
  <c r="T94"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C96" i="16"/>
  <c r="D96" i="16"/>
  <c r="E96" i="16" s="1"/>
  <c r="F96" i="16" s="1"/>
  <c r="G96" i="16" s="1"/>
  <c r="H96" i="16" s="1"/>
  <c r="I96" i="16" s="1"/>
  <c r="J96" i="16" s="1"/>
  <c r="K96" i="16" s="1"/>
  <c r="L96" i="16" s="1"/>
  <c r="M96" i="16" s="1"/>
  <c r="N96" i="16" s="1"/>
  <c r="O96" i="16" s="1"/>
  <c r="P96" i="16" s="1"/>
  <c r="Q96" i="16" s="1"/>
  <c r="R96" i="16" s="1"/>
  <c r="S96" i="16" s="1"/>
  <c r="T96" i="16" s="1"/>
  <c r="B97" i="16"/>
  <c r="C97" i="16"/>
  <c r="D97" i="16"/>
  <c r="E97" i="16" s="1"/>
  <c r="F97" i="16" s="1"/>
  <c r="G97" i="16" s="1"/>
  <c r="H97" i="16" s="1"/>
  <c r="I97" i="16" s="1"/>
  <c r="J97" i="16" s="1"/>
  <c r="K97" i="16" s="1"/>
  <c r="L97" i="16" s="1"/>
  <c r="M97" i="16" s="1"/>
  <c r="N97" i="16" s="1"/>
  <c r="O97" i="16" s="1"/>
  <c r="P97" i="16" s="1"/>
  <c r="Q97" i="16" s="1"/>
  <c r="R97" i="16" s="1"/>
  <c r="S97" i="16" s="1"/>
  <c r="T97" i="16" s="1"/>
  <c r="B98" i="16"/>
  <c r="C98" i="16" s="1"/>
  <c r="D98" i="16" s="1"/>
  <c r="E98" i="16" s="1"/>
  <c r="F98" i="16" s="1"/>
  <c r="G98" i="16" s="1"/>
  <c r="H98" i="16" s="1"/>
  <c r="I98" i="16" s="1"/>
  <c r="J98" i="16" s="1"/>
  <c r="K98" i="16" s="1"/>
  <c r="L98" i="16" s="1"/>
  <c r="M98" i="16" s="1"/>
  <c r="N98" i="16" s="1"/>
  <c r="O98" i="16" s="1"/>
  <c r="P98" i="16" s="1"/>
  <c r="Q98" i="16" s="1"/>
  <c r="R98" i="16" s="1"/>
  <c r="S98" i="16" s="1"/>
  <c r="T98" i="16" s="1"/>
  <c r="D80" i="16"/>
  <c r="E80" i="16" s="1"/>
  <c r="F80" i="16" s="1"/>
  <c r="G80" i="16" s="1"/>
  <c r="H80" i="16" s="1"/>
  <c r="I80" i="16" s="1"/>
  <c r="J80" i="16" s="1"/>
  <c r="K80" i="16" s="1"/>
  <c r="L80" i="16" s="1"/>
  <c r="M80" i="16" s="1"/>
  <c r="N80" i="16" s="1"/>
  <c r="O80" i="16" s="1"/>
  <c r="P80" i="16" s="1"/>
  <c r="Q80" i="16" s="1"/>
  <c r="R80" i="16" s="1"/>
  <c r="S80" i="16" s="1"/>
  <c r="T80" i="16" s="1"/>
  <c r="C80" i="16"/>
  <c r="C55" i="16"/>
  <c r="B80" i="16"/>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C61" i="16"/>
  <c r="D61" i="16" s="1"/>
  <c r="E61" i="16" s="1"/>
  <c r="F61" i="16" s="1"/>
  <c r="G61" i="16" s="1"/>
  <c r="H61" i="16" s="1"/>
  <c r="I61" i="16" s="1"/>
  <c r="J61" i="16" s="1"/>
  <c r="K61" i="16" s="1"/>
  <c r="L61" i="16" s="1"/>
  <c r="M61" i="16" s="1"/>
  <c r="N61" i="16" s="1"/>
  <c r="O61" i="16" s="1"/>
  <c r="P61" i="16" s="1"/>
  <c r="Q61" i="16" s="1"/>
  <c r="R61" i="16" s="1"/>
  <c r="S61" i="16" s="1"/>
  <c r="T61" i="16" s="1"/>
  <c r="B62" i="16"/>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55" i="16"/>
  <c r="B6" i="16"/>
  <c r="P48" i="9"/>
  <c r="P49" i="9"/>
  <c r="P50" i="9"/>
  <c r="P51" i="9"/>
  <c r="P52" i="9"/>
  <c r="P53" i="9"/>
  <c r="P54" i="9"/>
  <c r="P55" i="9"/>
  <c r="P56" i="9"/>
  <c r="P57" i="9"/>
  <c r="P58" i="9"/>
  <c r="P59" i="9"/>
  <c r="P60" i="9"/>
  <c r="P61" i="9"/>
  <c r="P62" i="9"/>
  <c r="P63" i="9"/>
  <c r="P64" i="9"/>
  <c r="P65" i="9"/>
  <c r="P66" i="9"/>
  <c r="P47" i="9"/>
  <c r="N67" i="9"/>
  <c r="J38" i="2"/>
  <c r="A43" i="2"/>
  <c r="I34" i="2"/>
  <c r="D43" i="2"/>
  <c r="A44" i="2"/>
  <c r="A42" i="2"/>
  <c r="A41" i="2"/>
  <c r="B43" i="2"/>
  <c r="I30" i="2"/>
  <c r="J30" i="2" s="1"/>
  <c r="K30" i="2" s="1"/>
  <c r="B41" i="2"/>
  <c r="E30" i="2"/>
  <c r="H9" i="6"/>
  <c r="C5" i="2"/>
  <c r="E5" i="2"/>
  <c r="D5" i="2"/>
  <c r="B24" i="1"/>
  <c r="B21" i="1"/>
  <c r="Q6" i="4"/>
  <c r="Q7" i="4" s="1"/>
  <c r="P6" i="4"/>
  <c r="O6" i="4"/>
  <c r="O7" i="4" s="1"/>
  <c r="N6" i="4"/>
  <c r="M6" i="4"/>
  <c r="L6" i="4"/>
  <c r="K6" i="4"/>
  <c r="J6" i="4"/>
  <c r="J7" i="4" s="1"/>
  <c r="I6" i="4"/>
  <c r="H6" i="4"/>
  <c r="H7" i="4" s="1"/>
  <c r="Q9" i="6"/>
  <c r="P9" i="6"/>
  <c r="O9" i="6"/>
  <c r="N9" i="6"/>
  <c r="M9" i="6"/>
  <c r="L9" i="6"/>
  <c r="I9" i="6"/>
  <c r="K9" i="6"/>
  <c r="J9" i="6"/>
  <c r="F37" i="2"/>
  <c r="L5" i="2"/>
  <c r="C7" i="2"/>
  <c r="K38" i="2"/>
  <c r="J34" i="2"/>
  <c r="K34" i="2" s="1"/>
  <c r="I18" i="18"/>
  <c r="C5" i="19"/>
  <c r="B5" i="19"/>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B30" i="9"/>
  <c r="C30" i="9" s="1"/>
  <c r="I40" i="2"/>
  <c r="H40" i="2"/>
  <c r="G41" i="2"/>
  <c r="G40" i="2"/>
  <c r="P7" i="4"/>
  <c r="N7" i="4"/>
  <c r="M7" i="4"/>
  <c r="K7" i="4"/>
  <c r="L7" i="4"/>
  <c r="I7" i="4"/>
  <c r="E7" i="4"/>
  <c r="F7" i="4"/>
  <c r="G7" i="4"/>
  <c r="D7" i="4"/>
  <c r="C7" i="4"/>
  <c r="B7" i="4"/>
  <c r="G47" i="9"/>
  <c r="G52" i="9"/>
  <c r="G53" i="9"/>
  <c r="G59" i="9"/>
  <c r="G63" i="9"/>
  <c r="G64" i="9"/>
  <c r="G65" i="9"/>
  <c r="G66" i="9"/>
  <c r="G67" i="9"/>
  <c r="G72" i="9"/>
  <c r="G73" i="9"/>
  <c r="G79" i="9"/>
  <c r="G83" i="9"/>
  <c r="G84" i="9"/>
  <c r="G85" i="9"/>
  <c r="G86" i="9"/>
  <c r="G87" i="9"/>
  <c r="G92" i="9"/>
  <c r="G93" i="9"/>
  <c r="G99" i="9"/>
  <c r="G103" i="9"/>
  <c r="G104" i="9"/>
  <c r="G105" i="9"/>
  <c r="G106" i="9"/>
  <c r="G107" i="9"/>
  <c r="G112" i="9"/>
  <c r="G113" i="9"/>
  <c r="G39" i="9"/>
  <c r="G43" i="9"/>
  <c r="G44" i="9"/>
  <c r="G45" i="9"/>
  <c r="G46" i="9"/>
  <c r="G30" i="2"/>
  <c r="K8" i="6"/>
  <c r="J8" i="6"/>
  <c r="E6" i="2"/>
  <c r="H8" i="6"/>
  <c r="C6" i="2"/>
  <c r="G32" i="2"/>
  <c r="G31" i="2"/>
  <c r="F32" i="2"/>
  <c r="F31" i="2"/>
  <c r="E32" i="2"/>
  <c r="E31" i="2"/>
  <c r="F30" i="2"/>
  <c r="L6" i="2"/>
  <c r="L4" i="2"/>
  <c r="M4" i="2"/>
  <c r="E4" i="2"/>
  <c r="H36" i="2"/>
  <c r="G36" i="2"/>
  <c r="H2" i="6"/>
  <c r="B23" i="1"/>
  <c r="B22" i="1"/>
  <c r="D5" i="19"/>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C32" i="8"/>
  <c r="B38" i="9"/>
  <c r="E38" i="9" s="1"/>
  <c r="G38" i="9" s="1"/>
  <c r="B39" i="9"/>
  <c r="E39" i="9" s="1"/>
  <c r="B40" i="9"/>
  <c r="E40" i="9" s="1"/>
  <c r="G40" i="9" s="1"/>
  <c r="B41" i="9"/>
  <c r="E41" i="9" s="1"/>
  <c r="G41" i="9" s="1"/>
  <c r="B42" i="9"/>
  <c r="E42" i="9" s="1"/>
  <c r="G42" i="9" s="1"/>
  <c r="B43" i="9"/>
  <c r="E43" i="9" s="1"/>
  <c r="B44" i="9"/>
  <c r="E44" i="9" s="1"/>
  <c r="B45" i="9"/>
  <c r="E45" i="9" s="1"/>
  <c r="B46" i="9"/>
  <c r="E46" i="9" s="1"/>
  <c r="B47" i="9"/>
  <c r="E47" i="9" s="1"/>
  <c r="B48" i="9"/>
  <c r="E48" i="9" s="1"/>
  <c r="G48" i="9" s="1"/>
  <c r="B49" i="9"/>
  <c r="E49" i="9" s="1"/>
  <c r="G49" i="9" s="1"/>
  <c r="B50" i="9"/>
  <c r="E50" i="9" s="1"/>
  <c r="G50" i="9" s="1"/>
  <c r="B51" i="9"/>
  <c r="E51" i="9" s="1"/>
  <c r="G51" i="9" s="1"/>
  <c r="B52" i="9"/>
  <c r="E52" i="9" s="1"/>
  <c r="B53" i="9"/>
  <c r="E53" i="9" s="1"/>
  <c r="B54" i="9"/>
  <c r="E54" i="9" s="1"/>
  <c r="G54" i="9" s="1"/>
  <c r="B55" i="9"/>
  <c r="E55" i="9" s="1"/>
  <c r="G55" i="9" s="1"/>
  <c r="B56" i="9"/>
  <c r="E56" i="9" s="1"/>
  <c r="G56" i="9" s="1"/>
  <c r="B57" i="9"/>
  <c r="E57" i="9" s="1"/>
  <c r="G57" i="9" s="1"/>
  <c r="B58" i="9"/>
  <c r="E58" i="9" s="1"/>
  <c r="G58" i="9" s="1"/>
  <c r="B59" i="9"/>
  <c r="E59" i="9" s="1"/>
  <c r="B60" i="9"/>
  <c r="E60" i="9" s="1"/>
  <c r="G60" i="9" s="1"/>
  <c r="B61" i="9"/>
  <c r="E61" i="9" s="1"/>
  <c r="G61" i="9" s="1"/>
  <c r="B62" i="9"/>
  <c r="E62" i="9" s="1"/>
  <c r="G62" i="9" s="1"/>
  <c r="B63" i="9"/>
  <c r="E63" i="9" s="1"/>
  <c r="B64" i="9"/>
  <c r="E64" i="9" s="1"/>
  <c r="B65" i="9"/>
  <c r="E65" i="9" s="1"/>
  <c r="B66" i="9"/>
  <c r="E66" i="9" s="1"/>
  <c r="B67" i="9"/>
  <c r="E67" i="9" s="1"/>
  <c r="B68" i="9"/>
  <c r="E68" i="9" s="1"/>
  <c r="G68" i="9" s="1"/>
  <c r="B69" i="9"/>
  <c r="E69" i="9" s="1"/>
  <c r="G69" i="9" s="1"/>
  <c r="B70" i="9"/>
  <c r="E70" i="9" s="1"/>
  <c r="G70" i="9" s="1"/>
  <c r="B71" i="9"/>
  <c r="E71" i="9" s="1"/>
  <c r="G71" i="9" s="1"/>
  <c r="B72" i="9"/>
  <c r="E72" i="9" s="1"/>
  <c r="B73" i="9"/>
  <c r="E73" i="9" s="1"/>
  <c r="B74" i="9"/>
  <c r="E74" i="9" s="1"/>
  <c r="G74" i="9" s="1"/>
  <c r="B75" i="9"/>
  <c r="E75" i="9" s="1"/>
  <c r="G75" i="9" s="1"/>
  <c r="B76" i="9"/>
  <c r="E76" i="9" s="1"/>
  <c r="G76" i="9" s="1"/>
  <c r="B77" i="9"/>
  <c r="E77" i="9" s="1"/>
  <c r="G77" i="9" s="1"/>
  <c r="B78" i="9"/>
  <c r="E78" i="9" s="1"/>
  <c r="G78" i="9" s="1"/>
  <c r="B79" i="9"/>
  <c r="E79" i="9" s="1"/>
  <c r="B80" i="9"/>
  <c r="E80" i="9" s="1"/>
  <c r="G80" i="9" s="1"/>
  <c r="B81" i="9"/>
  <c r="E81" i="9" s="1"/>
  <c r="G81" i="9" s="1"/>
  <c r="B82" i="9"/>
  <c r="E82" i="9" s="1"/>
  <c r="G82" i="9" s="1"/>
  <c r="B83" i="9"/>
  <c r="E83" i="9" s="1"/>
  <c r="B84" i="9"/>
  <c r="E84" i="9" s="1"/>
  <c r="B85" i="9"/>
  <c r="E85" i="9" s="1"/>
  <c r="B86" i="9"/>
  <c r="E86" i="9" s="1"/>
  <c r="B87" i="9"/>
  <c r="E87" i="9" s="1"/>
  <c r="B88" i="9"/>
  <c r="E88" i="9" s="1"/>
  <c r="G88" i="9" s="1"/>
  <c r="B89" i="9"/>
  <c r="E89" i="9" s="1"/>
  <c r="G89" i="9" s="1"/>
  <c r="B90" i="9"/>
  <c r="E90" i="9" s="1"/>
  <c r="G90" i="9" s="1"/>
  <c r="B91" i="9"/>
  <c r="E91" i="9" s="1"/>
  <c r="G91" i="9" s="1"/>
  <c r="B92" i="9"/>
  <c r="E92" i="9" s="1"/>
  <c r="B93" i="9"/>
  <c r="E93" i="9" s="1"/>
  <c r="B94" i="9"/>
  <c r="E94" i="9" s="1"/>
  <c r="G94" i="9" s="1"/>
  <c r="B95" i="9"/>
  <c r="E95" i="9" s="1"/>
  <c r="G95" i="9" s="1"/>
  <c r="B96" i="9"/>
  <c r="E96" i="9" s="1"/>
  <c r="G96" i="9" s="1"/>
  <c r="B97" i="9"/>
  <c r="E97" i="9" s="1"/>
  <c r="G97" i="9" s="1"/>
  <c r="B98" i="9"/>
  <c r="E98" i="9" s="1"/>
  <c r="G98" i="9" s="1"/>
  <c r="B99" i="9"/>
  <c r="E99" i="9" s="1"/>
  <c r="B100" i="9"/>
  <c r="E100" i="9" s="1"/>
  <c r="G100" i="9" s="1"/>
  <c r="B101" i="9"/>
  <c r="E101" i="9" s="1"/>
  <c r="G101" i="9" s="1"/>
  <c r="B102" i="9"/>
  <c r="E102" i="9" s="1"/>
  <c r="G102" i="9" s="1"/>
  <c r="B103" i="9"/>
  <c r="E103" i="9" s="1"/>
  <c r="B104" i="9"/>
  <c r="E104" i="9" s="1"/>
  <c r="B105" i="9"/>
  <c r="E105" i="9" s="1"/>
  <c r="B106" i="9"/>
  <c r="E106" i="9" s="1"/>
  <c r="B107" i="9"/>
  <c r="E107" i="9" s="1"/>
  <c r="B108" i="9"/>
  <c r="E108" i="9" s="1"/>
  <c r="G108" i="9" s="1"/>
  <c r="B109" i="9"/>
  <c r="E109" i="9" s="1"/>
  <c r="G109" i="9" s="1"/>
  <c r="B110" i="9"/>
  <c r="E110" i="9" s="1"/>
  <c r="G110" i="9" s="1"/>
  <c r="B111" i="9"/>
  <c r="E111" i="9" s="1"/>
  <c r="G111" i="9" s="1"/>
  <c r="B112" i="9"/>
  <c r="E112" i="9" s="1"/>
  <c r="B113" i="9"/>
  <c r="E113" i="9" s="1"/>
  <c r="B114" i="9"/>
  <c r="E114" i="9" s="1"/>
  <c r="G114" i="9" s="1"/>
  <c r="B115" i="9"/>
  <c r="E115" i="9" s="1"/>
  <c r="G115" i="9" s="1"/>
  <c r="B116" i="9"/>
  <c r="E116" i="9" s="1"/>
  <c r="G116" i="9" s="1"/>
  <c r="B37" i="9"/>
  <c r="E37" i="9" s="1"/>
  <c r="G37" i="9" s="1"/>
  <c r="A6" i="16"/>
  <c r="B7" i="16"/>
  <c r="P67" i="9" l="1"/>
  <c r="D55" i="16"/>
  <c r="L38" i="2"/>
  <c r="L34" i="2"/>
  <c r="L30" i="2"/>
  <c r="A7" i="16"/>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E55" i="16" l="1"/>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G66" i="4" l="1"/>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<sst xmlns="http://schemas.openxmlformats.org/spreadsheetml/2006/main" count="1249" uniqueCount="770">
  <si>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</si>
  <si>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</si>
  <si>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</si>
  <si>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</si>
  <si>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</si>
  <si>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</si>
  <si>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</si>
  <si>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</si>
  <si>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</si>
  <si>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</si>
  <si>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</si>
  <si>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</si>
  <si>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</si>
  <si>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</si>
  <si>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</si>
  <si>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</si>
  <si>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</si>
  <si>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</si>
  <si>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</si>
  <si>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</si>
  <si>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</si>
  <si>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</si>
  <si>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</si>
  <si>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</si>
  <si>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</si>
  <si>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</si>
  <si>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</si>
  <si>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</si>
  <si>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</si>
  <si>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</si>
  <si>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</si>
  <si>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</si>
  <si>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</si>
  <si>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</si>
  <si>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</si>
  <si>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</si>
  <si>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</si>
  <si>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</si>
  <si>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</si>
  <si>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</si>
  <si>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</si>
  <si>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</si>
  <si>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</si>
  <si>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</si>
  <si>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</si>
  <si>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</si>
  <si>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</si>
  <si>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</si>
  <si>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</si>
  <si>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</si>
  <si>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</si>
  <si>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</si>
  <si>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</si>
  <si>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</si>
  <si>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</si>
  <si>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</si>
  <si>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</si>
  <si>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</si>
  <si>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</si>
  <si>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</si>
  <si>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</si>
  <si>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</si>
  <si>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</si>
  <si>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</si>
  <si>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</si>
  <si>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</si>
  <si>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</si>
  <si>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</si>
  <si>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</si>
  <si>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</si>
  <si>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</si>
  <si>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</si>
  <si>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</si>
  <si>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</si>
  <si>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</si>
  <si>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</si>
  <si>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</si>
  <si>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</si>
  <si>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</si>
  <si>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</si>
  <si>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</si>
  <si>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</si>
  <si>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</si>
  <si>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</si>
  <si>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</si>
  <si>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</si>
  <si>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</si>
  <si>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</si>
  <si>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</si>
  <si>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</si>
  <si>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</si>
  <si>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</si>
  <si>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</si>
  <si>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</si>
  <si>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</si>
  <si>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</si>
  <si>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</si>
  <si>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</si>
  <si>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</si>
  <si>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</si>
  <si>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</si>
  <si>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</si>
  <si>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</si>
  <si>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</si>
  <si>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</si>
  <si>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</si>
  <si>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</si>
  <si>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</si>
  <si>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</si>
  <si>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</si>
  <si>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</si>
  <si>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</si>
  <si>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</si>
  <si>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</si>
  <si>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</si>
  <si>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</si>
  <si>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</si>
  <si>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</si>
  <si>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</si>
  <si>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</si>
  <si>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</si>
  <si>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</si>
  <si>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</si>
  <si>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</si>
  <si>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</si>
  <si>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</si>
  <si>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</si>
  <si>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</si>
  <si>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</si>
  <si>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</si>
  <si>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</si>
  <si>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</si>
  <si>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</si>
  <si>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</si>
  <si>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</si>
  <si>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</si>
  <si>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</si>
  <si>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</si>
  <si>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</si>
  <si>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</si>
  <si>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</si>
  <si>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</si>
  <si>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</si>
  <si>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</si>
  <si>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</si>
  <si>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</si>
  <si>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</si>
  <si>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</si>
  <si>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</si>
  <si>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</si>
  <si>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</si>
  <si>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</si>
  <si>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</si>
  <si>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</si>
  <si>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</si>
  <si>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</si>
  <si>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</si>
  <si>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</si>
  <si>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</si>
  <si>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</si>
  <si>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</si>
  <si>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</si>
  <si>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</si>
  <si>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</si>
  <si>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</si>
  <si>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</si>
  <si>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</si>
  <si>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</si>
  <si>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</si>
  <si>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</si>
  <si>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</si>
  <si>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</si>
  <si>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</si>
  <si>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</si>
  <si>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</si>
  <si>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</si>
  <si>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</si>
  <si>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</si>
  <si>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</si>
  <si>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</si>
  <si>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</si>
  <si>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</si>
  <si>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</si>
  <si>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</si>
  <si>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</si>
  <si>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</si>
  <si>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</si>
  <si>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</si>
  <si>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</si>
  <si>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</si>
  <si>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</si>
  <si>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</si>
  <si>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</si>
  <si>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</si>
  <si>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</si>
  <si>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</si>
  <si>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</si>
  <si>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</si>
  <si>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</si>
  <si>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</si>
  <si>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</si>
  <si>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</si>
  <si>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</si>
  <si>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</si>
  <si>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</si>
  <si>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</si>
  <si>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</si>
  <si>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</si>
  <si>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</si>
  <si>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</si>
  <si>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</si>
  <si>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</si>
  <si>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</si>
  <si>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</si>
  <si>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</si>
  <si>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</si>
  <si>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</si>
  <si>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</si>
  <si>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</si>
  <si>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</si>
  <si>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</si>
  <si>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</si>
  <si>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</si>
  <si>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</si>
  <si>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</si>
  <si>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</si>
  <si>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</si>
  <si>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</si>
  <si>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</si>
  <si>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</si>
  <si>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</si>
  <si>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</si>
  <si>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</si>
  <si>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</si>
  <si>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</si>
  <si>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</si>
  <si>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</si>
  <si>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</si>
  <si>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</si>
  <si>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</si>
  <si>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</si>
  <si>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</si>
  <si>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</si>
  <si>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</si>
  <si>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</si>
  <si>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</si>
  <si>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</si>
  <si>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</si>
  <si>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</si>
  <si>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</si>
  <si>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</si>
  <si>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</si>
  <si>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</si>
  <si>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</si>
  <si>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</si>
  <si>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</si>
  <si>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</si>
  <si>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</si>
  <si>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</si>
  <si>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</si>
  <si>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</si>
  <si>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</si>
  <si>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</si>
  <si>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</si>
  <si>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</si>
  <si>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</si>
  <si>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</si>
  <si>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</si>
  <si>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</si>
  <si>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</si>
  <si>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</si>
  <si>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</si>
  <si>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</si>
  <si>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</si>
  <si>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</si>
  <si>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</si>
  <si>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</si>
  <si>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</si>
  <si>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</si>
  <si>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</si>
  <si>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</si>
  <si>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</si>
  <si>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</si>
  <si>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</si>
  <si>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</si>
  <si>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</si>
  <si>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</si>
  <si>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</si>
  <si>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</si>
  <si>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</si>
  <si>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</si>
  <si>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</si>
  <si>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</si>
  <si>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</si>
  <si>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</si>
  <si>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</si>
  <si>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</si>
  <si>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</si>
  <si>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</si>
  <si>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</si>
  <si>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</si>
  <si>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</si>
  <si>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</si>
  <si>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</si>
  <si>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</si>
  <si>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</si>
  <si>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</si>
  <si>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</si>
  <si>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</si>
  <si>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</si>
  <si>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</si>
  <si>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</si>
  <si>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</si>
  <si>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</si>
  <si>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</si>
  <si>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</si>
  <si>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</si>
  <si>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</si>
  <si>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</si>
  <si>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</si>
  <si>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</si>
  <si>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</si>
  <si>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</si>
  <si>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</si>
  <si>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</si>
  <si>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</si>
  <si>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</si>
  <si>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</si>
  <si>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</si>
  <si>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</si>
  <si>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</si>
  <si>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</si>
  <si>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</si>
  <si>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</si>
  <si>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</si>
  <si>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</si>
  <si>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</si>
  <si>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</si>
  <si>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</si>
  <si>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</si>
  <si>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</si>
  <si>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</si>
  <si>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</si>
  <si>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</si>
  <si>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</si>
  <si>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</si>
  <si>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</si>
  <si>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</si>
  <si>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</si>
  <si>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开曲速</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</si>
  <si>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</si>
  <si>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</si>
  <si>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</si>
  <si>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</si>
  <si>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</si>
  <si>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</si>
  <si>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</si>
  <si>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</si>
  <si>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</si>
  <si>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</si>
  <si>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</si>
  <si>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</si>
  <si>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</si>
  <si>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</si>
  <si>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</si>
  <si>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</si>
  <si>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</si>
  <si>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</si>
  <si>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</si>
  <si>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</si>
  <si>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</si>
  <si>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</si>
  <si>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</si>
  <si>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</si>
  <si>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</si>
  <si>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</si>
  <si>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</si>
  <si>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</si>
  <si>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</si>
  <si>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</si>
  <si>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</si>
  <si>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</si>
  <si>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</si>
  <si>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</si>
  <si>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</si>
  <si>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</si>
  <si>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</si>
  <si>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</si>
  <si>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</si>
  <si>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</si>
  <si>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</si>
  <si>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</si>
  <si>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</si>
  <si>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</si>
  <si>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</si>
  <si>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</si>
  <si>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</si>
  <si>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</si>
  <si>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</si>
  <si>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</si>
  <si>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</si>
  <si>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</si>
  <si>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</si>
  <si>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</si>
  <si>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</si>
  <si>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</si>
  <si>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</si>
  <si>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</si>
  <si>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</si>
  <si>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</si>
  <si>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</si>
  <si>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</si>
  <si>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</si>
  <si>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</si>
  <si>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</si>
  <si>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</si>
  <si>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</si>
  <si>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</si>
  <si>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</si>
  <si>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</si>
  <si>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</si>
  <si>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</si>
  <si>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</si>
  <si>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</si>
  <si>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</si>
  <si>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</si>
  <si>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</si>
  <si>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</si>
  <si>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</si>
  <si>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</si>
  <si>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</si>
  <si>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</si>
  <si>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</si>
  <si>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</si>
  <si>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</si>
  <si>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</si>
  <si>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</si>
  <si>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</si>
  <si>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</si>
  <si>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</si>
  <si>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</si>
  <si>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</si>
  <si>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</si>
  <si>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</si>
  <si>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</si>
  <si>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</si>
  <si>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</si>
  <si>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</si>
  <si>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</si>
  <si>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</si>
  <si>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</si>
  <si>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</si>
  <si>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</si>
  <si>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</si>
  <si>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</si>
  <si>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</si>
  <si>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</si>
  <si>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</si>
  <si>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</si>
  <si>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</si>
  <si>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</si>
  <si>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</si>
  <si>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</si>
  <si>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</si>
  <si>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</si>
  <si>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</si>
  <si>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</si>
  <si>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</si>
  <si>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</si>
  <si>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</si>
  <si>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</si>
  <si>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</si>
  <si>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</si>
  <si>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</si>
  <si>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</si>
  <si>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</si>
  <si>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</si>
  <si>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</si>
  <si>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</si>
  <si>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</si>
  <si>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</si>
  <si>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</si>
  <si>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</si>
  <si>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</si>
  <si>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</si>
  <si>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</si>
  <si>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</si>
  <si>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</si>
  <si>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</si>
  <si>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</si>
  <si>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</si>
  <si>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</si>
  <si>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</si>
  <si>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</si>
  <si>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</si>
  <si>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</si>
  <si>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</si>
  <si>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</si>
  <si>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</si>
  <si>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</si>
  <si>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</si>
  <si>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</si>
  <si>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</si>
  <si>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</si>
  <si>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</si>
  <si>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</si>
  <si>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</si>
  <si>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</si>
  <si>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</si>
  <si>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</si>
  <si>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</si>
  <si>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</si>
  <si>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</si>
  <si>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</si>
  <si>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</si>
  <si>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</si>
  <si>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</si>
  <si>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</si>
  <si>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</si>
  <si>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</si>
  <si>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</si>
  <si>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</si>
  <si>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</si>
  <si>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</si>
  <si>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</si>
  <si>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</si>
  <si>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</si>
  <si>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</si>
  <si>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</si>
  <si>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</si>
  <si>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</si>
  <si>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</si>
  <si>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</si>
  <si>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</si>
  <si>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</si>
  <si>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</si>
  <si>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</si>
  <si>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</si>
  <si>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</si>
  <si>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</si>
  <si>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</si>
  <si>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</si>
  <si>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</si>
  <si>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</si>
  <si>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</si>
  <si>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</si>
  <si>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</si>
  <si>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</si>
  <si>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</si>
  <si>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</si>
  <si>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</si>
  <si>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</si>
  <si>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</si>
  <si>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</si>
  <si>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</si>
  <si>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</si>
  <si>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</si>
  <si>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</si>
  <si>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</si>
  <si>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</si>
  <si>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</si>
  <si>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</si>
  <si>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</si>
  <si>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</si>
  <si>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</si>
  <si>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</si>
  <si>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</si>
  <si>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</si>
  <si>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</si>
  <si>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</si>
  <si>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</si>
  <si>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</si>
  <si>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</si>
  <si>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</si>
  <si>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</si>
  <si>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</si>
  <si>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</si>
  <si>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</si>
  <si>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</si>
  <si>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</si>
  <si>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</si>
  <si>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</si>
  <si>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</si>
  <si>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</si>
  <si>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单程飞行耗时：225*θ/飞行速度+3/√(飞行速度/8)</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</si>
  <si>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</si>
  <si>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</si>
  <si>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</si>
  <si>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</si>
  <si>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</si>
  <si>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</si>
  <si>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</si>
  <si>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小飞机飞行速度=(引擎科技等级+2)*1.2m/s</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</si>
  <si>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</si>
  <si>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</si>
  <si>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</si>
  <si>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</si>
  <si>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</si>
  <si>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</si>
  <si>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</si>
  <si>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</si>
  <si>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</si>
  <si>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</si>
  <si>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</si>
  <si>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</si>
  <si>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</si>
  <si>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</si>
  <si>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</si>
  <si>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</si>
  <si>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</si>
  <si>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</si>
  <si>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</si>
  <si>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</si>
  <si>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</si>
  <si>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</si>
  <si>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</si>
  <si>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</si>
  <si>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</si>
  <si>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</si>
  <si>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</si>
  <si>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</si>
  <si>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</si>
  <si>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</si>
  <si>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</si>
  <si>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</si>
  <si>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</si>
  <si>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</si>
  <si>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</si>
  <si>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</si>
  <si>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</si>
  <si>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</si>
  <si>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</si>
  <si>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</si>
  <si>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</si>
  <si>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</si>
  <si>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</si>
  <si>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</si>
  <si>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</si>
  <si>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</si>
  <si>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</si>
  <si>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</si>
  <si>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</si>
  <si>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</si>
  <si>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</si>
  <si>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</si>
  <si>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</si>
  <si>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</si>
  <si>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</si>
  <si>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</si>
  <si>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</si>
  <si>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</si>
  <si>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</si>
  <si>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</si>
  <si>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</si>
  <si>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</si>
  <si>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</si>
  <si>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</si>
  <si>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</si>
  <si>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</si>
  <si>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</si>
  <si>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</si>
  <si>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</si>
  <si>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</si>
  <si>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</si>
  <si>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</si>
  <si>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</si>
  <si>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</si>
  <si>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</si>
  <si>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</si>
  <si>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</si>
  <si>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</si>
  <si>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</si>
  <si>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</si>
  <si>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</si>
  <si>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</si>
  <si>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</si>
  <si>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</si>
  <si>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</si>
  <si>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</si>
  <si>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</si>
  <si>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</si>
  <si>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</si>
  <si>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</si>
  <si>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</si>
  <si>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</si>
  <si>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</si>
  <si>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</si>
  <si>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</si>
  <si>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</si>
  <si>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</si>
  <si>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</si>
  <si>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</si>
  <si>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</si>
  <si>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</si>
  <si>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</si>
  <si>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</si>
  <si>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</si>
  <si>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</si>
  <si>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</si>
  <si>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</si>
  <si>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</si>
  <si>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</si>
  <si>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</si>
  <si>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</si>
  <si>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</si>
  <si>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</si>
  <si>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</si>
  <si>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</si>
  <si>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</si>
  <si>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</si>
  <si>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</si>
  <si>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</si>
  <si>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</si>
  <si>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</si>
  <si>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</si>
  <si>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</si>
  <si>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</si>
  <si>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</si>
  <si>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</si>
  <si>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</si>
  <si>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</si>
  <si>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</si>
  <si>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</si>
  <si>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</si>
  <si>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</si>
  <si>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</si>
  <si>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</si>
  <si>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</si>
  <si>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</si>
  <si>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</si>
  <si>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</si>
  <si>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</si>
  <si>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</si>
  <si>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</si>
  <si>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</si>
  <si>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</si>
  <si>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</si>
  <si>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</si>
  <si>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</si>
  <si>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</si>
  <si>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</si>
  <si>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</si>
  <si>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</si>
  <si>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</si>
  <si>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</si>
  <si>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</si>
  <si>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</si>
  <si>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</si>
  <si>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</si>
  <si>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</si>
  <si>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</si>
  <si>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</si>
  <si>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</si>
  <si>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</si>
  <si>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</si>
  <si>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</si>
  <si>
    <t>电力测算器</t>
    <phoneticPr fontId="1" type="noConversion"/>
  </si>
  <si>
    <t>单位：LY</t>
    <phoneticPr fontId="1" type="noConversion"/>
  </si>
  <si>
    <t>单位：AU</t>
    <phoneticPr fontId="1" type="noConversion"/>
  </si>
  <si>
    <t>非曲速</t>
    <phoneticPr fontId="1" type="noConversion"/>
  </si>
  <si>
    <t>辅助运算列</t>
    <phoneticPr fontId="1" type="noConversion"/>
  </si>
  <si>
    <t>LY</t>
    <phoneticPr fontId="1" type="noConversion"/>
  </si>
  <si>
    <t>短距电力</t>
    <phoneticPr fontId="1" type="noConversion"/>
  </si>
  <si>
    <t>长距电力</t>
    <phoneticPr fontId="1" type="noConversion"/>
  </si>
  <si>
    <t>AU</t>
    <phoneticPr fontId="1" type="noConversion"/>
  </si>
  <si>
    <t>电力消耗(MJ)</t>
    <phoneticPr fontId="1" type="noConversion"/>
  </si>
  <si>
    <r>
      <rPr>
        <b/>
        <sz val="11"/>
        <color rgb="FFFF0000"/>
        <rFont val="等线"/>
        <family val="3"/>
        <charset val="134"/>
        <scheme val="minor"/>
      </rPr>
      <t>输入</t>
    </r>
    <r>
      <rPr>
        <sz val="11"/>
        <color theme="1"/>
        <rFont val="等线"/>
        <family val="2"/>
        <charset val="134"/>
        <scheme val="minor"/>
      </rPr>
      <t>距离↓</t>
    </r>
    <phoneticPr fontId="1" type="noConversion"/>
  </si>
  <si>
    <t>距离单位：</t>
    <phoneticPr fontId="1" type="noConversion"/>
  </si>
  <si>
    <t>顺道一提，物流塔充电效率 = 最大充电功率*min{(1.05-当前能量/最大能量),1}</t>
    <phoneticPr fontId="1" type="noConversion"/>
  </si>
  <si>
    <t>最大运力估计（个）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</si>
</sst>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_ "/>
  </numFmts>
  <fonts count="22"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
      <sz val="18"/>
      <color theme="0" tint="-0.14999847407452621"/>
      <name val="等线"/>
      <family val="3"/>
      <charset val="134"/>
      <scheme val="minor"/>
    </font>
    <font>
      <sz val="11"/>
      <color theme="0" tint="-0.14999847407452621"/>
      <name val="等线"/>
      <family val="2"/>
      <charset val="134"/>
      <scheme val="minor"/>
    </font>
    <font>
      <sz val="11"/>
      <color theme="0" tint="-0.14999847407452621"/>
      <name val="等线"/>
      <family val="3"/>
      <charset val="134"/>
      <scheme val="minor"/>
    </font>
    <font>
      <b/>
      <sz val="11"/>
      <color rgb="FFFF0000"/>
      <name val="等线"/>
      <family val="3"/>
      <charset val="134"/>
      <scheme val="minor"/>
    </font>
    <font>
      <sz val="11"/>
      <color theme="1"/>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7">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0" fillId="0" borderId="0" xfId="0" applyFont="1" applyAlignment="1">
      <alignment horizontal="center" vertical="center"/>
    </xf>
    <xf numFmtId="0" fontId="1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176" fontId="0" fillId="0" borderId="0" xfId="0" applyNumberFormat="1" applyAlignment="1">
      <alignment horizontal="center"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sqref="A1:XFD1048576"/>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605</v>
      </c>
      <c r="B22">
        <f>0.4*PI()</f>
        <v>1.2566370614359172</v>
      </c>
    </row>
    <row r="23" spans="1:2" x14ac:dyDescent="0.2">
      <c r="A23" t="s">
        <v>606</v>
      </c>
      <c r="B23">
        <f>4/3</f>
        <v>1.3333333333333333</v>
      </c>
    </row>
    <row r="24" spans="1:2" x14ac:dyDescent="0.2">
      <c r="A24" t="s">
        <v>668</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sqref="A1:XFD1048576"/>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7" t="s">
        <v>350</v>
      </c>
      <c r="B1" s="27"/>
      <c r="C1" s="27"/>
      <c r="D1" s="27"/>
      <c r="E1" s="27"/>
      <c r="F1" s="27"/>
      <c r="G1" s="27"/>
    </row>
    <row r="2" spans="1:11" x14ac:dyDescent="0.2">
      <c r="B2" s="27" t="s">
        <v>361</v>
      </c>
      <c r="C2" s="27"/>
      <c r="D2" s="27"/>
      <c r="E2" s="27"/>
      <c r="F2" s="27"/>
      <c r="G2" s="27"/>
      <c r="H2" s="27"/>
    </row>
    <row r="3" spans="1:11" x14ac:dyDescent="0.2">
      <c r="B3" s="27" t="s">
        <v>362</v>
      </c>
      <c r="C3" s="27"/>
      <c r="D3" s="27"/>
      <c r="E3" s="27"/>
      <c r="F3" s="27"/>
      <c r="G3" s="27"/>
      <c r="H3" s="27"/>
    </row>
    <row r="6" spans="1:11" x14ac:dyDescent="0.2">
      <c r="A6" t="s">
        <v>351</v>
      </c>
    </row>
    <row r="7" spans="1:11" x14ac:dyDescent="0.2">
      <c r="B7" s="27" t="s">
        <v>356</v>
      </c>
      <c r="C7" s="27"/>
      <c r="D7" s="27"/>
      <c r="E7" s="27"/>
      <c r="F7" s="27"/>
      <c r="G7" s="27"/>
      <c r="H7" s="27"/>
    </row>
    <row r="8" spans="1:11" x14ac:dyDescent="0.2">
      <c r="B8" s="27" t="s">
        <v>352</v>
      </c>
      <c r="C8" s="27"/>
      <c r="D8" s="27"/>
      <c r="E8" s="27"/>
      <c r="F8" s="27"/>
      <c r="G8" s="27"/>
      <c r="H8" s="27"/>
    </row>
    <row r="9" spans="1:11" x14ac:dyDescent="0.2">
      <c r="B9" s="27" t="s">
        <v>353</v>
      </c>
      <c r="C9" s="27"/>
      <c r="D9" s="27"/>
      <c r="E9" s="27"/>
      <c r="F9" s="27"/>
      <c r="G9" s="27"/>
      <c r="H9" s="27"/>
    </row>
    <row r="11" spans="1:11" x14ac:dyDescent="0.2">
      <c r="B11" s="27" t="s">
        <v>354</v>
      </c>
      <c r="C11" s="27"/>
      <c r="D11" s="27"/>
      <c r="E11" s="27"/>
      <c r="F11" s="27"/>
      <c r="G11" s="27"/>
      <c r="H11" s="27"/>
      <c r="I11" s="27"/>
      <c r="J11" s="27"/>
      <c r="K11" s="27"/>
    </row>
    <row r="12" spans="1:11" x14ac:dyDescent="0.2">
      <c r="C12" s="12" t="s">
        <v>355</v>
      </c>
    </row>
    <row r="13" spans="1:11" x14ac:dyDescent="0.2">
      <c r="B13" s="26" t="s">
        <v>357</v>
      </c>
      <c r="C13" s="26"/>
      <c r="D13" s="26"/>
      <c r="E13" s="26"/>
      <c r="F13" s="26"/>
      <c r="G13" s="26"/>
      <c r="H13" s="26"/>
    </row>
    <row r="17" spans="1:9" x14ac:dyDescent="0.2">
      <c r="A17" s="37" t="s">
        <v>358</v>
      </c>
      <c r="B17" s="37"/>
      <c r="C17" s="37"/>
      <c r="D17" s="37"/>
      <c r="E17" s="37"/>
      <c r="F17" s="37"/>
      <c r="G17" s="37"/>
      <c r="H17" s="37"/>
      <c r="I17" s="37"/>
    </row>
    <row r="18" spans="1:9" x14ac:dyDescent="0.2">
      <c r="A18" s="37"/>
      <c r="B18" s="37"/>
      <c r="C18" s="37"/>
      <c r="D18" s="37"/>
      <c r="E18" s="37"/>
      <c r="F18" s="37"/>
      <c r="G18" s="37"/>
      <c r="H18" s="37"/>
      <c r="I18" s="37"/>
    </row>
    <row r="19" spans="1:9" x14ac:dyDescent="0.2">
      <c r="B19" t="s">
        <v>360</v>
      </c>
      <c r="C19" s="26" t="s">
        <v>363</v>
      </c>
      <c r="D19" s="26"/>
      <c r="E19" s="26" t="s">
        <v>364</v>
      </c>
      <c r="F19" s="26"/>
    </row>
    <row r="20" spans="1:9" x14ac:dyDescent="0.2">
      <c r="A20" t="s">
        <v>359</v>
      </c>
      <c r="B20">
        <v>3.4</v>
      </c>
      <c r="C20" s="36">
        <v>0.87</v>
      </c>
      <c r="D20" s="36"/>
      <c r="E20" s="36">
        <v>0.46</v>
      </c>
      <c r="F20" s="36"/>
    </row>
    <row r="22" spans="1:9" x14ac:dyDescent="0.2">
      <c r="B22" t="s">
        <v>366</v>
      </c>
      <c r="C22" t="s">
        <v>137</v>
      </c>
      <c r="D22" t="s">
        <v>367</v>
      </c>
    </row>
    <row r="23" spans="1:9" x14ac:dyDescent="0.2">
      <c r="A23" t="s">
        <v>365</v>
      </c>
      <c r="B23">
        <v>9</v>
      </c>
      <c r="C23">
        <v>9</v>
      </c>
      <c r="D23">
        <v>4.8</v>
      </c>
    </row>
    <row r="26" spans="1:9" x14ac:dyDescent="0.2">
      <c r="A26" t="s">
        <v>376</v>
      </c>
      <c r="B26" s="26" t="s">
        <v>373</v>
      </c>
      <c r="C26" s="26"/>
      <c r="D26" s="26" t="s">
        <v>375</v>
      </c>
      <c r="E26" s="26"/>
      <c r="F26" t="s">
        <v>469</v>
      </c>
    </row>
    <row r="27" spans="1:9" x14ac:dyDescent="0.2">
      <c r="A27" t="s">
        <v>369</v>
      </c>
      <c r="B27" s="36">
        <f xml:space="preserve"> C20 * ( 8 * B20 - 30/(C20*B23+E20*C23))</f>
        <v>21.48354887218045</v>
      </c>
      <c r="C27" s="36"/>
      <c r="D27" s="36">
        <f xml:space="preserve"> E20 * ( 8 * B20 - 30/(C20*B23+E20*C23))</f>
        <v>11.359117794486215</v>
      </c>
      <c r="E27" s="36"/>
      <c r="G27">
        <f>40*B27</f>
        <v>859.34195488721798</v>
      </c>
      <c r="H27">
        <f>40*D27</f>
        <v>454.36471177944861</v>
      </c>
    </row>
    <row r="28" spans="1:9" x14ac:dyDescent="0.2">
      <c r="A28" t="s">
        <v>371</v>
      </c>
      <c r="B28" s="36">
        <f xml:space="preserve"> C20 * ( 8 * B20 - 30/(C20*B23+E20*D23))</f>
        <v>21.063880454273761</v>
      </c>
      <c r="C28" s="36"/>
      <c r="D28" s="36">
        <f xml:space="preserve"> E20 * ( 8 * B20 - 30/(C20*B23+E20*D23))</f>
        <v>11.137224148236701</v>
      </c>
      <c r="E28" s="36"/>
      <c r="G28">
        <f>40*B28</f>
        <v>842.55521817095041</v>
      </c>
      <c r="H28">
        <f>40*D28</f>
        <v>445.48896592946801</v>
      </c>
    </row>
    <row r="31" spans="1:9" x14ac:dyDescent="0.2">
      <c r="A31" t="s">
        <v>377</v>
      </c>
      <c r="B31" s="26" t="s">
        <v>372</v>
      </c>
      <c r="C31" s="26"/>
      <c r="D31" s="26" t="s">
        <v>374</v>
      </c>
      <c r="E31" s="26"/>
    </row>
    <row r="32" spans="1:9" x14ac:dyDescent="0.2">
      <c r="A32" t="s">
        <v>368</v>
      </c>
      <c r="B32" s="36">
        <f>60*B27</f>
        <v>1289.012932330827</v>
      </c>
      <c r="C32" s="36"/>
      <c r="D32" s="36">
        <f>60*D27</f>
        <v>681.54706766917286</v>
      </c>
      <c r="E32" s="36"/>
      <c r="G32">
        <f>40*B32</f>
        <v>51560.517293233075</v>
      </c>
      <c r="H32">
        <f>40*D32</f>
        <v>27261.882706766915</v>
      </c>
    </row>
    <row r="33" spans="1:8" x14ac:dyDescent="0.2">
      <c r="A33" t="s">
        <v>370</v>
      </c>
      <c r="B33" s="36">
        <f>60*B28</f>
        <v>1263.8328272564256</v>
      </c>
      <c r="C33" s="36"/>
      <c r="D33" s="36">
        <f>60*D28</f>
        <v>668.23344889420207</v>
      </c>
      <c r="E33" s="36"/>
      <c r="G33">
        <f>40*B33</f>
        <v>50553.313090257026</v>
      </c>
      <c r="H33">
        <f>40*D33</f>
        <v>26729.337955768082</v>
      </c>
    </row>
  </sheetData>
  <mergeCells count="25">
    <mergeCell ref="D26:E26"/>
    <mergeCell ref="B32:C32"/>
    <mergeCell ref="D32:E32"/>
    <mergeCell ref="B33:C33"/>
    <mergeCell ref="D33:E33"/>
    <mergeCell ref="D28:E28"/>
    <mergeCell ref="B28:C28"/>
    <mergeCell ref="B31:C31"/>
    <mergeCell ref="D31:E31"/>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sqref="A1:XFD1048576"/>
    </sheetView>
  </sheetViews>
  <sheetFormatPr defaultRowHeight="14.25" x14ac:dyDescent="0.2"/>
  <sheetData>
    <row r="1" spans="1:14" x14ac:dyDescent="0.2">
      <c r="B1" t="s">
        <v>379</v>
      </c>
      <c r="C1" t="s">
        <v>380</v>
      </c>
      <c r="D1" t="s">
        <v>389</v>
      </c>
    </row>
    <row r="2" spans="1:14" x14ac:dyDescent="0.2">
      <c r="A2" t="s">
        <v>381</v>
      </c>
      <c r="B2">
        <v>0.52</v>
      </c>
      <c r="C2">
        <v>0.23300000000000001</v>
      </c>
      <c r="D2">
        <f>B2-C2</f>
        <v>0.28700000000000003</v>
      </c>
    </row>
    <row r="3" spans="1:14" x14ac:dyDescent="0.2">
      <c r="A3" t="s">
        <v>382</v>
      </c>
      <c r="B3">
        <v>1E-3</v>
      </c>
      <c r="C3">
        <v>1E-3</v>
      </c>
      <c r="D3">
        <f t="shared" ref="D3:D10" si="0">B3-C3</f>
        <v>0</v>
      </c>
    </row>
    <row r="4" spans="1:14" x14ac:dyDescent="0.2">
      <c r="A4" t="s">
        <v>383</v>
      </c>
      <c r="B4">
        <v>0.76400000000000001</v>
      </c>
      <c r="C4">
        <v>0.501</v>
      </c>
      <c r="D4">
        <f t="shared" si="0"/>
        <v>0.26300000000000001</v>
      </c>
    </row>
    <row r="5" spans="1:14" x14ac:dyDescent="0.2">
      <c r="A5" t="s">
        <v>384</v>
      </c>
      <c r="B5">
        <v>0.17799999999999999</v>
      </c>
      <c r="C5">
        <v>0.251</v>
      </c>
      <c r="D5">
        <f t="shared" si="0"/>
        <v>-7.3000000000000009E-2</v>
      </c>
    </row>
    <row r="6" spans="1:14" x14ac:dyDescent="0.2">
      <c r="A6" t="s">
        <v>385</v>
      </c>
      <c r="B6">
        <v>0.47099999999999997</v>
      </c>
      <c r="C6">
        <v>0.61899999999999999</v>
      </c>
      <c r="D6">
        <f t="shared" si="0"/>
        <v>-0.14800000000000002</v>
      </c>
    </row>
    <row r="7" spans="1:14" x14ac:dyDescent="0.2">
      <c r="A7" t="s">
        <v>386</v>
      </c>
      <c r="B7">
        <v>0.64</v>
      </c>
      <c r="C7">
        <v>0.54500000000000004</v>
      </c>
      <c r="D7">
        <f t="shared" si="0"/>
        <v>9.4999999999999973E-2</v>
      </c>
    </row>
    <row r="8" spans="1:14" x14ac:dyDescent="0.2">
      <c r="A8" t="s">
        <v>387</v>
      </c>
      <c r="B8">
        <v>2.1999999999999999E-2</v>
      </c>
      <c r="C8">
        <v>4.8000000000000001E-2</v>
      </c>
      <c r="D8">
        <f t="shared" si="0"/>
        <v>-2.6000000000000002E-2</v>
      </c>
    </row>
    <row r="9" spans="1:14" x14ac:dyDescent="0.2">
      <c r="A9" t="s">
        <v>388</v>
      </c>
      <c r="B9">
        <v>0.161</v>
      </c>
      <c r="C9">
        <v>0.21</v>
      </c>
      <c r="D9">
        <f t="shared" si="0"/>
        <v>-4.8999999999999988E-2</v>
      </c>
    </row>
    <row r="10" spans="1:14" x14ac:dyDescent="0.2">
      <c r="A10" t="s">
        <v>390</v>
      </c>
      <c r="B10">
        <f>SUM(B2:B9)</f>
        <v>2.7570000000000001</v>
      </c>
      <c r="C10">
        <f>SUM(C2:C9)</f>
        <v>2.4079999999999999</v>
      </c>
      <c r="D10">
        <f t="shared" si="0"/>
        <v>0.3490000000000002</v>
      </c>
    </row>
    <row r="12" spans="1:14" x14ac:dyDescent="0.2">
      <c r="A12" s="26" t="s">
        <v>391</v>
      </c>
      <c r="B12" s="26"/>
      <c r="C12" s="26"/>
      <c r="D12" s="26"/>
      <c r="E12" s="26"/>
      <c r="F12" s="26"/>
      <c r="G12" s="26"/>
    </row>
    <row r="13" spans="1:14" ht="14.25" customHeight="1" x14ac:dyDescent="0.2">
      <c r="B13" s="38" t="s">
        <v>392</v>
      </c>
      <c r="C13" s="38"/>
      <c r="D13" s="38"/>
      <c r="E13" s="38"/>
      <c r="F13" s="38"/>
      <c r="G13" s="38"/>
      <c r="H13" s="38"/>
      <c r="I13" s="38"/>
      <c r="J13" s="38"/>
      <c r="K13" s="38"/>
      <c r="L13" s="38"/>
      <c r="M13" s="38"/>
      <c r="N13" s="38"/>
    </row>
    <row r="14" spans="1:14" x14ac:dyDescent="0.2">
      <c r="B14" s="38"/>
      <c r="C14" s="38"/>
      <c r="D14" s="38"/>
      <c r="E14" s="38"/>
      <c r="F14" s="38"/>
      <c r="G14" s="38"/>
      <c r="H14" s="38"/>
      <c r="I14" s="38"/>
      <c r="J14" s="38"/>
      <c r="K14" s="38"/>
      <c r="L14" s="38"/>
      <c r="M14" s="38"/>
      <c r="N14" s="38"/>
    </row>
    <row r="15" spans="1:14" x14ac:dyDescent="0.2">
      <c r="B15" s="38"/>
      <c r="C15" s="38"/>
      <c r="D15" s="38"/>
      <c r="E15" s="38"/>
      <c r="F15" s="38"/>
      <c r="G15" s="38"/>
      <c r="H15" s="38"/>
      <c r="I15" s="38"/>
      <c r="J15" s="38"/>
      <c r="K15" s="38"/>
      <c r="L15" s="38"/>
      <c r="M15" s="38"/>
      <c r="N15" s="38"/>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52" workbookViewId="0">
      <selection activeCell="A52" sqref="A1:XFD1048576"/>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575</v>
      </c>
      <c r="B1" t="s">
        <v>436</v>
      </c>
      <c r="C1" t="s">
        <v>36</v>
      </c>
      <c r="D1" t="s">
        <v>38</v>
      </c>
      <c r="E1" t="s">
        <v>50</v>
      </c>
      <c r="F1" t="s">
        <v>63</v>
      </c>
      <c r="G1" t="s">
        <v>65</v>
      </c>
      <c r="H1" t="s">
        <v>394</v>
      </c>
      <c r="I1" t="s">
        <v>395</v>
      </c>
      <c r="J1" t="s">
        <v>396</v>
      </c>
      <c r="K1" t="s">
        <v>397</v>
      </c>
      <c r="L1" t="s">
        <v>398</v>
      </c>
      <c r="M1" t="s">
        <v>399</v>
      </c>
      <c r="N1" t="s">
        <v>400</v>
      </c>
      <c r="O1" t="s">
        <v>576</v>
      </c>
    </row>
    <row r="2" spans="1:17" x14ac:dyDescent="0.2">
      <c r="A2" t="s">
        <v>393</v>
      </c>
      <c r="E2">
        <v>10</v>
      </c>
    </row>
    <row r="3" spans="1:17" x14ac:dyDescent="0.2">
      <c r="A3" t="s">
        <v>80</v>
      </c>
      <c r="E3">
        <v>10</v>
      </c>
      <c r="G3">
        <v>10</v>
      </c>
      <c r="O3" t="s">
        <v>393</v>
      </c>
    </row>
    <row r="4" spans="1:17" x14ac:dyDescent="0.2">
      <c r="A4" t="s">
        <v>407</v>
      </c>
      <c r="I4">
        <v>200</v>
      </c>
      <c r="O4" t="s">
        <v>80</v>
      </c>
    </row>
    <row r="5" spans="1:17" x14ac:dyDescent="0.2">
      <c r="A5" t="s">
        <v>408</v>
      </c>
      <c r="I5">
        <v>200</v>
      </c>
      <c r="J5">
        <v>200</v>
      </c>
      <c r="O5" t="s">
        <v>407</v>
      </c>
      <c r="P5" t="s">
        <v>415</v>
      </c>
      <c r="Q5" t="s">
        <v>401</v>
      </c>
    </row>
    <row r="6" spans="1:17" x14ac:dyDescent="0.2">
      <c r="A6" t="s">
        <v>409</v>
      </c>
      <c r="I6">
        <v>300</v>
      </c>
      <c r="J6">
        <v>300</v>
      </c>
      <c r="O6" t="s">
        <v>408</v>
      </c>
      <c r="P6" t="s">
        <v>417</v>
      </c>
    </row>
    <row r="7" spans="1:17" x14ac:dyDescent="0.2">
      <c r="A7" t="s">
        <v>123</v>
      </c>
      <c r="I7">
        <v>600</v>
      </c>
      <c r="J7">
        <v>600</v>
      </c>
      <c r="O7" t="s">
        <v>409</v>
      </c>
    </row>
    <row r="8" spans="1:17" x14ac:dyDescent="0.2">
      <c r="A8" t="s">
        <v>410</v>
      </c>
      <c r="I8">
        <v>2000</v>
      </c>
      <c r="J8">
        <v>2000</v>
      </c>
      <c r="K8">
        <v>2000</v>
      </c>
      <c r="M8">
        <v>2000</v>
      </c>
      <c r="O8" t="s">
        <v>123</v>
      </c>
      <c r="P8" t="s">
        <v>419</v>
      </c>
      <c r="Q8" t="s">
        <v>84</v>
      </c>
    </row>
    <row r="9" spans="1:17" x14ac:dyDescent="0.2">
      <c r="A9" t="s">
        <v>411</v>
      </c>
      <c r="I9">
        <v>3000</v>
      </c>
      <c r="J9">
        <v>3000</v>
      </c>
      <c r="K9">
        <v>750</v>
      </c>
      <c r="L9">
        <v>750</v>
      </c>
      <c r="M9">
        <v>1500</v>
      </c>
      <c r="O9" t="s">
        <v>410</v>
      </c>
    </row>
    <row r="10" spans="1:17" x14ac:dyDescent="0.2">
      <c r="A10" t="s">
        <v>85</v>
      </c>
      <c r="I10">
        <v>2000</v>
      </c>
      <c r="J10">
        <v>2000</v>
      </c>
      <c r="K10">
        <v>2000</v>
      </c>
      <c r="L10">
        <v>2000</v>
      </c>
      <c r="M10">
        <v>2000</v>
      </c>
      <c r="O10" t="s">
        <v>411</v>
      </c>
    </row>
    <row r="11" spans="1:17" x14ac:dyDescent="0.2">
      <c r="A11" t="s">
        <v>430</v>
      </c>
      <c r="I11">
        <v>120</v>
      </c>
      <c r="O11" t="s">
        <v>405</v>
      </c>
    </row>
    <row r="12" spans="1:17" x14ac:dyDescent="0.2">
      <c r="A12" t="s">
        <v>431</v>
      </c>
      <c r="I12">
        <v>200</v>
      </c>
      <c r="J12">
        <v>200</v>
      </c>
      <c r="O12" t="s">
        <v>430</v>
      </c>
    </row>
    <row r="13" spans="1:17" x14ac:dyDescent="0.2">
      <c r="A13" t="s">
        <v>401</v>
      </c>
      <c r="F13">
        <v>10</v>
      </c>
      <c r="G13">
        <v>10</v>
      </c>
      <c r="O13" t="s">
        <v>393</v>
      </c>
    </row>
    <row r="14" spans="1:17" x14ac:dyDescent="0.2">
      <c r="A14" t="s">
        <v>412</v>
      </c>
      <c r="I14">
        <v>200</v>
      </c>
      <c r="O14" t="s">
        <v>401</v>
      </c>
    </row>
    <row r="15" spans="1:17" x14ac:dyDescent="0.2">
      <c r="A15" t="s">
        <v>72</v>
      </c>
      <c r="I15">
        <v>800</v>
      </c>
      <c r="O15" t="s">
        <v>412</v>
      </c>
    </row>
    <row r="16" spans="1:17" x14ac:dyDescent="0.2">
      <c r="A16" t="s">
        <v>432</v>
      </c>
      <c r="C16">
        <v>20</v>
      </c>
      <c r="D16">
        <v>20</v>
      </c>
    </row>
    <row r="17" spans="1:16" x14ac:dyDescent="0.2">
      <c r="A17" t="s">
        <v>433</v>
      </c>
      <c r="I17">
        <v>100</v>
      </c>
      <c r="J17">
        <v>100</v>
      </c>
      <c r="O17" t="s">
        <v>432</v>
      </c>
    </row>
    <row r="18" spans="1:16" x14ac:dyDescent="0.2">
      <c r="A18" t="s">
        <v>434</v>
      </c>
      <c r="B18">
        <v>150</v>
      </c>
      <c r="E18">
        <v>60</v>
      </c>
      <c r="O18" t="s">
        <v>432</v>
      </c>
    </row>
    <row r="19" spans="1:16" x14ac:dyDescent="0.2">
      <c r="A19" t="s">
        <v>435</v>
      </c>
      <c r="I19">
        <v>200</v>
      </c>
      <c r="J19">
        <v>200</v>
      </c>
      <c r="O19" t="s">
        <v>434</v>
      </c>
      <c r="P19" t="s">
        <v>433</v>
      </c>
    </row>
    <row r="20" spans="1:16" x14ac:dyDescent="0.2">
      <c r="A20" t="s">
        <v>402</v>
      </c>
      <c r="I20">
        <v>50</v>
      </c>
      <c r="O20" t="s">
        <v>393</v>
      </c>
    </row>
    <row r="21" spans="1:16" x14ac:dyDescent="0.2">
      <c r="A21" t="s">
        <v>403</v>
      </c>
      <c r="I21">
        <v>50</v>
      </c>
      <c r="O21" t="s">
        <v>393</v>
      </c>
    </row>
    <row r="22" spans="1:16" x14ac:dyDescent="0.2">
      <c r="A22" t="s">
        <v>413</v>
      </c>
      <c r="I22">
        <v>100</v>
      </c>
      <c r="O22" t="s">
        <v>402</v>
      </c>
      <c r="P22" t="s">
        <v>403</v>
      </c>
    </row>
    <row r="23" spans="1:16" x14ac:dyDescent="0.2">
      <c r="A23" t="s">
        <v>81</v>
      </c>
      <c r="I23">
        <v>200</v>
      </c>
      <c r="O23" t="s">
        <v>413</v>
      </c>
    </row>
    <row r="24" spans="1:16" x14ac:dyDescent="0.2">
      <c r="A24" t="s">
        <v>414</v>
      </c>
      <c r="I24">
        <v>200</v>
      </c>
      <c r="O24" t="s">
        <v>413</v>
      </c>
    </row>
    <row r="25" spans="1:16" x14ac:dyDescent="0.2">
      <c r="A25" t="s">
        <v>422</v>
      </c>
      <c r="I25">
        <v>400</v>
      </c>
      <c r="J25">
        <v>400</v>
      </c>
      <c r="O25" t="s">
        <v>414</v>
      </c>
    </row>
    <row r="26" spans="1:16" x14ac:dyDescent="0.2">
      <c r="A26" t="s">
        <v>423</v>
      </c>
      <c r="I26">
        <v>600</v>
      </c>
      <c r="J26">
        <v>600</v>
      </c>
      <c r="O26" t="s">
        <v>422</v>
      </c>
    </row>
    <row r="27" spans="1:16" x14ac:dyDescent="0.2">
      <c r="A27" t="s">
        <v>82</v>
      </c>
      <c r="I27">
        <v>800</v>
      </c>
      <c r="J27">
        <v>800</v>
      </c>
      <c r="O27" t="s">
        <v>416</v>
      </c>
    </row>
    <row r="28" spans="1:16" x14ac:dyDescent="0.2">
      <c r="A28" t="s">
        <v>421</v>
      </c>
      <c r="I28">
        <v>800</v>
      </c>
      <c r="J28">
        <v>800</v>
      </c>
      <c r="K28">
        <v>800</v>
      </c>
      <c r="O28" t="s">
        <v>82</v>
      </c>
    </row>
    <row r="29" spans="1:16" x14ac:dyDescent="0.2">
      <c r="A29" t="s">
        <v>62</v>
      </c>
      <c r="I29">
        <v>1000</v>
      </c>
      <c r="J29">
        <v>1000</v>
      </c>
      <c r="K29">
        <v>1000</v>
      </c>
      <c r="O29" t="s">
        <v>421</v>
      </c>
    </row>
    <row r="30" spans="1:16" x14ac:dyDescent="0.2">
      <c r="A30" t="s">
        <v>419</v>
      </c>
      <c r="I30">
        <v>1200</v>
      </c>
      <c r="J30">
        <v>1200</v>
      </c>
      <c r="K30">
        <v>1200</v>
      </c>
      <c r="O30" t="s">
        <v>62</v>
      </c>
      <c r="P30" t="s">
        <v>420</v>
      </c>
    </row>
    <row r="31" spans="1:16" x14ac:dyDescent="0.2">
      <c r="A31" t="s">
        <v>174</v>
      </c>
      <c r="I31">
        <v>800</v>
      </c>
      <c r="J31">
        <v>800</v>
      </c>
      <c r="K31">
        <v>800</v>
      </c>
      <c r="O31" t="s">
        <v>82</v>
      </c>
    </row>
    <row r="32" spans="1:16" x14ac:dyDescent="0.2">
      <c r="A32" t="s">
        <v>424</v>
      </c>
      <c r="I32">
        <v>400</v>
      </c>
      <c r="O32" t="s">
        <v>414</v>
      </c>
    </row>
    <row r="33" spans="1:17" x14ac:dyDescent="0.2">
      <c r="A33" t="s">
        <v>425</v>
      </c>
      <c r="J33">
        <v>600</v>
      </c>
      <c r="K33">
        <v>150</v>
      </c>
      <c r="O33" t="s">
        <v>424</v>
      </c>
    </row>
    <row r="34" spans="1:17" x14ac:dyDescent="0.2">
      <c r="A34" t="s">
        <v>426</v>
      </c>
      <c r="J34">
        <v>800</v>
      </c>
      <c r="K34">
        <v>400</v>
      </c>
      <c r="O34" t="s">
        <v>425</v>
      </c>
      <c r="Q34" t="s">
        <v>83</v>
      </c>
    </row>
    <row r="35" spans="1:17" x14ac:dyDescent="0.2">
      <c r="A35" t="s">
        <v>428</v>
      </c>
      <c r="I35">
        <v>800</v>
      </c>
      <c r="J35">
        <v>800</v>
      </c>
      <c r="K35">
        <v>200</v>
      </c>
      <c r="O35" t="s">
        <v>425</v>
      </c>
    </row>
    <row r="36" spans="1:17" x14ac:dyDescent="0.2">
      <c r="A36" t="s">
        <v>83</v>
      </c>
      <c r="I36">
        <v>800</v>
      </c>
      <c r="J36">
        <v>800</v>
      </c>
      <c r="O36" t="s">
        <v>428</v>
      </c>
      <c r="P36" t="s">
        <v>72</v>
      </c>
    </row>
    <row r="37" spans="1:17" x14ac:dyDescent="0.2">
      <c r="A37" t="s">
        <v>427</v>
      </c>
      <c r="I37">
        <v>1200</v>
      </c>
      <c r="J37">
        <v>200</v>
      </c>
      <c r="L37">
        <v>200</v>
      </c>
      <c r="O37" t="s">
        <v>426</v>
      </c>
      <c r="P37" t="s">
        <v>174</v>
      </c>
    </row>
    <row r="38" spans="1:17" x14ac:dyDescent="0.2">
      <c r="A38" t="s">
        <v>78</v>
      </c>
      <c r="I38">
        <v>800</v>
      </c>
      <c r="J38">
        <v>800</v>
      </c>
      <c r="L38">
        <v>800</v>
      </c>
      <c r="O38" t="s">
        <v>427</v>
      </c>
      <c r="P38" t="s">
        <v>83</v>
      </c>
    </row>
    <row r="39" spans="1:17" x14ac:dyDescent="0.2">
      <c r="A39" t="s">
        <v>84</v>
      </c>
      <c r="I39">
        <v>1600</v>
      </c>
      <c r="J39">
        <v>1600</v>
      </c>
      <c r="K39">
        <v>1600</v>
      </c>
      <c r="O39" t="s">
        <v>78</v>
      </c>
    </row>
    <row r="40" spans="1:17" x14ac:dyDescent="0.2">
      <c r="A40" t="s">
        <v>404</v>
      </c>
      <c r="I40">
        <v>50</v>
      </c>
      <c r="O40" t="s">
        <v>393</v>
      </c>
    </row>
    <row r="41" spans="1:17" x14ac:dyDescent="0.2">
      <c r="A41" t="s">
        <v>418</v>
      </c>
      <c r="I41">
        <v>400</v>
      </c>
      <c r="J41">
        <v>100</v>
      </c>
      <c r="O41" t="s">
        <v>404</v>
      </c>
    </row>
    <row r="42" spans="1:17" x14ac:dyDescent="0.2">
      <c r="A42" t="s">
        <v>417</v>
      </c>
      <c r="I42">
        <v>1000</v>
      </c>
      <c r="J42">
        <v>250</v>
      </c>
      <c r="O42" t="s">
        <v>418</v>
      </c>
    </row>
    <row r="43" spans="1:17" x14ac:dyDescent="0.2">
      <c r="A43" t="s">
        <v>420</v>
      </c>
      <c r="I43">
        <v>1600</v>
      </c>
      <c r="J43">
        <v>800</v>
      </c>
      <c r="O43" t="s">
        <v>418</v>
      </c>
    </row>
    <row r="44" spans="1:17" x14ac:dyDescent="0.2">
      <c r="A44" t="s">
        <v>405</v>
      </c>
      <c r="E44">
        <v>10</v>
      </c>
      <c r="G44">
        <v>10</v>
      </c>
      <c r="O44" t="s">
        <v>393</v>
      </c>
    </row>
    <row r="45" spans="1:17" x14ac:dyDescent="0.2">
      <c r="A45" t="s">
        <v>415</v>
      </c>
      <c r="I45">
        <v>100</v>
      </c>
      <c r="O45" t="s">
        <v>405</v>
      </c>
    </row>
    <row r="46" spans="1:17" x14ac:dyDescent="0.2">
      <c r="A46" t="s">
        <v>416</v>
      </c>
      <c r="I46">
        <v>500</v>
      </c>
      <c r="J46">
        <v>500</v>
      </c>
      <c r="O46" t="s">
        <v>415</v>
      </c>
    </row>
    <row r="47" spans="1:17" x14ac:dyDescent="0.2">
      <c r="A47" t="s">
        <v>429</v>
      </c>
      <c r="N47">
        <v>4000</v>
      </c>
      <c r="O47" t="s">
        <v>85</v>
      </c>
    </row>
    <row r="48" spans="1:17" x14ac:dyDescent="0.2">
      <c r="A48" t="s">
        <v>440</v>
      </c>
      <c r="I48">
        <v>800</v>
      </c>
      <c r="J48">
        <v>800</v>
      </c>
      <c r="K48">
        <v>80</v>
      </c>
      <c r="O48" t="s">
        <v>431</v>
      </c>
    </row>
    <row r="50" spans="1:16" x14ac:dyDescent="0.2">
      <c r="A50" t="s">
        <v>442</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436</v>
      </c>
      <c r="C51" t="s">
        <v>36</v>
      </c>
      <c r="D51" t="s">
        <v>38</v>
      </c>
      <c r="E51" t="s">
        <v>50</v>
      </c>
      <c r="F51" t="s">
        <v>63</v>
      </c>
      <c r="G51" t="s">
        <v>65</v>
      </c>
      <c r="H51" t="s">
        <v>394</v>
      </c>
      <c r="I51" t="s">
        <v>395</v>
      </c>
      <c r="J51" t="s">
        <v>396</v>
      </c>
      <c r="K51" t="s">
        <v>397</v>
      </c>
      <c r="L51" t="s">
        <v>398</v>
      </c>
      <c r="M51" t="s">
        <v>399</v>
      </c>
      <c r="N51" t="s">
        <v>400</v>
      </c>
    </row>
    <row r="54" spans="1:16" x14ac:dyDescent="0.2">
      <c r="A54" s="26" t="s">
        <v>464</v>
      </c>
      <c r="B54" s="26"/>
      <c r="C54" s="26"/>
      <c r="D54" s="26"/>
      <c r="E54" s="26"/>
      <c r="F54" s="26"/>
      <c r="G54" s="26"/>
      <c r="H54" s="26"/>
      <c r="I54" s="26"/>
      <c r="J54" s="26"/>
      <c r="K54" s="26"/>
      <c r="L54" s="26"/>
      <c r="M54" s="26"/>
      <c r="N54" s="26"/>
      <c r="O54" s="26"/>
      <c r="P54" s="26"/>
    </row>
    <row r="55" spans="1:16" x14ac:dyDescent="0.2">
      <c r="A55" s="26"/>
      <c r="B55" s="26"/>
      <c r="C55" s="26"/>
      <c r="D55" s="26"/>
      <c r="E55" s="26"/>
      <c r="F55" s="26"/>
      <c r="G55" s="26"/>
      <c r="H55" s="26"/>
      <c r="I55" s="26"/>
      <c r="J55" s="26"/>
      <c r="K55" s="26"/>
      <c r="L55" s="26"/>
      <c r="M55" s="26"/>
      <c r="N55" s="26"/>
      <c r="O55" s="26"/>
      <c r="P55" s="26"/>
    </row>
    <row r="56" spans="1:16" x14ac:dyDescent="0.2">
      <c r="A56" t="s">
        <v>406</v>
      </c>
      <c r="F56">
        <v>10</v>
      </c>
      <c r="G56">
        <v>10</v>
      </c>
      <c r="O56" t="s">
        <v>393</v>
      </c>
    </row>
    <row r="57" spans="1:16" x14ac:dyDescent="0.2">
      <c r="A57" t="s">
        <v>437</v>
      </c>
      <c r="G57">
        <v>100</v>
      </c>
      <c r="O57" t="s">
        <v>393</v>
      </c>
    </row>
    <row r="58" spans="1:16" x14ac:dyDescent="0.2">
      <c r="A58" t="s">
        <v>46</v>
      </c>
      <c r="I58">
        <v>200</v>
      </c>
      <c r="O58" t="s">
        <v>402</v>
      </c>
    </row>
    <row r="59" spans="1:16" x14ac:dyDescent="0.2">
      <c r="A59" t="s">
        <v>47</v>
      </c>
      <c r="I59">
        <v>800</v>
      </c>
      <c r="J59">
        <v>600</v>
      </c>
      <c r="O59" t="s">
        <v>46</v>
      </c>
      <c r="P59" t="s">
        <v>416</v>
      </c>
    </row>
    <row r="60" spans="1:16" x14ac:dyDescent="0.2">
      <c r="A60" t="s">
        <v>48</v>
      </c>
      <c r="I60">
        <v>800</v>
      </c>
      <c r="J60">
        <v>600</v>
      </c>
      <c r="K60">
        <v>400</v>
      </c>
      <c r="O60" t="s">
        <v>47</v>
      </c>
      <c r="P60" t="s">
        <v>425</v>
      </c>
    </row>
    <row r="61" spans="1:16" s="13" customFormat="1" x14ac:dyDescent="0.2">
      <c r="A61" t="s">
        <v>438</v>
      </c>
      <c r="B61"/>
      <c r="C61"/>
      <c r="D61"/>
      <c r="E61"/>
      <c r="F61"/>
      <c r="G61"/>
      <c r="H61"/>
      <c r="I61">
        <v>30</v>
      </c>
      <c r="J61"/>
      <c r="K61"/>
      <c r="L61"/>
      <c r="M61"/>
      <c r="N61"/>
      <c r="O61" t="s">
        <v>401</v>
      </c>
      <c r="P61"/>
    </row>
    <row r="62" spans="1:16" x14ac:dyDescent="0.2">
      <c r="A62" t="s">
        <v>439</v>
      </c>
      <c r="I62">
        <v>200</v>
      </c>
      <c r="J62">
        <v>300</v>
      </c>
      <c r="O62" t="s">
        <v>438</v>
      </c>
      <c r="P62" t="s">
        <v>402</v>
      </c>
    </row>
    <row r="63" spans="1:16" x14ac:dyDescent="0.2">
      <c r="A63" s="13" t="s">
        <v>441</v>
      </c>
      <c r="B63" s="13"/>
      <c r="C63" s="13"/>
      <c r="D63" s="13"/>
      <c r="E63" s="13"/>
      <c r="F63" s="13"/>
      <c r="G63" s="13"/>
      <c r="H63" s="13"/>
      <c r="I63" s="13">
        <v>1000</v>
      </c>
      <c r="J63" s="13">
        <v>500</v>
      </c>
      <c r="K63" s="13">
        <v>250</v>
      </c>
      <c r="L63" s="13"/>
      <c r="M63" s="13"/>
      <c r="N63" s="13"/>
      <c r="O63" s="13" t="s">
        <v>439</v>
      </c>
      <c r="P63" s="13" t="s">
        <v>440</v>
      </c>
    </row>
    <row r="64" spans="1:16" x14ac:dyDescent="0.2">
      <c r="A64" t="s">
        <v>443</v>
      </c>
      <c r="I64">
        <v>100</v>
      </c>
      <c r="O64" t="s">
        <v>406</v>
      </c>
    </row>
    <row r="65" spans="1:16" x14ac:dyDescent="0.2">
      <c r="A65" t="s">
        <v>444</v>
      </c>
      <c r="I65">
        <v>400</v>
      </c>
      <c r="J65">
        <v>100</v>
      </c>
      <c r="O65" t="s">
        <v>443</v>
      </c>
    </row>
    <row r="66" spans="1:16" x14ac:dyDescent="0.2">
      <c r="A66" t="s">
        <v>445</v>
      </c>
      <c r="J66">
        <v>400</v>
      </c>
      <c r="O66" t="s">
        <v>81</v>
      </c>
    </row>
    <row r="67" spans="1:16" x14ac:dyDescent="0.2">
      <c r="A67" t="s">
        <v>60</v>
      </c>
      <c r="J67">
        <v>1000</v>
      </c>
      <c r="O67" t="s">
        <v>445</v>
      </c>
    </row>
    <row r="68" spans="1:16" x14ac:dyDescent="0.2">
      <c r="A68" t="s">
        <v>448</v>
      </c>
      <c r="J68">
        <v>400</v>
      </c>
    </row>
    <row r="69" spans="1:16" x14ac:dyDescent="0.2">
      <c r="A69" t="s">
        <v>446</v>
      </c>
      <c r="I69">
        <v>800</v>
      </c>
      <c r="J69">
        <v>400</v>
      </c>
      <c r="O69" t="s">
        <v>448</v>
      </c>
      <c r="P69" t="s">
        <v>60</v>
      </c>
    </row>
    <row r="70" spans="1:16" x14ac:dyDescent="0.2">
      <c r="A70" t="s">
        <v>61</v>
      </c>
      <c r="J70">
        <v>1600</v>
      </c>
      <c r="O70" t="s">
        <v>60</v>
      </c>
    </row>
    <row r="71" spans="1:16" x14ac:dyDescent="0.2">
      <c r="A71" t="s">
        <v>447</v>
      </c>
      <c r="I71">
        <v>1200</v>
      </c>
      <c r="J71">
        <v>1200</v>
      </c>
      <c r="K71">
        <v>120</v>
      </c>
      <c r="O71" t="s">
        <v>61</v>
      </c>
    </row>
    <row r="72" spans="1:16" x14ac:dyDescent="0.2">
      <c r="A72" t="s">
        <v>449</v>
      </c>
      <c r="I72">
        <v>600</v>
      </c>
      <c r="J72">
        <v>600</v>
      </c>
      <c r="O72" t="s">
        <v>407</v>
      </c>
      <c r="P72" t="s">
        <v>416</v>
      </c>
    </row>
    <row r="73" spans="1:16" x14ac:dyDescent="0.2">
      <c r="A73" t="s">
        <v>450</v>
      </c>
      <c r="I73">
        <v>1200</v>
      </c>
      <c r="J73">
        <v>1200</v>
      </c>
      <c r="K73">
        <v>120</v>
      </c>
      <c r="O73" t="s">
        <v>451</v>
      </c>
      <c r="P73" t="s">
        <v>449</v>
      </c>
    </row>
    <row r="74" spans="1:16" x14ac:dyDescent="0.2">
      <c r="A74" t="s">
        <v>452</v>
      </c>
      <c r="I74">
        <v>1200</v>
      </c>
      <c r="J74">
        <v>1200</v>
      </c>
      <c r="K74">
        <v>1200</v>
      </c>
      <c r="O74" t="s">
        <v>450</v>
      </c>
      <c r="P74" t="s">
        <v>447</v>
      </c>
    </row>
    <row r="75" spans="1:16" s="13" customFormat="1" x14ac:dyDescent="0.2">
      <c r="A75" s="13" t="s">
        <v>453</v>
      </c>
      <c r="I75" s="13">
        <v>300</v>
      </c>
      <c r="J75" s="13">
        <v>300</v>
      </c>
      <c r="K75" s="13">
        <v>300</v>
      </c>
      <c r="O75" s="13" t="s">
        <v>433</v>
      </c>
    </row>
    <row r="76" spans="1:16" s="13" customFormat="1" x14ac:dyDescent="0.2">
      <c r="A76" s="13" t="s">
        <v>454</v>
      </c>
      <c r="I76" s="13">
        <v>500</v>
      </c>
      <c r="J76" s="13">
        <v>500</v>
      </c>
      <c r="K76" s="13">
        <v>500</v>
      </c>
      <c r="L76" s="13">
        <v>500</v>
      </c>
      <c r="O76" s="13" t="s">
        <v>453</v>
      </c>
    </row>
    <row r="77" spans="1:16" s="16" customFormat="1" x14ac:dyDescent="0.2">
      <c r="A77" s="13" t="s">
        <v>455</v>
      </c>
      <c r="B77" s="13"/>
      <c r="C77" s="13"/>
      <c r="D77" s="13"/>
      <c r="E77" s="13"/>
      <c r="F77" s="13"/>
      <c r="G77" s="13"/>
      <c r="H77" s="13"/>
      <c r="I77" s="13">
        <v>1000</v>
      </c>
      <c r="J77" s="13">
        <v>1000</v>
      </c>
      <c r="K77" s="13">
        <v>1000</v>
      </c>
      <c r="L77" s="13"/>
      <c r="M77" s="13"/>
      <c r="N77" s="13"/>
      <c r="O77" s="13" t="s">
        <v>453</v>
      </c>
      <c r="P77" s="13"/>
    </row>
    <row r="78" spans="1:16" s="16" customFormat="1" x14ac:dyDescent="0.2">
      <c r="A78" s="13" t="s">
        <v>456</v>
      </c>
      <c r="B78" s="13"/>
      <c r="C78" s="13"/>
      <c r="D78" s="13"/>
      <c r="E78" s="13"/>
      <c r="F78" s="13"/>
      <c r="G78" s="13"/>
      <c r="H78" s="13"/>
      <c r="I78" s="13">
        <v>2000</v>
      </c>
      <c r="J78" s="13">
        <v>2000</v>
      </c>
      <c r="K78" s="13">
        <v>2000</v>
      </c>
      <c r="L78" s="13"/>
      <c r="M78" s="13"/>
      <c r="N78" s="13"/>
      <c r="O78" s="13" t="s">
        <v>455</v>
      </c>
      <c r="P78" s="13" t="s">
        <v>453</v>
      </c>
    </row>
    <row r="79" spans="1:16" s="13" customFormat="1" x14ac:dyDescent="0.2">
      <c r="A79" s="13" t="s">
        <v>457</v>
      </c>
      <c r="I79" s="13">
        <v>600</v>
      </c>
      <c r="J79" s="13">
        <v>600</v>
      </c>
      <c r="K79" s="13">
        <v>600</v>
      </c>
    </row>
    <row r="80" spans="1:16" x14ac:dyDescent="0.2">
      <c r="A80" s="13" t="s">
        <v>458</v>
      </c>
      <c r="B80" s="13"/>
      <c r="C80" s="13"/>
      <c r="D80" s="13"/>
      <c r="E80" s="13"/>
      <c r="F80" s="13"/>
      <c r="G80" s="13"/>
      <c r="H80" s="13"/>
      <c r="I80" s="13">
        <v>800</v>
      </c>
      <c r="J80" s="13">
        <v>800</v>
      </c>
      <c r="K80" s="13">
        <v>800</v>
      </c>
      <c r="L80" s="13"/>
      <c r="M80" s="13"/>
      <c r="N80" s="13"/>
      <c r="O80" s="13" t="s">
        <v>457</v>
      </c>
      <c r="P80" s="13"/>
    </row>
    <row r="81" spans="1:16" x14ac:dyDescent="0.2">
      <c r="A81" s="13" t="s">
        <v>459</v>
      </c>
      <c r="B81" s="13"/>
      <c r="C81" s="13"/>
      <c r="D81" s="13"/>
      <c r="E81" s="13"/>
      <c r="F81" s="13"/>
      <c r="G81" s="13"/>
      <c r="H81" s="13"/>
      <c r="I81" s="13">
        <v>1000</v>
      </c>
      <c r="J81" s="13">
        <v>1000</v>
      </c>
      <c r="K81" s="13">
        <v>1000</v>
      </c>
      <c r="L81" s="13"/>
      <c r="M81" s="13"/>
      <c r="N81" s="13"/>
      <c r="O81" s="13" t="s">
        <v>458</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442</v>
      </c>
      <c r="B83" t="s">
        <v>436</v>
      </c>
      <c r="C83" t="s">
        <v>36</v>
      </c>
      <c r="D83" t="s">
        <v>38</v>
      </c>
      <c r="E83" t="s">
        <v>50</v>
      </c>
      <c r="F83" t="s">
        <v>63</v>
      </c>
      <c r="G83" t="s">
        <v>65</v>
      </c>
      <c r="H83" t="s">
        <v>394</v>
      </c>
      <c r="I83" t="s">
        <v>395</v>
      </c>
      <c r="J83" t="s">
        <v>396</v>
      </c>
      <c r="K83" t="s">
        <v>397</v>
      </c>
      <c r="L83" t="s">
        <v>398</v>
      </c>
      <c r="M83" t="s">
        <v>399</v>
      </c>
      <c r="N83" t="s">
        <v>400</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sqref="A1:XFD1048576"/>
    </sheetView>
  </sheetViews>
  <sheetFormatPr defaultRowHeight="14.25" x14ac:dyDescent="0.2"/>
  <cols>
    <col min="1" max="1" width="18.125" customWidth="1"/>
    <col min="2" max="2" width="21.75" customWidth="1"/>
  </cols>
  <sheetData>
    <row r="1" spans="1:9" x14ac:dyDescent="0.2">
      <c r="A1" s="27" t="s">
        <v>496</v>
      </c>
      <c r="B1" s="27"/>
      <c r="C1" s="27"/>
      <c r="D1" s="27"/>
      <c r="E1" s="27"/>
      <c r="F1" s="27"/>
      <c r="G1" s="27"/>
      <c r="H1" s="27"/>
      <c r="I1" s="27"/>
    </row>
    <row r="2" spans="1:9" x14ac:dyDescent="0.2">
      <c r="A2" s="27" t="s">
        <v>497</v>
      </c>
      <c r="B2" s="27"/>
      <c r="C2" s="27"/>
      <c r="D2" s="27"/>
      <c r="E2" s="27"/>
      <c r="F2" s="27"/>
      <c r="G2" s="27"/>
      <c r="H2" s="27"/>
      <c r="I2" s="27"/>
    </row>
    <row r="3" spans="1:9" x14ac:dyDescent="0.2">
      <c r="A3" s="27" t="s">
        <v>498</v>
      </c>
      <c r="B3" s="27"/>
      <c r="C3" s="27"/>
      <c r="D3" s="27"/>
      <c r="E3" s="27"/>
      <c r="F3" s="27"/>
      <c r="G3" s="27"/>
      <c r="H3" s="27"/>
      <c r="I3" s="27"/>
    </row>
    <row r="4" spans="1:9" x14ac:dyDescent="0.2">
      <c r="A4" s="27" t="s">
        <v>499</v>
      </c>
      <c r="B4" s="27"/>
      <c r="C4" s="27"/>
      <c r="D4" s="27"/>
    </row>
    <row r="5" spans="1:9" x14ac:dyDescent="0.2">
      <c r="A5" t="s">
        <v>500</v>
      </c>
      <c r="B5" t="s">
        <v>501</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K10" sqref="K10"/>
    </sheetView>
  </sheetViews>
  <sheetFormatPr defaultRowHeight="14.25" x14ac:dyDescent="0.2"/>
  <sheetData>
    <row r="1" spans="1:17" x14ac:dyDescent="0.2">
      <c r="A1" s="27" t="s">
        <v>502</v>
      </c>
      <c r="B1" s="27"/>
      <c r="C1" s="27"/>
      <c r="D1" s="27"/>
      <c r="E1" s="27"/>
    </row>
    <row r="2" spans="1:17" x14ac:dyDescent="0.2">
      <c r="A2" s="27" t="s">
        <v>535</v>
      </c>
      <c r="B2" s="27"/>
      <c r="C2" s="27"/>
    </row>
    <row r="3" spans="1:17" x14ac:dyDescent="0.2">
      <c r="A3" s="26" t="s">
        <v>755</v>
      </c>
      <c r="B3" s="26"/>
      <c r="C3" s="26"/>
      <c r="D3" s="26"/>
      <c r="E3" s="26"/>
      <c r="F3" s="26"/>
      <c r="G3" s="26"/>
      <c r="H3" s="26"/>
      <c r="I3" s="26"/>
      <c r="J3" s="26"/>
      <c r="K3" s="26"/>
      <c r="L3" s="26"/>
      <c r="M3" s="26"/>
      <c r="N3" s="26"/>
      <c r="O3" s="26"/>
      <c r="P3" s="26"/>
      <c r="Q3" s="26"/>
    </row>
    <row r="4" spans="1:17" x14ac:dyDescent="0.2">
      <c r="A4" s="26"/>
      <c r="B4" s="26"/>
      <c r="C4" s="26"/>
      <c r="D4" s="26"/>
      <c r="E4" s="26"/>
      <c r="F4" s="26"/>
      <c r="G4" s="26"/>
      <c r="H4" s="26"/>
      <c r="I4" s="26"/>
      <c r="J4" s="26"/>
      <c r="K4" s="26"/>
      <c r="L4" s="26"/>
      <c r="M4" s="26"/>
      <c r="N4" s="26"/>
      <c r="O4" s="26"/>
      <c r="P4" s="26"/>
      <c r="Q4" s="26"/>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7"/>
  <sheetViews>
    <sheetView workbookViewId="0">
      <selection sqref="A1:XFD1048576"/>
    </sheetView>
  </sheetViews>
  <sheetFormatPr defaultRowHeight="14.25" x14ac:dyDescent="0.2"/>
  <cols>
    <col min="1" max="1" width="20.75" customWidth="1"/>
    <col min="2" max="2" width="13.25" customWidth="1"/>
    <col min="3" max="3" width="13" bestFit="1" customWidth="1"/>
  </cols>
  <sheetData>
    <row r="1" spans="1:13" x14ac:dyDescent="0.2">
      <c r="A1" s="27" t="s">
        <v>503</v>
      </c>
      <c r="B1" s="27"/>
      <c r="C1" s="27"/>
      <c r="D1" s="27"/>
      <c r="E1" s="27"/>
      <c r="F1" s="27"/>
      <c r="G1" s="27"/>
      <c r="H1" s="27"/>
    </row>
    <row r="2" spans="1:13" x14ac:dyDescent="0.2">
      <c r="A2" s="26" t="s">
        <v>506</v>
      </c>
      <c r="B2" s="26"/>
      <c r="C2" s="26"/>
      <c r="D2" s="26"/>
      <c r="E2" s="26"/>
      <c r="F2" s="26"/>
      <c r="G2" s="26"/>
      <c r="H2" s="26"/>
      <c r="I2" s="26"/>
      <c r="J2" s="26"/>
      <c r="K2" s="26"/>
      <c r="L2" s="26"/>
      <c r="M2" s="26"/>
    </row>
    <row r="5" spans="1:13" x14ac:dyDescent="0.2">
      <c r="A5" t="s">
        <v>504</v>
      </c>
      <c r="B5" t="s">
        <v>505</v>
      </c>
    </row>
    <row r="6" spans="1:13" x14ac:dyDescent="0.2">
      <c r="A6">
        <f>90-ACOS((1-0.857244491577148)/2.5)/PI()*180</f>
        <v>3.2734958606008036</v>
      </c>
      <c r="B6">
        <f>90-ACOS((-0.857244491577148)/2.5)/PI()*180</f>
        <v>-20.053522169347318</v>
      </c>
      <c r="C6" t="s">
        <v>533</v>
      </c>
    </row>
    <row r="7" spans="1:13" x14ac:dyDescent="0.2">
      <c r="A7">
        <f>A6*PI()/180</f>
        <v>5.7133280817889341E-2</v>
      </c>
      <c r="B7">
        <f>B6*PI()/180</f>
        <v>-0.34999998847678654</v>
      </c>
      <c r="C7" t="s">
        <v>534</v>
      </c>
    </row>
    <row r="9" spans="1:13" x14ac:dyDescent="0.2">
      <c r="A9" s="27" t="s">
        <v>746</v>
      </c>
      <c r="B9" s="27"/>
      <c r="C9" s="27"/>
      <c r="D9" s="27"/>
      <c r="E9" s="27"/>
      <c r="F9" s="27"/>
      <c r="G9" s="27"/>
      <c r="H9" s="27"/>
      <c r="I9" s="27"/>
      <c r="J9" s="27"/>
      <c r="K9" s="27"/>
      <c r="L9" s="27"/>
    </row>
    <row r="10" spans="1:13" x14ac:dyDescent="0.2">
      <c r="A10" t="s">
        <v>574</v>
      </c>
      <c r="B10">
        <f>(1-SIN($A$7)+0.625*(COS(2*$B$7)-COS(2*$A$7))+0.857244491577148*(SIN($A$7)-SIN($B$7)))/2</f>
        <v>0.57144889831542955</v>
      </c>
    </row>
    <row r="12" spans="1:13" ht="14.25" customHeight="1" x14ac:dyDescent="0.2">
      <c r="B12" s="23" t="s">
        <v>721</v>
      </c>
      <c r="C12" s="23"/>
      <c r="D12" s="23"/>
    </row>
    <row r="13" spans="1:13" x14ac:dyDescent="0.2">
      <c r="B13" s="23"/>
      <c r="C13" s="23"/>
      <c r="D13" s="23"/>
    </row>
    <row r="14" spans="1:13" x14ac:dyDescent="0.2">
      <c r="B14" s="23"/>
      <c r="C14" s="23"/>
      <c r="D14" s="23"/>
    </row>
    <row r="27" spans="1:20" x14ac:dyDescent="0.2">
      <c r="A27" s="40" t="s">
        <v>741</v>
      </c>
      <c r="B27" s="40"/>
      <c r="C27" s="40"/>
      <c r="D27" s="40"/>
      <c r="E27" s="40"/>
      <c r="F27" s="40"/>
      <c r="G27" s="40"/>
      <c r="H27" s="40"/>
      <c r="I27" s="40"/>
      <c r="J27" s="40"/>
      <c r="K27" s="40"/>
      <c r="L27" s="40"/>
      <c r="M27" s="40"/>
      <c r="N27" s="40"/>
      <c r="O27" s="40"/>
      <c r="P27" s="40"/>
      <c r="Q27" s="40"/>
      <c r="R27" s="40"/>
      <c r="S27" s="40"/>
      <c r="T27" s="40"/>
    </row>
    <row r="28" spans="1:20" x14ac:dyDescent="0.2">
      <c r="A28" s="40"/>
      <c r="B28" s="40"/>
      <c r="C28" s="40"/>
      <c r="D28" s="40"/>
      <c r="E28" s="40"/>
      <c r="F28" s="40"/>
      <c r="G28" s="40"/>
      <c r="H28" s="40"/>
      <c r="I28" s="40"/>
      <c r="J28" s="40"/>
      <c r="K28" s="40"/>
      <c r="L28" s="40"/>
      <c r="M28" s="40"/>
      <c r="N28" s="40"/>
      <c r="O28" s="40"/>
      <c r="P28" s="40"/>
      <c r="Q28" s="40"/>
      <c r="R28" s="40"/>
      <c r="S28" s="40"/>
      <c r="T28" s="40"/>
    </row>
    <row r="29" spans="1:20" x14ac:dyDescent="0.2">
      <c r="A29" t="s">
        <v>742</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722</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726</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727</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728</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729</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730</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723</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731</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732</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733</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734</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735</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724</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736</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737</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738</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739</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740</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725</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39" t="s">
        <v>743</v>
      </c>
      <c r="B52" s="39"/>
      <c r="C52" s="39"/>
      <c r="D52" s="39"/>
      <c r="E52" s="39"/>
      <c r="F52" s="39"/>
      <c r="G52" s="39"/>
      <c r="H52" s="39"/>
      <c r="I52" s="39"/>
      <c r="J52" s="39"/>
      <c r="K52" s="39"/>
      <c r="L52" s="39"/>
      <c r="M52" s="39"/>
      <c r="N52" s="39"/>
      <c r="O52" s="39"/>
      <c r="P52" s="39"/>
      <c r="Q52" s="39"/>
      <c r="R52" s="39"/>
      <c r="S52" s="39"/>
      <c r="T52" s="39"/>
    </row>
    <row r="53" spans="1:20" x14ac:dyDescent="0.2">
      <c r="A53" s="39"/>
      <c r="B53" s="39"/>
      <c r="C53" s="39"/>
      <c r="D53" s="39"/>
      <c r="E53" s="39"/>
      <c r="F53" s="39"/>
      <c r="G53" s="39"/>
      <c r="H53" s="39"/>
      <c r="I53" s="39"/>
      <c r="J53" s="39"/>
      <c r="K53" s="39"/>
      <c r="L53" s="39"/>
      <c r="M53" s="39"/>
      <c r="N53" s="39"/>
      <c r="O53" s="39"/>
      <c r="P53" s="39"/>
      <c r="Q53" s="39"/>
      <c r="R53" s="39"/>
      <c r="S53" s="39"/>
      <c r="T53" s="39"/>
    </row>
    <row r="54" spans="1:20" x14ac:dyDescent="0.2">
      <c r="A54" t="s">
        <v>742</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722</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726</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727</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728</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729</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730</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723</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731</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732</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733</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734</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735</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724</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736</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737</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738</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739</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740</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725</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39" t="s">
        <v>744</v>
      </c>
      <c r="B77" s="39"/>
      <c r="C77" s="39"/>
      <c r="D77" s="39"/>
      <c r="E77" s="39"/>
      <c r="F77" s="39"/>
      <c r="G77" s="39"/>
      <c r="H77" s="39"/>
      <c r="I77" s="39"/>
      <c r="J77" s="39"/>
      <c r="K77" s="39"/>
      <c r="L77" s="39"/>
      <c r="M77" s="39"/>
      <c r="N77" s="39"/>
      <c r="O77" s="39"/>
      <c r="P77" s="39"/>
      <c r="Q77" s="39"/>
      <c r="R77" s="39"/>
      <c r="S77" s="39"/>
      <c r="T77" s="39"/>
    </row>
    <row r="78" spans="1:20" x14ac:dyDescent="0.2">
      <c r="A78" s="39"/>
      <c r="B78" s="39"/>
      <c r="C78" s="39"/>
      <c r="D78" s="39"/>
      <c r="E78" s="39"/>
      <c r="F78" s="39"/>
      <c r="G78" s="39"/>
      <c r="H78" s="39"/>
      <c r="I78" s="39"/>
      <c r="J78" s="39"/>
      <c r="K78" s="39"/>
      <c r="L78" s="39"/>
      <c r="M78" s="39"/>
      <c r="N78" s="39"/>
      <c r="O78" s="39"/>
      <c r="P78" s="39"/>
      <c r="Q78" s="39"/>
      <c r="R78" s="39"/>
      <c r="S78" s="39"/>
      <c r="T78" s="39"/>
    </row>
    <row r="79" spans="1:20" x14ac:dyDescent="0.2">
      <c r="A79" t="s">
        <v>742</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722</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726</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727</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728</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729</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730</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723</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731</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732</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733</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734</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735</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724</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736</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737</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738</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739</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740</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725</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39" t="s">
        <v>745</v>
      </c>
      <c r="B102" s="39"/>
      <c r="C102" s="39"/>
      <c r="D102" s="39"/>
      <c r="E102" s="39"/>
      <c r="F102" s="39"/>
      <c r="G102" s="39"/>
      <c r="H102" s="39"/>
      <c r="I102" s="39"/>
      <c r="J102" s="39"/>
      <c r="K102" s="39"/>
      <c r="L102" s="39"/>
      <c r="M102" s="39"/>
      <c r="N102" s="39"/>
      <c r="O102" s="39"/>
      <c r="P102" s="39"/>
      <c r="Q102" s="39"/>
      <c r="R102" s="39"/>
      <c r="S102" s="39"/>
      <c r="T102" s="39"/>
    </row>
    <row r="103" spans="1:20" x14ac:dyDescent="0.2">
      <c r="A103" s="39"/>
      <c r="B103" s="39"/>
      <c r="C103" s="39"/>
      <c r="D103" s="39"/>
      <c r="E103" s="39"/>
      <c r="F103" s="39"/>
      <c r="G103" s="39"/>
      <c r="H103" s="39"/>
      <c r="I103" s="39"/>
      <c r="J103" s="39"/>
      <c r="K103" s="39"/>
      <c r="L103" s="39"/>
      <c r="M103" s="39"/>
      <c r="N103" s="39"/>
      <c r="O103" s="39"/>
      <c r="P103" s="39"/>
      <c r="Q103" s="39"/>
      <c r="R103" s="39"/>
      <c r="S103" s="39"/>
      <c r="T103" s="39"/>
    </row>
    <row r="104" spans="1:20" x14ac:dyDescent="0.2">
      <c r="A104" t="s">
        <v>742</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722</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726</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727</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728</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729</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730</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723</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731</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732</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733</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734</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735</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724</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736</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737</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738</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739</v>
      </c>
      <c r="B121">
        <f t="shared" si="41"/>
        <v>0.54668372749489003</v>
      </c>
      <c r="C121">
        <f t="shared" ref="C121:T121" si="57">((1-SIN(C$54*PI()/180))*(B46+C46)/2+(1-SIN(B$54*PI()/180))*(B121-(B46+C46)/2))/(1-SIN(C$54*PI()/180))</f>
        <v>0.54673155166345</v>
      </c>
      <c r="D121">
        <f t="shared" si="57"/>
        <v>0.54687402676160191</v>
      </c>
      <c r="E121">
        <f t="shared" si="57"/>
        <v>0.54711276217585258</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740</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725</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39" t="s">
        <v>747</v>
      </c>
      <c r="B126" s="39"/>
      <c r="C126" s="39"/>
      <c r="D126" s="39"/>
      <c r="E126" s="39"/>
      <c r="F126" s="39"/>
      <c r="G126" s="39"/>
      <c r="H126" s="39"/>
      <c r="I126" s="39"/>
      <c r="J126" s="39"/>
      <c r="K126" s="39"/>
      <c r="L126" s="39"/>
      <c r="M126" s="39"/>
      <c r="N126" s="39"/>
      <c r="O126" s="39"/>
      <c r="P126" s="39"/>
      <c r="Q126" s="39"/>
      <c r="R126" s="39"/>
      <c r="S126" s="39"/>
      <c r="T126" s="18"/>
    </row>
    <row r="127" spans="1:20" ht="14.25" customHeight="1" x14ac:dyDescent="0.2">
      <c r="A127" s="39"/>
      <c r="B127" s="39"/>
      <c r="C127" s="39"/>
      <c r="D127" s="39"/>
      <c r="E127" s="39"/>
      <c r="F127" s="39"/>
      <c r="G127" s="39"/>
      <c r="H127" s="39"/>
      <c r="I127" s="39"/>
      <c r="J127" s="39"/>
      <c r="K127" s="39"/>
      <c r="L127" s="39"/>
      <c r="M127" s="39"/>
      <c r="N127" s="39"/>
      <c r="O127" s="39"/>
      <c r="P127" s="39"/>
      <c r="Q127" s="39"/>
      <c r="R127" s="39"/>
      <c r="S127" s="39"/>
      <c r="T127" s="18"/>
    </row>
    <row r="128" spans="1:20" x14ac:dyDescent="0.2">
      <c r="A128" t="s">
        <v>742</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722</v>
      </c>
      <c r="B129" s="2" t="s">
        <v>748</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726</v>
      </c>
      <c r="B130" s="2" t="s">
        <v>748</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727</v>
      </c>
      <c r="B131" s="2" t="s">
        <v>748</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728</v>
      </c>
      <c r="B132" s="2" t="s">
        <v>748</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729</v>
      </c>
      <c r="B133" s="2" t="s">
        <v>748</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730</v>
      </c>
      <c r="B134" s="2" t="s">
        <v>748</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723</v>
      </c>
      <c r="B135" s="2" t="s">
        <v>748</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731</v>
      </c>
      <c r="B136" s="2" t="s">
        <v>748</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732</v>
      </c>
      <c r="B137" s="2" t="s">
        <v>748</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733</v>
      </c>
      <c r="B138" s="2" t="s">
        <v>748</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734</v>
      </c>
      <c r="B139" s="2" t="s">
        <v>748</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735</v>
      </c>
      <c r="B140" s="2" t="s">
        <v>748</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724</v>
      </c>
      <c r="B141" s="2" t="s">
        <v>748</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736</v>
      </c>
      <c r="B142" s="2" t="s">
        <v>748</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737</v>
      </c>
      <c r="B143" s="2" t="s">
        <v>748</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738</v>
      </c>
      <c r="B144" s="2" t="s">
        <v>748</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739</v>
      </c>
      <c r="B145" s="2" t="s">
        <v>748</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740</v>
      </c>
      <c r="B146" s="2" t="s">
        <v>748</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725</v>
      </c>
      <c r="B147" s="2" t="s">
        <v>748</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XFD1048576"/>
    </sheetView>
  </sheetViews>
  <sheetFormatPr defaultRowHeight="14.25" x14ac:dyDescent="0.2"/>
  <sheetData>
    <row r="1" spans="1:1" x14ac:dyDescent="0.2">
      <c r="A1" t="s">
        <v>568</v>
      </c>
    </row>
    <row r="2" spans="1:1" x14ac:dyDescent="0.2">
      <c r="A2" t="s">
        <v>569</v>
      </c>
    </row>
    <row r="3" spans="1:1" x14ac:dyDescent="0.2">
      <c r="A3" t="s">
        <v>570</v>
      </c>
    </row>
    <row r="4" spans="1:1" x14ac:dyDescent="0.2">
      <c r="A4" t="s">
        <v>571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selection activeCell="R6" sqref="R6"/>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42" t="s">
        <v>629</v>
      </c>
      <c r="B1" s="42"/>
      <c r="C1" s="42"/>
      <c r="K1" t="s">
        <v>583</v>
      </c>
    </row>
    <row r="2" spans="1:21" x14ac:dyDescent="0.2">
      <c r="A2" s="27" t="s">
        <v>628</v>
      </c>
      <c r="B2" s="27"/>
      <c r="C2" s="27"/>
      <c r="K2" t="s">
        <v>584</v>
      </c>
      <c r="N2" t="s">
        <v>591</v>
      </c>
    </row>
    <row r="3" spans="1:21" x14ac:dyDescent="0.2">
      <c r="A3" s="27" t="s">
        <v>627</v>
      </c>
      <c r="B3" s="27"/>
      <c r="C3" s="27"/>
      <c r="K3" t="s">
        <v>592</v>
      </c>
    </row>
    <row r="4" spans="1:21" x14ac:dyDescent="0.2">
      <c r="A4" s="27" t="s">
        <v>626</v>
      </c>
      <c r="B4" s="27"/>
      <c r="C4" s="27"/>
    </row>
    <row r="5" spans="1:21" x14ac:dyDescent="0.2">
      <c r="A5" s="27" t="s">
        <v>636</v>
      </c>
      <c r="B5" s="27"/>
      <c r="C5" s="27"/>
      <c r="D5" t="s">
        <v>643</v>
      </c>
    </row>
    <row r="7" spans="1:21" ht="25.5" x14ac:dyDescent="0.2">
      <c r="A7" s="44" t="s">
        <v>641</v>
      </c>
      <c r="B7" s="44"/>
      <c r="C7" s="44"/>
      <c r="D7" s="44"/>
      <c r="E7" s="44"/>
      <c r="F7" s="45" t="s">
        <v>635</v>
      </c>
      <c r="G7" s="45"/>
      <c r="H7" s="17"/>
      <c r="K7" s="43" t="s">
        <v>638</v>
      </c>
      <c r="L7" s="43"/>
    </row>
    <row r="8" spans="1:21" x14ac:dyDescent="0.2">
      <c r="A8" t="s">
        <v>631</v>
      </c>
      <c r="B8" t="s">
        <v>632</v>
      </c>
      <c r="C8" t="s">
        <v>633</v>
      </c>
      <c r="D8" t="s">
        <v>634</v>
      </c>
      <c r="E8" t="s">
        <v>637</v>
      </c>
      <c r="F8" t="s">
        <v>640</v>
      </c>
      <c r="G8">
        <v>114</v>
      </c>
      <c r="K8" t="s">
        <v>630</v>
      </c>
      <c r="L8" t="s">
        <v>639</v>
      </c>
    </row>
    <row r="9" spans="1:21" x14ac:dyDescent="0.2">
      <c r="A9">
        <v>6</v>
      </c>
      <c r="B9">
        <f>10.8+1.2*($A9-6)</f>
        <v>10.8</v>
      </c>
      <c r="C9">
        <f>22.4+4*($A9-6)</f>
        <v>22.4</v>
      </c>
      <c r="D9">
        <f>1800+300*($A9-6)</f>
        <v>1800</v>
      </c>
      <c r="E9">
        <f>(360000+60000*($A9-6))/2400000</f>
        <v>0.15</v>
      </c>
      <c r="F9" t="s">
        <v>632</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633</v>
      </c>
      <c r="G10">
        <f>22.4+4*(G8-6)</f>
        <v>454.4</v>
      </c>
      <c r="K10">
        <v>7</v>
      </c>
      <c r="L10">
        <f t="shared" si="0"/>
        <v>100</v>
      </c>
    </row>
    <row r="11" spans="1:21" x14ac:dyDescent="0.2">
      <c r="A11">
        <v>8</v>
      </c>
      <c r="B11">
        <f t="shared" si="1"/>
        <v>13.200000000000001</v>
      </c>
      <c r="C11">
        <f t="shared" si="2"/>
        <v>30.4</v>
      </c>
      <c r="D11">
        <f t="shared" si="3"/>
        <v>2400</v>
      </c>
      <c r="E11">
        <f t="shared" si="4"/>
        <v>0.2</v>
      </c>
      <c r="F11" t="s">
        <v>634</v>
      </c>
      <c r="G11">
        <f>1800+300*(G8-6)</f>
        <v>34200</v>
      </c>
      <c r="K11">
        <v>8</v>
      </c>
      <c r="L11">
        <f t="shared" si="0"/>
        <v>94</v>
      </c>
    </row>
    <row r="12" spans="1:21" x14ac:dyDescent="0.2">
      <c r="A12">
        <v>9</v>
      </c>
      <c r="B12">
        <f t="shared" si="1"/>
        <v>14.4</v>
      </c>
      <c r="C12">
        <f t="shared" si="2"/>
        <v>34.4</v>
      </c>
      <c r="D12">
        <f t="shared" si="3"/>
        <v>2700</v>
      </c>
      <c r="E12">
        <f t="shared" si="4"/>
        <v>0.22500000000000001</v>
      </c>
      <c r="F12" t="s">
        <v>637</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26" t="s">
        <v>642</v>
      </c>
      <c r="S13" s="26"/>
      <c r="T13" s="26"/>
      <c r="U13" s="26"/>
    </row>
    <row r="14" spans="1:21" x14ac:dyDescent="0.2">
      <c r="A14">
        <v>11</v>
      </c>
      <c r="B14">
        <f t="shared" si="1"/>
        <v>16.8</v>
      </c>
      <c r="C14">
        <f t="shared" si="2"/>
        <v>42.4</v>
      </c>
      <c r="D14">
        <f t="shared" si="3"/>
        <v>3300</v>
      </c>
      <c r="E14">
        <f t="shared" si="4"/>
        <v>0.27500000000000002</v>
      </c>
      <c r="K14">
        <v>11</v>
      </c>
      <c r="L14">
        <f t="shared" si="0"/>
        <v>80</v>
      </c>
      <c r="R14" s="26" t="s">
        <v>581</v>
      </c>
      <c r="S14" s="26"/>
      <c r="T14" s="26" t="s">
        <v>582</v>
      </c>
      <c r="U14" s="26"/>
    </row>
    <row r="15" spans="1:21" x14ac:dyDescent="0.2">
      <c r="A15">
        <v>12</v>
      </c>
      <c r="B15">
        <f t="shared" si="1"/>
        <v>18</v>
      </c>
      <c r="C15">
        <f t="shared" si="2"/>
        <v>46.4</v>
      </c>
      <c r="D15">
        <f t="shared" si="3"/>
        <v>3600</v>
      </c>
      <c r="E15">
        <f t="shared" si="4"/>
        <v>0.3</v>
      </c>
      <c r="G15" s="41" t="s">
        <v>655</v>
      </c>
      <c r="H15" s="41"/>
      <c r="I15" s="41"/>
      <c r="K15">
        <v>12</v>
      </c>
      <c r="L15">
        <f t="shared" si="0"/>
        <v>76</v>
      </c>
      <c r="R15" t="s">
        <v>579</v>
      </c>
      <c r="S15" t="s">
        <v>580</v>
      </c>
      <c r="T15" t="s">
        <v>577</v>
      </c>
      <c r="U15" t="s">
        <v>578</v>
      </c>
    </row>
    <row r="16" spans="1:21" x14ac:dyDescent="0.2">
      <c r="A16">
        <v>13</v>
      </c>
      <c r="B16">
        <f t="shared" si="1"/>
        <v>19.200000000000003</v>
      </c>
      <c r="C16">
        <f t="shared" si="2"/>
        <v>50.4</v>
      </c>
      <c r="D16">
        <f t="shared" si="3"/>
        <v>3900</v>
      </c>
      <c r="E16">
        <f t="shared" si="4"/>
        <v>0.32500000000000001</v>
      </c>
      <c r="G16" s="41"/>
      <c r="H16" s="41"/>
      <c r="I16" s="41"/>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654</v>
      </c>
      <c r="H17" t="s">
        <v>652</v>
      </c>
      <c r="I17" t="s">
        <v>653</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659</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658</v>
      </c>
    </row>
    <row r="51" spans="1:13" x14ac:dyDescent="0.2">
      <c r="A51">
        <v>1400</v>
      </c>
      <c r="B51">
        <f t="shared" si="1"/>
        <v>1683.6</v>
      </c>
      <c r="C51">
        <f t="shared" si="2"/>
        <v>5598.4</v>
      </c>
      <c r="D51">
        <f t="shared" si="3"/>
        <v>420000</v>
      </c>
      <c r="E51">
        <f t="shared" si="4"/>
        <v>35</v>
      </c>
      <c r="K51">
        <v>16201</v>
      </c>
      <c r="L51">
        <f t="shared" si="0"/>
        <v>2</v>
      </c>
      <c r="M51" t="s">
        <v>657</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26" t="s">
        <v>590</v>
      </c>
      <c r="B1" s="26"/>
      <c r="C1" s="26"/>
      <c r="D1" s="26"/>
    </row>
    <row r="2" spans="1:4" x14ac:dyDescent="0.2">
      <c r="A2" s="26"/>
      <c r="B2" s="26"/>
      <c r="C2" s="26"/>
      <c r="D2" s="26"/>
    </row>
    <row r="3" spans="1:4" x14ac:dyDescent="0.2">
      <c r="A3" t="s">
        <v>587</v>
      </c>
      <c r="B3" t="s">
        <v>588</v>
      </c>
      <c r="C3" t="s">
        <v>585</v>
      </c>
      <c r="D3" t="s">
        <v>586</v>
      </c>
    </row>
    <row r="4" spans="1:4" x14ac:dyDescent="0.2">
      <c r="A4" t="s">
        <v>644</v>
      </c>
      <c r="B4">
        <v>4.0975215025032501</v>
      </c>
      <c r="C4">
        <f>B4*PI()/180</f>
        <v>7.151524138994679E-2</v>
      </c>
      <c r="D4">
        <f>12*ASIN(1/SQRT(4-C4*C4))/(6*ASIN(1/SQRT(4-C4*C4))-PI())</f>
        <v>2836.1247656695359</v>
      </c>
    </row>
    <row r="5" spans="1:4" x14ac:dyDescent="0.2">
      <c r="A5" t="s">
        <v>645</v>
      </c>
      <c r="B5">
        <f>SQRT(7.34806152153*7.34806152153+4*4)/1000*400*PI()</f>
        <v>10.51332998156065</v>
      </c>
      <c r="C5">
        <f>B5/200</f>
        <v>5.2566649907803249E-2</v>
      </c>
      <c r="D5">
        <f>12*ASIN(1/SQRT(4-C5*C5))/(6*ASIN(1/SQRT(4-C5*C5))-PI())</f>
        <v>5250.177670586937</v>
      </c>
    </row>
    <row r="6" spans="1:4" x14ac:dyDescent="0.2">
      <c r="A6" t="s">
        <v>646</v>
      </c>
      <c r="B6">
        <v>10.5</v>
      </c>
      <c r="C6">
        <f t="shared" ref="C6:C11" si="0">B6/200</f>
        <v>5.2499999999999998E-2</v>
      </c>
      <c r="D6">
        <f t="shared" ref="D6:D11" si="1">12*ASIN(1/SQRT(4-C6*C6))/(6*ASIN(1/SQRT(4-C6*C6))-PI())</f>
        <v>5263.5191650480847</v>
      </c>
    </row>
    <row r="7" spans="1:4" x14ac:dyDescent="0.2">
      <c r="A7" t="s">
        <v>647</v>
      </c>
      <c r="B7">
        <v>29</v>
      </c>
      <c r="C7">
        <f t="shared" si="0"/>
        <v>0.14499999999999999</v>
      </c>
      <c r="D7">
        <f t="shared" si="1"/>
        <v>689.1249867029893</v>
      </c>
    </row>
    <row r="8" spans="1:4" x14ac:dyDescent="0.2">
      <c r="A8" t="s">
        <v>648</v>
      </c>
      <c r="B8">
        <v>15</v>
      </c>
      <c r="C8">
        <f t="shared" si="0"/>
        <v>7.4999999999999997E-2</v>
      </c>
      <c r="D8">
        <f t="shared" si="1"/>
        <v>2578.6023380512447</v>
      </c>
    </row>
    <row r="9" spans="1:4" x14ac:dyDescent="0.2">
      <c r="A9" t="s">
        <v>649</v>
      </c>
      <c r="B9">
        <v>3.5</v>
      </c>
      <c r="C9">
        <f t="shared" si="0"/>
        <v>1.7500000000000002E-2</v>
      </c>
      <c r="D9">
        <f t="shared" si="1"/>
        <v>47379.85832932224</v>
      </c>
    </row>
    <row r="10" spans="1:4" x14ac:dyDescent="0.2">
      <c r="A10" t="s">
        <v>650</v>
      </c>
      <c r="B10">
        <v>10.6</v>
      </c>
      <c r="C10">
        <f t="shared" si="0"/>
        <v>5.2999999999999999E-2</v>
      </c>
      <c r="D10">
        <f t="shared" si="1"/>
        <v>5164.6567152985654</v>
      </c>
    </row>
    <row r="11" spans="1:4" x14ac:dyDescent="0.2">
      <c r="A11" t="s">
        <v>651</v>
      </c>
      <c r="B11">
        <v>12</v>
      </c>
      <c r="C11">
        <f t="shared" si="0"/>
        <v>0.06</v>
      </c>
      <c r="D11">
        <f t="shared" si="1"/>
        <v>4029.641982692584</v>
      </c>
    </row>
    <row r="14" spans="1:4" x14ac:dyDescent="0.2">
      <c r="A14" s="27" t="s">
        <v>589</v>
      </c>
      <c r="B14" s="27"/>
      <c r="C14" s="27"/>
      <c r="D14" s="27"/>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workbookViewId="0">
      <selection sqref="A1:XFD1048576"/>
    </sheetView>
  </sheetViews>
  <sheetFormatPr defaultRowHeight="14.25" x14ac:dyDescent="0.2"/>
  <sheetData>
    <row r="1" spans="1:26" x14ac:dyDescent="0.2">
      <c r="A1" s="27" t="s">
        <v>693</v>
      </c>
      <c r="B1" s="27"/>
      <c r="C1" s="27"/>
      <c r="D1" s="27"/>
      <c r="E1" s="27"/>
      <c r="F1" s="27"/>
      <c r="G1" s="27"/>
      <c r="H1" s="27"/>
      <c r="I1" s="27"/>
      <c r="J1" s="27"/>
      <c r="K1" s="27"/>
      <c r="L1" s="27"/>
      <c r="M1" s="27"/>
      <c r="N1" s="27"/>
      <c r="O1" s="27"/>
      <c r="P1" s="27"/>
    </row>
    <row r="2" spans="1:26" x14ac:dyDescent="0.2">
      <c r="A2" s="27" t="s">
        <v>694</v>
      </c>
      <c r="B2" s="27"/>
      <c r="C2" s="27"/>
      <c r="D2" s="27"/>
      <c r="E2" s="27"/>
      <c r="F2" s="27"/>
      <c r="G2" s="27"/>
      <c r="H2" s="27"/>
      <c r="I2" s="27"/>
      <c r="J2" s="27"/>
      <c r="K2" s="27"/>
      <c r="L2" s="27"/>
      <c r="M2" s="27"/>
      <c r="N2" s="27"/>
      <c r="O2" s="27"/>
      <c r="P2" s="27"/>
      <c r="Q2" s="11"/>
      <c r="R2" s="11"/>
      <c r="S2" s="11"/>
      <c r="T2" s="11"/>
      <c r="U2" s="11"/>
      <c r="V2" s="11"/>
      <c r="W2" s="11"/>
      <c r="X2" s="11"/>
      <c r="Y2" s="11"/>
      <c r="Z2" s="11"/>
    </row>
    <row r="3" spans="1:26" x14ac:dyDescent="0.2">
      <c r="A3" s="27" t="s">
        <v>695</v>
      </c>
      <c r="B3" s="27"/>
      <c r="C3" s="27"/>
      <c r="D3" s="27"/>
      <c r="E3" s="27"/>
      <c r="F3" s="27"/>
      <c r="G3" s="27"/>
      <c r="H3" s="27"/>
      <c r="I3" s="27"/>
      <c r="J3" s="27"/>
      <c r="K3" s="27"/>
      <c r="L3" s="27"/>
      <c r="M3" s="27"/>
      <c r="N3" s="27"/>
      <c r="O3" s="27"/>
      <c r="P3" s="27"/>
      <c r="Q3" s="27"/>
      <c r="R3" s="27"/>
      <c r="S3" s="27"/>
    </row>
    <row r="4" spans="1:26" x14ac:dyDescent="0.2">
      <c r="A4" t="s">
        <v>692</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7" workbookViewId="0">
      <selection activeCell="A7" sqref="A1:XFD1048576"/>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493</v>
      </c>
      <c r="E1" t="s">
        <v>494</v>
      </c>
      <c r="F1" t="s">
        <v>567</v>
      </c>
      <c r="G1" s="23" t="s">
        <v>495</v>
      </c>
      <c r="H1" t="s">
        <v>25</v>
      </c>
      <c r="I1" t="s">
        <v>26</v>
      </c>
      <c r="J1" t="s">
        <v>493</v>
      </c>
      <c r="K1" t="s">
        <v>494</v>
      </c>
      <c r="L1" t="s">
        <v>567</v>
      </c>
    </row>
    <row r="2" spans="1:13" x14ac:dyDescent="0.2">
      <c r="A2" t="s">
        <v>19</v>
      </c>
      <c r="B2">
        <v>1.1555899999999999</v>
      </c>
      <c r="C2">
        <v>1.1555899999999999</v>
      </c>
      <c r="D2">
        <f t="shared" ref="D2:E3" si="0">2*B2</f>
        <v>2.3111799999999998</v>
      </c>
      <c r="E2">
        <f t="shared" si="0"/>
        <v>2.3111799999999998</v>
      </c>
      <c r="F2">
        <v>0.79500000000000004</v>
      </c>
      <c r="G2" s="23"/>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23"/>
      <c r="H3">
        <f t="shared" si="1"/>
        <v>1.9110936430317318</v>
      </c>
      <c r="I3">
        <f t="shared" si="1"/>
        <v>1.9110936430317318</v>
      </c>
      <c r="J3">
        <f t="shared" si="1"/>
        <v>3.8221872860634636</v>
      </c>
      <c r="K3">
        <f t="shared" si="1"/>
        <v>3.8221872860634636</v>
      </c>
      <c r="L3">
        <f t="shared" si="1"/>
        <v>1.0995574287564212</v>
      </c>
    </row>
    <row r="4" spans="1:13" x14ac:dyDescent="0.2">
      <c r="A4" t="s">
        <v>21</v>
      </c>
      <c r="B4" t="s">
        <v>691</v>
      </c>
      <c r="C4" t="s">
        <v>620</v>
      </c>
      <c r="D4">
        <v>6.5972906</v>
      </c>
      <c r="E4">
        <f>3.49776</f>
        <v>3.49776</v>
      </c>
      <c r="F4" t="s">
        <v>593</v>
      </c>
      <c r="G4" s="23"/>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669</v>
      </c>
      <c r="C5">
        <f>2.22475</f>
        <v>2.2247499999999998</v>
      </c>
      <c r="D5">
        <f>2.22475+2.6</f>
        <v>4.8247499999999999</v>
      </c>
      <c r="E5">
        <f>2*C5</f>
        <v>4.4494999999999996</v>
      </c>
      <c r="F5">
        <v>1.8285556999999999</v>
      </c>
      <c r="G5" s="23"/>
      <c r="H5" t="e">
        <f t="shared" si="2"/>
        <v>#VALUE!</v>
      </c>
      <c r="I5">
        <f t="shared" si="2"/>
        <v>2.7957033024295401</v>
      </c>
      <c r="J5">
        <f t="shared" si="2"/>
        <v>6.062959662162906</v>
      </c>
      <c r="K5">
        <f t="shared" si="2"/>
        <v>5.5914066048590803</v>
      </c>
      <c r="L5">
        <f t="shared" si="1"/>
        <v>2.2978308615198832</v>
      </c>
    </row>
    <row r="6" spans="1:13" x14ac:dyDescent="0.2">
      <c r="A6" t="s">
        <v>23</v>
      </c>
      <c r="B6" t="s">
        <v>608</v>
      </c>
      <c r="C6">
        <f>E6/2</f>
        <v>2.3378000000000001</v>
      </c>
      <c r="D6" t="s">
        <v>660</v>
      </c>
      <c r="E6">
        <f>4.6756</f>
        <v>4.6756000000000002</v>
      </c>
      <c r="F6" t="s">
        <v>609</v>
      </c>
      <c r="G6" s="23"/>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665</v>
      </c>
      <c r="C7">
        <f>2.79486/2</f>
        <v>1.3974299999999999</v>
      </c>
      <c r="D7" t="s">
        <v>666</v>
      </c>
      <c r="E7">
        <f>2*C7</f>
        <v>2.7948599999999999</v>
      </c>
      <c r="F7" t="s">
        <v>662</v>
      </c>
      <c r="G7" s="23"/>
      <c r="H7" t="e">
        <f>B7*1.25663706143591</f>
        <v>#VALUE!</v>
      </c>
      <c r="I7">
        <f t="shared" si="3"/>
        <v>1.7560623287623836</v>
      </c>
      <c r="J7" t="e">
        <f t="shared" si="3"/>
        <v>#VALUE!</v>
      </c>
      <c r="K7">
        <f t="shared" si="3"/>
        <v>3.5121246575247671</v>
      </c>
      <c r="L7" t="s">
        <v>661</v>
      </c>
    </row>
    <row r="9" spans="1:13" x14ac:dyDescent="0.2">
      <c r="A9" t="s">
        <v>33</v>
      </c>
      <c r="B9">
        <f>6.751/2</f>
        <v>3.3755000000000002</v>
      </c>
      <c r="C9">
        <f>6.751/2</f>
        <v>3.3755000000000002</v>
      </c>
      <c r="D9">
        <f>6.751/2</f>
        <v>3.3755000000000002</v>
      </c>
      <c r="E9">
        <f>6.751/2</f>
        <v>3.3755000000000002</v>
      </c>
      <c r="F9">
        <v>48.96</v>
      </c>
      <c r="G9" t="s">
        <v>35</v>
      </c>
      <c r="H9">
        <f>4*D9*D9</f>
        <v>45.576001000000005</v>
      </c>
      <c r="I9" t="s">
        <v>491</v>
      </c>
    </row>
    <row r="10" spans="1:13" x14ac:dyDescent="0.2">
      <c r="A10" t="s">
        <v>34</v>
      </c>
      <c r="B10" t="s">
        <v>287</v>
      </c>
      <c r="E10" t="s">
        <v>288</v>
      </c>
      <c r="F10">
        <v>54.824300000000001</v>
      </c>
      <c r="G10" t="s">
        <v>308</v>
      </c>
    </row>
    <row r="11" spans="1:13" x14ac:dyDescent="0.2">
      <c r="A11" t="s">
        <v>607</v>
      </c>
      <c r="B11">
        <v>0.2</v>
      </c>
      <c r="C11">
        <v>0.2</v>
      </c>
      <c r="D11">
        <v>0.4</v>
      </c>
      <c r="E11">
        <v>0.4</v>
      </c>
    </row>
    <row r="13" spans="1:13" x14ac:dyDescent="0.2">
      <c r="A13" t="s">
        <v>255</v>
      </c>
      <c r="B13">
        <v>1.8</v>
      </c>
      <c r="C13">
        <v>1.8</v>
      </c>
      <c r="D13">
        <v>2</v>
      </c>
      <c r="E13" t="s">
        <v>256</v>
      </c>
      <c r="F13" t="s">
        <v>257</v>
      </c>
    </row>
    <row r="15" spans="1:13" x14ac:dyDescent="0.2">
      <c r="A15" t="s">
        <v>690</v>
      </c>
      <c r="B15" t="s">
        <v>670</v>
      </c>
      <c r="C15" t="s">
        <v>671</v>
      </c>
      <c r="D15" t="s">
        <v>672</v>
      </c>
      <c r="E15" t="s">
        <v>673</v>
      </c>
      <c r="F15" t="s">
        <v>674</v>
      </c>
      <c r="G15" t="s">
        <v>675</v>
      </c>
    </row>
    <row r="16" spans="1:13" x14ac:dyDescent="0.2">
      <c r="A16" t="s">
        <v>676</v>
      </c>
      <c r="B16" t="s">
        <v>684</v>
      </c>
      <c r="C16" t="s">
        <v>685</v>
      </c>
      <c r="D16" t="s">
        <v>686</v>
      </c>
      <c r="E16" t="s">
        <v>687</v>
      </c>
      <c r="F16" t="s">
        <v>688</v>
      </c>
      <c r="G16" t="s">
        <v>689</v>
      </c>
    </row>
    <row r="17" spans="1:21" x14ac:dyDescent="0.2">
      <c r="A17" t="s">
        <v>677</v>
      </c>
      <c r="B17" t="s">
        <v>679</v>
      </c>
      <c r="C17" t="s">
        <v>678</v>
      </c>
      <c r="D17" t="s">
        <v>680</v>
      </c>
      <c r="E17" t="s">
        <v>681</v>
      </c>
      <c r="F17" t="s">
        <v>682</v>
      </c>
      <c r="G17" t="s">
        <v>683</v>
      </c>
    </row>
    <row r="21" spans="1:21" x14ac:dyDescent="0.2">
      <c r="A21" t="s">
        <v>509</v>
      </c>
      <c r="B21" t="s">
        <v>510</v>
      </c>
      <c r="C21" t="s">
        <v>511</v>
      </c>
      <c r="D21" t="s">
        <v>512</v>
      </c>
      <c r="E21" t="s">
        <v>513</v>
      </c>
      <c r="F21" t="s">
        <v>514</v>
      </c>
      <c r="G21" t="s">
        <v>515</v>
      </c>
      <c r="H21" t="s">
        <v>516</v>
      </c>
      <c r="I21" t="s">
        <v>517</v>
      </c>
      <c r="J21" t="s">
        <v>518</v>
      </c>
      <c r="K21" t="s">
        <v>519</v>
      </c>
      <c r="L21" t="s">
        <v>520</v>
      </c>
      <c r="M21" t="s">
        <v>521</v>
      </c>
      <c r="N21" t="s">
        <v>522</v>
      </c>
      <c r="O21" t="s">
        <v>523</v>
      </c>
      <c r="P21" t="s">
        <v>524</v>
      </c>
      <c r="Q21" t="s">
        <v>525</v>
      </c>
      <c r="R21" t="s">
        <v>526</v>
      </c>
      <c r="S21" t="s">
        <v>527</v>
      </c>
      <c r="T21" t="s">
        <v>528</v>
      </c>
      <c r="U21" t="s">
        <v>529</v>
      </c>
    </row>
    <row r="22" spans="1:21" x14ac:dyDescent="0.2">
      <c r="A22" t="s">
        <v>530</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531</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532</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664</v>
      </c>
      <c r="K28" t="s">
        <v>613</v>
      </c>
    </row>
    <row r="29" spans="1:21" x14ac:dyDescent="0.2">
      <c r="B29" t="s">
        <v>595</v>
      </c>
      <c r="C29" t="s">
        <v>596</v>
      </c>
      <c r="E29" t="s">
        <v>610</v>
      </c>
      <c r="F29" t="s">
        <v>611</v>
      </c>
      <c r="G29" t="s">
        <v>612</v>
      </c>
      <c r="I29" t="s">
        <v>615</v>
      </c>
      <c r="J29" t="s">
        <v>616</v>
      </c>
      <c r="K29">
        <v>0</v>
      </c>
      <c r="L29" t="s">
        <v>614</v>
      </c>
    </row>
    <row r="30" spans="1:21" x14ac:dyDescent="0.2">
      <c r="A30" t="s">
        <v>594</v>
      </c>
      <c r="B30" t="s">
        <v>597</v>
      </c>
      <c r="C30" t="s">
        <v>598</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599</v>
      </c>
      <c r="B31" t="s">
        <v>600</v>
      </c>
      <c r="C31" t="s">
        <v>601</v>
      </c>
      <c r="E31">
        <f>COS(PI()*24/180)*0.8</f>
        <v>0.73083636611408076</v>
      </c>
      <c r="F31">
        <f>SIN(PI()*24/180)*0.8</f>
        <v>0.32538931446064012</v>
      </c>
      <c r="G31">
        <f>8/25</f>
        <v>0.32</v>
      </c>
    </row>
    <row r="32" spans="1:21" x14ac:dyDescent="0.2">
      <c r="A32" t="s">
        <v>602</v>
      </c>
      <c r="B32" t="s">
        <v>603</v>
      </c>
      <c r="C32" t="s">
        <v>604</v>
      </c>
      <c r="E32">
        <f>COS(PI()*24/180)*1.451</f>
        <v>1.3255544590394139</v>
      </c>
      <c r="F32">
        <f>SIN(PI()*24/180)*1.451</f>
        <v>0.590174869102986</v>
      </c>
      <c r="G32">
        <f>10/17</f>
        <v>0.58823529411764708</v>
      </c>
      <c r="K32" t="s">
        <v>613</v>
      </c>
    </row>
    <row r="33" spans="1:12" x14ac:dyDescent="0.2">
      <c r="I33" t="s">
        <v>617</v>
      </c>
      <c r="J33" t="s">
        <v>618</v>
      </c>
      <c r="K33">
        <v>0.375</v>
      </c>
      <c r="L33" t="s">
        <v>614</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613</v>
      </c>
    </row>
    <row r="37" spans="1:12" x14ac:dyDescent="0.2">
      <c r="F37">
        <f>19/24</f>
        <v>0.79166666666666663</v>
      </c>
      <c r="I37" t="s">
        <v>617</v>
      </c>
      <c r="J37" t="s">
        <v>615</v>
      </c>
      <c r="K37">
        <v>0.375</v>
      </c>
      <c r="L37" t="s">
        <v>614</v>
      </c>
    </row>
    <row r="38" spans="1:12" x14ac:dyDescent="0.2">
      <c r="A38" t="s">
        <v>619</v>
      </c>
      <c r="I38">
        <v>0</v>
      </c>
      <c r="J38">
        <f>1.1-0.12856650352478</f>
        <v>0.97143349647522004</v>
      </c>
      <c r="K38">
        <f>SQRT(K37*K37+I38*I38)</f>
        <v>0.375</v>
      </c>
      <c r="L38">
        <f>ATAN(K38/J38)*180/PI()</f>
        <v>21.107957327406918</v>
      </c>
    </row>
    <row r="39" spans="1:12" x14ac:dyDescent="0.2">
      <c r="A39" t="s">
        <v>656</v>
      </c>
    </row>
    <row r="40" spans="1:12" x14ac:dyDescent="0.2">
      <c r="A40" t="s">
        <v>663</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6" sqref="U26"/>
    </sheetView>
  </sheetViews>
  <sheetFormatPr defaultRowHeight="14.2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sqref="A1:XFD1048576"/>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4" zoomScale="85" zoomScaleNormal="85" workbookViewId="0">
      <selection activeCell="C39" sqref="C3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667</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465</v>
      </c>
    </row>
    <row r="19" spans="1:11" x14ac:dyDescent="0.2">
      <c r="A19" t="s">
        <v>135</v>
      </c>
      <c r="B19" t="s">
        <v>218</v>
      </c>
      <c r="C19">
        <v>0</v>
      </c>
      <c r="D19" t="s">
        <v>218</v>
      </c>
      <c r="E19" t="s">
        <v>218</v>
      </c>
      <c r="F19">
        <v>0</v>
      </c>
      <c r="G19" t="s">
        <v>466</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25" t="s">
        <v>126</v>
      </c>
      <c r="B26" s="25"/>
      <c r="C26" s="25"/>
      <c r="D26" s="25"/>
      <c r="E26" s="25"/>
      <c r="F26" s="25"/>
    </row>
    <row r="27" spans="1:11" x14ac:dyDescent="0.2">
      <c r="C27" s="26" t="s">
        <v>117</v>
      </c>
      <c r="D27" s="26"/>
      <c r="E27" s="26"/>
      <c r="F27" s="26"/>
      <c r="G27" s="26"/>
    </row>
    <row r="28" spans="1:11" x14ac:dyDescent="0.2">
      <c r="A28" t="s">
        <v>86</v>
      </c>
      <c r="B28" t="s">
        <v>91</v>
      </c>
      <c r="C28" t="s">
        <v>118</v>
      </c>
      <c r="D28" t="s">
        <v>119</v>
      </c>
      <c r="E28" t="s">
        <v>120</v>
      </c>
      <c r="F28" t="s">
        <v>121</v>
      </c>
      <c r="G28" t="s">
        <v>132</v>
      </c>
      <c r="H28" t="s">
        <v>133</v>
      </c>
      <c r="J28" t="s">
        <v>309</v>
      </c>
    </row>
    <row r="29" spans="1:11" ht="19.5" x14ac:dyDescent="0.2">
      <c r="A29" s="24" t="s">
        <v>130</v>
      </c>
      <c r="B29" s="24"/>
      <c r="C29" s="24"/>
      <c r="D29" s="24"/>
      <c r="E29" s="24"/>
      <c r="F29" s="24"/>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
      <c r="A41" t="s">
        <v>143</v>
      </c>
      <c r="B41" t="s">
        <v>460</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
      <c r="A45" t="s">
        <v>462</v>
      </c>
      <c r="B45" t="s">
        <v>189</v>
      </c>
      <c r="C45">
        <f>((0.1*G80)+60*S6)/12</f>
        <v>276.21350368888892</v>
      </c>
      <c r="D45" t="s">
        <v>217</v>
      </c>
      <c r="E45">
        <f>((0.1*G80)+60*S6+0.1*B16)/24</f>
        <v>138.10675184444446</v>
      </c>
      <c r="F45">
        <f>MIN(C45:E45)</f>
        <v>138.10675184444446</v>
      </c>
      <c r="G45">
        <f>F45</f>
        <v>138.10675184444446</v>
      </c>
      <c r="H45" t="str">
        <f t="shared" si="9"/>
        <v>加速</v>
      </c>
      <c r="I45" t="s">
        <v>463</v>
      </c>
      <c r="J45">
        <f t="shared" si="6"/>
        <v>138288.67701929281</v>
      </c>
      <c r="K45" t="s">
        <v>310</v>
      </c>
    </row>
    <row r="49" spans="1:11" ht="19.5" x14ac:dyDescent="0.2">
      <c r="A49" s="24" t="s">
        <v>221</v>
      </c>
      <c r="B49" s="24"/>
      <c r="C49" s="24"/>
      <c r="D49" s="24"/>
      <c r="E49" s="24"/>
      <c r="F49" s="24"/>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
      <c r="A63" t="s">
        <v>173</v>
      </c>
      <c r="B63" t="s">
        <v>461</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
      <c r="A75" t="s">
        <v>467</v>
      </c>
      <c r="B75" t="s">
        <v>468</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467</v>
      </c>
      <c r="J75">
        <f t="shared" si="6"/>
        <v>750607.93344033777</v>
      </c>
      <c r="K75" t="s">
        <v>310</v>
      </c>
    </row>
    <row r="78" spans="1:11" ht="19.5" x14ac:dyDescent="0.2">
      <c r="A78" s="24" t="s">
        <v>222</v>
      </c>
      <c r="B78" s="24"/>
      <c r="C78" s="24"/>
      <c r="D78" s="24"/>
      <c r="E78" s="24"/>
      <c r="F78" s="24"/>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5" x14ac:dyDescent="0.2">
      <c r="A100" s="24" t="s">
        <v>22</v>
      </c>
      <c r="B100" s="24"/>
      <c r="C100" s="24"/>
      <c r="D100" s="24"/>
      <c r="E100" s="24"/>
      <c r="F100" s="24"/>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sqref="A1:XFD1048576"/>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475</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492</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667</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27" t="s">
        <v>564</v>
      </c>
      <c r="B25" s="27"/>
      <c r="C25" s="27"/>
      <c r="D25" s="27"/>
    </row>
    <row r="26" spans="1:21" x14ac:dyDescent="0.2">
      <c r="B26" t="s">
        <v>565</v>
      </c>
      <c r="C26" t="s">
        <v>554</v>
      </c>
      <c r="D26" t="s">
        <v>566</v>
      </c>
      <c r="I26" s="26" t="s">
        <v>557</v>
      </c>
      <c r="J26" s="26"/>
      <c r="K26" s="26"/>
    </row>
    <row r="27" spans="1:21" x14ac:dyDescent="0.2">
      <c r="A27" t="s">
        <v>548</v>
      </c>
      <c r="B27">
        <v>0.64200000000000002</v>
      </c>
      <c r="C27">
        <v>172800</v>
      </c>
      <c r="D27">
        <f>1000*B27/C27</f>
        <v>3.7152777777777778E-3</v>
      </c>
      <c r="F27">
        <f>C27*8</f>
        <v>1382400</v>
      </c>
      <c r="I27" t="s">
        <v>556</v>
      </c>
      <c r="J27">
        <f>D27</f>
        <v>3.7152777777777778E-3</v>
      </c>
      <c r="K27" t="s">
        <v>555</v>
      </c>
    </row>
    <row r="28" spans="1:21" x14ac:dyDescent="0.2">
      <c r="A28" t="s">
        <v>549</v>
      </c>
      <c r="B28">
        <v>0</v>
      </c>
      <c r="C28">
        <v>0</v>
      </c>
      <c r="D28" t="e">
        <f>1000*B28/C28</f>
        <v>#DIV/0!</v>
      </c>
      <c r="F28">
        <f>C28*8</f>
        <v>0</v>
      </c>
      <c r="I28" t="s">
        <v>550</v>
      </c>
      <c r="J28">
        <f>D29</f>
        <v>2.5339673913043478E-2</v>
      </c>
      <c r="K28" t="s">
        <v>563</v>
      </c>
    </row>
    <row r="29" spans="1:21" x14ac:dyDescent="0.2">
      <c r="A29" t="s">
        <v>550</v>
      </c>
      <c r="B29">
        <v>2.984</v>
      </c>
      <c r="C29">
        <v>117760</v>
      </c>
      <c r="D29">
        <f>1000*B29/C29</f>
        <v>2.5339673913043478E-2</v>
      </c>
      <c r="F29">
        <f>C29*8</f>
        <v>942080</v>
      </c>
      <c r="I29" t="s">
        <v>558</v>
      </c>
      <c r="J29">
        <v>2.8362771739130436E-2</v>
      </c>
      <c r="K29" t="s">
        <v>562</v>
      </c>
    </row>
    <row r="30" spans="1:21" x14ac:dyDescent="0.2">
      <c r="A30" t="s">
        <v>551</v>
      </c>
      <c r="B30">
        <v>1.5740000000000001</v>
      </c>
      <c r="C30">
        <v>176640</v>
      </c>
      <c r="D30">
        <f>1000*B30/C30</f>
        <v>8.9107789855072464E-3</v>
      </c>
      <c r="F30">
        <f>C30*8</f>
        <v>1413120</v>
      </c>
      <c r="I30" t="s">
        <v>559</v>
      </c>
      <c r="J30">
        <v>8.9107789855072464E-3</v>
      </c>
      <c r="K30" t="s">
        <v>562</v>
      </c>
    </row>
    <row r="31" spans="1:21" x14ac:dyDescent="0.2">
      <c r="A31" t="s">
        <v>552</v>
      </c>
      <c r="B31">
        <v>1.67</v>
      </c>
      <c r="C31">
        <v>58880</v>
      </c>
      <c r="D31">
        <f>1000*B31/C31</f>
        <v>2.8362771739130436E-2</v>
      </c>
      <c r="F31">
        <f>C31*8</f>
        <v>471040</v>
      </c>
      <c r="I31" t="s">
        <v>560</v>
      </c>
      <c r="J31">
        <v>8.8212250712250709E-2</v>
      </c>
      <c r="K31" t="s">
        <v>561</v>
      </c>
    </row>
    <row r="32" spans="1:21" x14ac:dyDescent="0.2">
      <c r="A32" t="s">
        <v>553</v>
      </c>
      <c r="B32">
        <v>0.33600000000000002</v>
      </c>
    </row>
    <row r="40" spans="9:11" x14ac:dyDescent="0.2">
      <c r="I40" s="26" t="s">
        <v>474</v>
      </c>
      <c r="J40" s="26"/>
      <c r="K40" s="26"/>
    </row>
    <row r="41" spans="9:11" x14ac:dyDescent="0.2">
      <c r="I41" t="s">
        <v>342</v>
      </c>
      <c r="J41">
        <v>8</v>
      </c>
      <c r="K41" t="s">
        <v>343</v>
      </c>
    </row>
    <row r="42" spans="9:11" x14ac:dyDescent="0.2">
      <c r="I42" t="s">
        <v>344</v>
      </c>
      <c r="J42">
        <v>12</v>
      </c>
      <c r="K42" t="s">
        <v>345</v>
      </c>
    </row>
    <row r="43" spans="9:11" x14ac:dyDescent="0.2">
      <c r="I43" t="s">
        <v>346</v>
      </c>
      <c r="J43">
        <v>5</v>
      </c>
      <c r="K43" t="s">
        <v>345</v>
      </c>
    </row>
    <row r="44" spans="9:11" x14ac:dyDescent="0.2">
      <c r="I44" t="s">
        <v>347</v>
      </c>
      <c r="J44">
        <v>20</v>
      </c>
      <c r="K44" t="s">
        <v>345</v>
      </c>
    </row>
    <row r="49" spans="1:15" x14ac:dyDescent="0.2">
      <c r="A49" s="8"/>
      <c r="B49" s="8"/>
      <c r="C49" s="8">
        <v>1</v>
      </c>
      <c r="D49" s="8">
        <v>2</v>
      </c>
      <c r="E49" s="8">
        <v>4</v>
      </c>
      <c r="F49" s="8">
        <v>8</v>
      </c>
      <c r="G49" s="8">
        <v>16</v>
      </c>
      <c r="H49" s="8"/>
      <c r="I49" s="8" t="s">
        <v>476</v>
      </c>
      <c r="J49" s="8"/>
      <c r="K49" s="8" t="s">
        <v>477</v>
      </c>
      <c r="L49" s="8" t="s">
        <v>478</v>
      </c>
      <c r="M49" s="8"/>
      <c r="N49" s="8" t="s">
        <v>479</v>
      </c>
      <c r="O49" s="8" t="s">
        <v>480</v>
      </c>
    </row>
    <row r="50" spans="1:15" x14ac:dyDescent="0.2">
      <c r="A50" s="14" t="s">
        <v>481</v>
      </c>
      <c r="B50" s="8" t="s">
        <v>482</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26" t="s">
        <v>483</v>
      </c>
      <c r="B51" t="s">
        <v>484</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26"/>
      <c r="B52" t="s">
        <v>485</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26"/>
      <c r="B53" t="s">
        <v>486</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26"/>
      <c r="B54" t="s">
        <v>487</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488</v>
      </c>
      <c r="B55" t="s">
        <v>489</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490</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selection sqref="A1:XFD1048576"/>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8" t="s">
        <v>234</v>
      </c>
      <c r="B1" s="28"/>
      <c r="C1" s="28"/>
      <c r="D1" s="28"/>
      <c r="E1" s="28"/>
      <c r="F1" s="28"/>
      <c r="G1" s="28"/>
      <c r="H1" s="28"/>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6" t="s">
        <v>246</v>
      </c>
      <c r="L13" s="26"/>
      <c r="M13" s="26"/>
      <c r="N13" s="26"/>
      <c r="O13" s="26"/>
      <c r="P13" s="26"/>
      <c r="Q13" s="26"/>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6" t="s">
        <v>212</v>
      </c>
      <c r="M14" s="26"/>
      <c r="N14" s="26"/>
      <c r="O14" s="26"/>
      <c r="P14" s="26"/>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6" t="s">
        <v>238</v>
      </c>
      <c r="L19" s="26"/>
      <c r="M19">
        <f>2.5*(G8/27.78-0.36)</f>
        <v>9.3733638531317514</v>
      </c>
      <c r="N19" t="s">
        <v>291</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6"/>
      <c r="L20" s="26"/>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289</v>
      </c>
      <c r="E30" t="s">
        <v>207</v>
      </c>
      <c r="F30" t="s">
        <v>205</v>
      </c>
      <c r="G30" t="s">
        <v>213</v>
      </c>
      <c r="H30" t="s">
        <v>214</v>
      </c>
      <c r="I30" t="s">
        <v>290</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28" t="s">
        <v>307</v>
      </c>
      <c r="B42" s="28"/>
      <c r="C42" s="28"/>
      <c r="D42" s="28"/>
      <c r="E42" s="28"/>
      <c r="F42" s="28"/>
      <c r="G42" s="28"/>
      <c r="H42" s="28"/>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6" t="s">
        <v>246</v>
      </c>
      <c r="L54" s="26"/>
      <c r="M54" s="26"/>
      <c r="N54" s="26"/>
      <c r="O54" s="26"/>
      <c r="P54" s="26"/>
      <c r="Q54" s="26"/>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6" t="s">
        <v>212</v>
      </c>
      <c r="M55" s="26"/>
      <c r="N55" s="26"/>
      <c r="O55" s="26"/>
      <c r="P55" s="26"/>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6" t="s">
        <v>238</v>
      </c>
      <c r="L60" s="26"/>
      <c r="M60">
        <f>2.5*(G49/27.78-0.36)</f>
        <v>9.632730489380851</v>
      </c>
      <c r="N60" t="s">
        <v>291</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6"/>
      <c r="L61" s="26"/>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289</v>
      </c>
      <c r="E86" t="s">
        <v>207</v>
      </c>
      <c r="F86" t="s">
        <v>205</v>
      </c>
      <c r="G86" t="s">
        <v>213</v>
      </c>
      <c r="H86" t="s">
        <v>214</v>
      </c>
      <c r="I86" t="s">
        <v>290</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ref="A45:H83">
    <sortCondition ref="A44:A83"/>
  </sortState>
  <mergeCells count="10">
    <mergeCell ref="L14:P14"/>
    <mergeCell ref="A1:H1"/>
    <mergeCell ref="K19:L19"/>
    <mergeCell ref="K20:L20"/>
    <mergeCell ref="K13:Q13"/>
    <mergeCell ref="A42:H42"/>
    <mergeCell ref="K54:Q54"/>
    <mergeCell ref="L55:P55"/>
    <mergeCell ref="K60:L60"/>
    <mergeCell ref="K61:L61"/>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sqref="A1:XFD1048576"/>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267</v>
      </c>
    </row>
    <row r="2" spans="1:10" x14ac:dyDescent="0.2">
      <c r="A2" t="s">
        <v>268</v>
      </c>
    </row>
    <row r="3" spans="1:10" x14ac:dyDescent="0.2">
      <c r="B3" t="s">
        <v>269</v>
      </c>
    </row>
    <row r="4" spans="1:10" x14ac:dyDescent="0.2">
      <c r="B4" t="s">
        <v>270</v>
      </c>
    </row>
    <row r="5" spans="1:10" x14ac:dyDescent="0.2">
      <c r="B5" t="s">
        <v>271</v>
      </c>
    </row>
    <row r="6" spans="1:10" x14ac:dyDescent="0.2">
      <c r="A6" t="s">
        <v>696</v>
      </c>
    </row>
    <row r="7" spans="1:10" x14ac:dyDescent="0.2">
      <c r="A7" s="27" t="s">
        <v>507</v>
      </c>
      <c r="B7" s="27"/>
      <c r="C7" s="27"/>
      <c r="D7" s="27"/>
      <c r="E7" s="27"/>
      <c r="F7" s="27"/>
    </row>
    <row r="8" spans="1:10" x14ac:dyDescent="0.2">
      <c r="A8" s="27" t="s">
        <v>508</v>
      </c>
      <c r="B8" s="27"/>
      <c r="C8" s="27"/>
      <c r="D8" s="27"/>
      <c r="E8" s="27"/>
    </row>
    <row r="9" spans="1:10" x14ac:dyDescent="0.2">
      <c r="A9" t="s">
        <v>272</v>
      </c>
    </row>
    <row r="10" spans="1:10" x14ac:dyDescent="0.2">
      <c r="A10" t="s">
        <v>273</v>
      </c>
    </row>
    <row r="11" spans="1:10" x14ac:dyDescent="0.2">
      <c r="A11" t="s">
        <v>470</v>
      </c>
    </row>
    <row r="15" spans="1:10" x14ac:dyDescent="0.2">
      <c r="H15" s="26" t="s">
        <v>471</v>
      </c>
      <c r="I15" s="26"/>
      <c r="J15" s="26"/>
    </row>
    <row r="16" spans="1:10" x14ac:dyDescent="0.2">
      <c r="A16" t="s">
        <v>259</v>
      </c>
      <c r="B16" t="s">
        <v>260</v>
      </c>
      <c r="C16" t="s">
        <v>265</v>
      </c>
      <c r="D16" t="s">
        <v>266</v>
      </c>
      <c r="E16" t="s">
        <v>749</v>
      </c>
      <c r="F16" t="s">
        <v>275</v>
      </c>
      <c r="G16" t="s">
        <v>274</v>
      </c>
      <c r="H16" t="s">
        <v>472</v>
      </c>
      <c r="I16" t="s">
        <v>275</v>
      </c>
      <c r="J16" t="s">
        <v>473</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751</v>
      </c>
      <c r="B19">
        <v>55</v>
      </c>
      <c r="C19">
        <f>SQRT(400*B19*0.6+B19*0.6*B19*0.6)/(200+B19*0.6)</f>
        <v>0.51303264065318743</v>
      </c>
      <c r="D19">
        <f>C19-1</f>
        <v>-0.48696735934681257</v>
      </c>
      <c r="E19">
        <f>(0.5/6-D19)/0.8</f>
        <v>0.71287586585018237</v>
      </c>
      <c r="F19" t="s">
        <v>753</v>
      </c>
      <c r="G19">
        <f>(0.25/6-D19)/0.8</f>
        <v>0.660792532516849</v>
      </c>
      <c r="H19">
        <f>1/E19</f>
        <v>1.4027687678939598</v>
      </c>
      <c r="I19" t="s">
        <v>753</v>
      </c>
      <c r="J19">
        <f>1/G19</f>
        <v>1.5133342929756881</v>
      </c>
    </row>
    <row r="20" spans="1:10" x14ac:dyDescent="0.2">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
      <c r="A21" t="s">
        <v>750</v>
      </c>
      <c r="B21">
        <v>70</v>
      </c>
      <c r="C21">
        <f>SQRT(400*B21*0.6+B21*0.6*B21*0.6)/(200+B21*0.6)</f>
        <v>0.56301558116532557</v>
      </c>
      <c r="D21">
        <f>C21-1</f>
        <v>-0.43698441883467443</v>
      </c>
      <c r="E21">
        <f>(0.5/6-D21)/0.8</f>
        <v>0.65039719021000975</v>
      </c>
      <c r="F21" t="s">
        <v>752</v>
      </c>
      <c r="G21">
        <f>(0.25/6-D21)/0.8</f>
        <v>0.59831385687667638</v>
      </c>
      <c r="H21">
        <f>1/E21</f>
        <v>1.5375220173954094</v>
      </c>
      <c r="I21" t="s">
        <v>754</v>
      </c>
      <c r="J21">
        <f>1/G21</f>
        <v>1.6713635970595924</v>
      </c>
    </row>
    <row r="25" spans="1:10" x14ac:dyDescent="0.2">
      <c r="A25" t="s">
        <v>277</v>
      </c>
      <c r="B25" t="s">
        <v>278</v>
      </c>
    </row>
    <row r="26" spans="1:10" x14ac:dyDescent="0.2">
      <c r="A26">
        <v>74400</v>
      </c>
      <c r="B26">
        <v>12</v>
      </c>
    </row>
    <row r="28" spans="1:10" x14ac:dyDescent="0.2">
      <c r="A28" s="26" t="s">
        <v>279</v>
      </c>
      <c r="B28" s="26"/>
      <c r="C28" s="26"/>
      <c r="D28" s="26"/>
      <c r="E28" s="26"/>
    </row>
    <row r="29" spans="1:10" x14ac:dyDescent="0.2">
      <c r="A29" t="s">
        <v>259</v>
      </c>
      <c r="B29" t="s">
        <v>282</v>
      </c>
      <c r="C29" t="s">
        <v>281</v>
      </c>
      <c r="D29" t="s">
        <v>283</v>
      </c>
    </row>
    <row r="30" spans="1:10" x14ac:dyDescent="0.2">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tabSelected="1" zoomScale="145" zoomScaleNormal="145" workbookViewId="0">
      <selection activeCell="T15" sqref="T15"/>
    </sheetView>
  </sheetViews>
  <sheetFormatPr defaultRowHeight="14.25" x14ac:dyDescent="0.2"/>
  <cols>
    <col min="13" max="13" width="16.5" customWidth="1"/>
    <col min="16" max="16" width="14.375" customWidth="1"/>
    <col min="17" max="18" width="11.625" customWidth="1"/>
  </cols>
  <sheetData>
    <row r="1" spans="1:24" x14ac:dyDescent="0.2">
      <c r="A1" s="34" t="s">
        <v>292</v>
      </c>
      <c r="B1" s="34"/>
      <c r="C1" s="34"/>
      <c r="D1" s="34"/>
      <c r="E1" s="34"/>
      <c r="F1" s="34"/>
      <c r="G1" s="34"/>
    </row>
    <row r="2" spans="1:24" x14ac:dyDescent="0.2">
      <c r="A2" s="27" t="s">
        <v>294</v>
      </c>
      <c r="B2" s="27"/>
      <c r="C2" s="27"/>
      <c r="D2" s="27"/>
      <c r="E2" s="27"/>
      <c r="F2" s="27"/>
      <c r="G2" s="27"/>
      <c r="H2" s="27"/>
    </row>
    <row r="3" spans="1:24" ht="29.25" customHeight="1" x14ac:dyDescent="0.2">
      <c r="A3" s="26"/>
      <c r="B3" s="26"/>
      <c r="C3" s="26"/>
      <c r="D3" s="26"/>
      <c r="E3" s="26"/>
      <c r="F3" s="26"/>
      <c r="G3" s="26"/>
      <c r="H3" s="26"/>
      <c r="Q3" s="29" t="s">
        <v>756</v>
      </c>
      <c r="R3" s="29"/>
      <c r="S3" s="29"/>
      <c r="T3" s="29"/>
      <c r="U3" s="30" t="s">
        <v>760</v>
      </c>
      <c r="V3" s="30"/>
      <c r="W3" s="30"/>
      <c r="X3" s="30"/>
    </row>
    <row r="4" spans="1:24" ht="14.25" customHeight="1" x14ac:dyDescent="0.2">
      <c r="B4" s="35" t="s">
        <v>293</v>
      </c>
      <c r="C4" s="35"/>
      <c r="D4" s="35"/>
      <c r="E4" s="35"/>
      <c r="F4" s="35"/>
      <c r="G4" s="35"/>
      <c r="Q4" s="29"/>
      <c r="R4" s="29"/>
      <c r="S4" s="29"/>
      <c r="T4" s="29"/>
      <c r="U4" s="30"/>
      <c r="V4" s="30"/>
      <c r="W4" s="30"/>
      <c r="X4" s="30"/>
    </row>
    <row r="5" spans="1:24" x14ac:dyDescent="0.2">
      <c r="A5" s="10" t="s">
        <v>295</v>
      </c>
      <c r="B5" s="10"/>
      <c r="C5" s="10"/>
      <c r="D5" s="10"/>
      <c r="E5" s="10"/>
      <c r="F5" s="10"/>
      <c r="P5" t="s">
        <v>767</v>
      </c>
      <c r="Q5" s="22" t="s">
        <v>766</v>
      </c>
      <c r="R5" s="19" t="s">
        <v>765</v>
      </c>
      <c r="S5" s="26" t="s">
        <v>769</v>
      </c>
      <c r="T5" s="26"/>
      <c r="U5" s="20" t="s">
        <v>761</v>
      </c>
      <c r="V5" s="20" t="s">
        <v>764</v>
      </c>
      <c r="W5" s="21" t="s">
        <v>762</v>
      </c>
      <c r="X5" s="21" t="s">
        <v>763</v>
      </c>
    </row>
    <row r="6" spans="1:24" x14ac:dyDescent="0.2">
      <c r="A6" s="9"/>
      <c r="O6" t="s">
        <v>349</v>
      </c>
      <c r="P6" t="s">
        <v>757</v>
      </c>
      <c r="Q6" s="19">
        <v>80</v>
      </c>
      <c r="R6" s="19">
        <f>IF(V6&gt;7.25/3,X6,W6)</f>
        <v>6466</v>
      </c>
      <c r="S6" s="26">
        <f>2000*60*300/R6</f>
        <v>5567.584287039901</v>
      </c>
      <c r="T6" s="26"/>
      <c r="U6" s="20">
        <f>Q6</f>
        <v>80</v>
      </c>
      <c r="V6" s="20">
        <f>U6*60</f>
        <v>4800</v>
      </c>
      <c r="W6" s="20">
        <f>26+14472*U6+100</f>
        <v>1157886</v>
      </c>
      <c r="X6" s="20">
        <f>706+72*U6</f>
        <v>6466</v>
      </c>
    </row>
    <row r="7" spans="1:24" x14ac:dyDescent="0.2">
      <c r="O7" t="s">
        <v>349</v>
      </c>
      <c r="P7" t="s">
        <v>758</v>
      </c>
      <c r="Q7" s="46">
        <f>7.25/3</f>
        <v>2.4166666666666665</v>
      </c>
      <c r="R7" s="19">
        <f>IF(V7&gt;7.25/3,X7,W7)</f>
        <v>708.9</v>
      </c>
      <c r="S7" s="26">
        <f t="shared" ref="S7" si="0">2000*60*300/R7</f>
        <v>50782.903089293271</v>
      </c>
      <c r="T7" s="26"/>
      <c r="U7" s="20">
        <f>Q7/60</f>
        <v>4.0277777777777773E-2</v>
      </c>
      <c r="V7" s="20">
        <f>Q7</f>
        <v>2.4166666666666665</v>
      </c>
      <c r="W7" s="20">
        <f>26+14472*U7+100</f>
        <v>708.9</v>
      </c>
      <c r="X7" s="20">
        <f>706+72*U7</f>
        <v>708.9</v>
      </c>
    </row>
    <row r="8" spans="1:24" x14ac:dyDescent="0.2">
      <c r="O8" t="s">
        <v>759</v>
      </c>
      <c r="P8" t="s">
        <v>758</v>
      </c>
      <c r="Q8" s="19">
        <v>10</v>
      </c>
      <c r="R8" s="19">
        <f>IF(V8&gt;7.25/3,X8,W8)</f>
        <v>718</v>
      </c>
      <c r="S8" s="26">
        <f>2000*60*300/R8</f>
        <v>50139.275766016712</v>
      </c>
      <c r="T8" s="26"/>
      <c r="U8" s="20">
        <f>Q8/60</f>
        <v>0.16666666666666666</v>
      </c>
      <c r="V8" s="20">
        <f>Q8</f>
        <v>10</v>
      </c>
      <c r="W8" s="20">
        <f>26+14472*U8+100</f>
        <v>2538</v>
      </c>
      <c r="X8" s="20">
        <f>706+72*U8</f>
        <v>718</v>
      </c>
    </row>
    <row r="9" spans="1:24" x14ac:dyDescent="0.2">
      <c r="U9" s="19"/>
      <c r="V9" s="19"/>
      <c r="W9" s="19"/>
    </row>
    <row r="10" spans="1:24" x14ac:dyDescent="0.2">
      <c r="A10" s="27" t="s">
        <v>296</v>
      </c>
      <c r="B10" s="27"/>
      <c r="C10" s="11"/>
      <c r="D10" s="11"/>
      <c r="E10" s="11"/>
      <c r="F10" s="11"/>
      <c r="G10" s="11"/>
      <c r="H10" s="11"/>
      <c r="I10" s="11"/>
      <c r="J10" s="11"/>
      <c r="K10" s="11"/>
      <c r="U10" s="19"/>
      <c r="V10" s="19"/>
      <c r="W10" s="19"/>
    </row>
    <row r="11" spans="1:24" x14ac:dyDescent="0.2">
      <c r="A11" s="11"/>
      <c r="B11" s="27" t="s">
        <v>297</v>
      </c>
      <c r="C11" s="27"/>
      <c r="D11" s="27"/>
      <c r="E11" s="27"/>
      <c r="F11" s="27"/>
      <c r="G11" s="27"/>
      <c r="H11" s="27"/>
      <c r="I11" s="11"/>
      <c r="J11" s="11"/>
      <c r="K11" s="11"/>
    </row>
    <row r="12" spans="1:24" x14ac:dyDescent="0.2">
      <c r="A12" s="11"/>
      <c r="B12" s="27" t="s">
        <v>298</v>
      </c>
      <c r="C12" s="27"/>
      <c r="D12" s="27"/>
      <c r="E12" s="27"/>
      <c r="F12" s="11"/>
      <c r="G12" s="11"/>
      <c r="H12" s="11"/>
      <c r="I12" s="11"/>
      <c r="J12" s="11"/>
      <c r="K12" s="11"/>
    </row>
    <row r="13" spans="1:24" x14ac:dyDescent="0.2">
      <c r="A13" s="11"/>
      <c r="B13" s="11"/>
      <c r="C13" s="27" t="s">
        <v>299</v>
      </c>
      <c r="D13" s="27"/>
      <c r="E13" s="27"/>
      <c r="F13" s="27"/>
      <c r="G13" s="11"/>
      <c r="H13" s="11"/>
      <c r="I13" s="11"/>
      <c r="J13" s="11"/>
      <c r="K13" s="11"/>
    </row>
    <row r="14" spans="1:24" x14ac:dyDescent="0.2">
      <c r="A14" s="11"/>
      <c r="B14" s="27" t="s">
        <v>300</v>
      </c>
      <c r="C14" s="27"/>
      <c r="D14" s="11"/>
      <c r="E14" s="11"/>
      <c r="F14" s="11"/>
      <c r="G14" s="11"/>
      <c r="H14" s="11"/>
      <c r="I14" s="11"/>
      <c r="J14" s="11"/>
      <c r="K14" s="11"/>
    </row>
    <row r="15" spans="1:24" x14ac:dyDescent="0.2">
      <c r="A15" s="11"/>
      <c r="B15" s="11"/>
      <c r="C15" s="27" t="s">
        <v>301</v>
      </c>
      <c r="D15" s="27"/>
      <c r="E15" s="11"/>
      <c r="F15" s="11"/>
      <c r="G15" s="11"/>
      <c r="H15" s="11"/>
      <c r="I15" s="11"/>
      <c r="J15" s="11"/>
      <c r="K15" s="11"/>
    </row>
    <row r="16" spans="1:24" x14ac:dyDescent="0.2">
      <c r="A16" s="11"/>
      <c r="B16" s="27" t="s">
        <v>302</v>
      </c>
      <c r="C16" s="27"/>
      <c r="D16" s="27"/>
      <c r="E16" s="27"/>
      <c r="F16" s="27"/>
      <c r="G16" s="27"/>
      <c r="H16" s="11"/>
      <c r="I16" s="11"/>
      <c r="J16" s="11"/>
      <c r="K16" s="11"/>
    </row>
    <row r="17" spans="1:25" x14ac:dyDescent="0.2">
      <c r="A17" s="11"/>
      <c r="B17" s="27" t="s">
        <v>304</v>
      </c>
      <c r="C17" s="27"/>
      <c r="D17" s="27"/>
      <c r="E17" s="27"/>
      <c r="F17" s="27"/>
      <c r="G17" s="27"/>
      <c r="H17" s="27"/>
      <c r="I17" s="27"/>
      <c r="J17" s="27"/>
      <c r="K17" s="27"/>
      <c r="P17" s="27" t="s">
        <v>768</v>
      </c>
      <c r="Q17" s="27"/>
      <c r="R17" s="27"/>
      <c r="S17" s="27"/>
      <c r="T17" s="27"/>
      <c r="U17" s="27"/>
      <c r="V17" s="27"/>
      <c r="W17" s="27"/>
      <c r="X17" t="s">
        <v>541</v>
      </c>
      <c r="Y17" t="s">
        <v>543</v>
      </c>
    </row>
    <row r="18" spans="1:25" x14ac:dyDescent="0.2">
      <c r="A18" s="11"/>
      <c r="B18" s="11"/>
      <c r="C18" s="27" t="s">
        <v>303</v>
      </c>
      <c r="D18" s="27"/>
      <c r="E18" s="27"/>
      <c r="F18" s="27"/>
      <c r="G18" s="27"/>
      <c r="H18" s="27"/>
      <c r="I18" s="27"/>
      <c r="J18" s="27"/>
      <c r="K18" s="27"/>
      <c r="P18" t="s">
        <v>536</v>
      </c>
      <c r="Q18" s="29" t="s">
        <v>537</v>
      </c>
      <c r="R18" s="29"/>
      <c r="S18" s="29"/>
      <c r="T18" s="29"/>
      <c r="U18" s="29"/>
      <c r="V18" s="29"/>
      <c r="Y18" t="s">
        <v>542</v>
      </c>
    </row>
    <row r="19" spans="1:25" x14ac:dyDescent="0.2">
      <c r="A19" s="11"/>
      <c r="B19" s="27" t="s">
        <v>305</v>
      </c>
      <c r="C19" s="27"/>
      <c r="D19" s="27"/>
      <c r="E19" s="27"/>
      <c r="F19" s="11"/>
      <c r="G19" s="11"/>
      <c r="H19" s="11"/>
      <c r="I19" s="11"/>
      <c r="J19" s="11"/>
      <c r="K19" s="11"/>
      <c r="Q19" s="29"/>
      <c r="R19" s="29"/>
      <c r="S19" s="29"/>
      <c r="T19" s="29"/>
      <c r="U19" s="29"/>
      <c r="V19" s="29"/>
    </row>
    <row r="20" spans="1:25" x14ac:dyDescent="0.2">
      <c r="A20" s="27" t="s">
        <v>306</v>
      </c>
      <c r="B20" s="27"/>
      <c r="C20" s="27"/>
      <c r="D20" s="27"/>
      <c r="E20" s="27"/>
      <c r="F20" s="27"/>
      <c r="G20" s="11"/>
      <c r="H20" s="11"/>
      <c r="I20" s="11"/>
      <c r="J20" s="11"/>
      <c r="K20" s="11"/>
      <c r="P20" t="s">
        <v>572</v>
      </c>
      <c r="Q20" s="26" t="s">
        <v>539</v>
      </c>
      <c r="R20" s="26"/>
      <c r="S20" s="26" t="s">
        <v>538</v>
      </c>
      <c r="T20" s="26"/>
      <c r="U20" s="26" t="s">
        <v>540</v>
      </c>
      <c r="V20" s="26"/>
    </row>
    <row r="21" spans="1:25" x14ac:dyDescent="0.2">
      <c r="P21" t="s">
        <v>544</v>
      </c>
      <c r="Q21" s="26">
        <v>718</v>
      </c>
      <c r="R21" s="26"/>
      <c r="S21" s="26">
        <v>300</v>
      </c>
      <c r="T21" s="26"/>
      <c r="U21" s="26">
        <f>120000/(IF(Q21&lt;600,Q21,"600")/S21+12000*LN(12000/(12600-IF(Q21&lt;600,600,Q21)))/S21)</f>
        <v>50098.52722507275</v>
      </c>
      <c r="V21" s="26"/>
    </row>
    <row r="22" spans="1:25" x14ac:dyDescent="0.2">
      <c r="A22" s="27" t="s">
        <v>335</v>
      </c>
      <c r="B22" s="27"/>
      <c r="C22" s="27"/>
      <c r="D22" s="27"/>
      <c r="E22" s="27"/>
      <c r="F22" s="27"/>
      <c r="G22" s="27"/>
      <c r="H22" s="27"/>
      <c r="I22" s="27"/>
      <c r="J22" s="27"/>
      <c r="P22" t="s">
        <v>573</v>
      </c>
      <c r="Q22" s="26">
        <v>2146</v>
      </c>
      <c r="R22" s="26"/>
      <c r="S22" s="26">
        <v>300</v>
      </c>
      <c r="T22" s="26"/>
      <c r="U22" s="26">
        <f t="shared" ref="U22:U35" si="1">120000/(IF(Q22&lt;600,Q22,"600")/S22+12000*LN(12000/(12600-IF(Q22&lt;600,600,Q22)))/S22)</f>
        <v>15964.072790560967</v>
      </c>
      <c r="V22" s="26"/>
    </row>
    <row r="23" spans="1:25" x14ac:dyDescent="0.2">
      <c r="B23" s="27" t="s">
        <v>336</v>
      </c>
      <c r="C23" s="27"/>
      <c r="D23" s="27"/>
      <c r="E23" s="27"/>
      <c r="F23" s="27"/>
      <c r="Q23" s="26">
        <v>2146</v>
      </c>
      <c r="R23" s="26"/>
      <c r="S23" s="26">
        <v>300</v>
      </c>
      <c r="T23" s="26"/>
      <c r="U23" s="26">
        <f t="shared" si="1"/>
        <v>15964.072790560967</v>
      </c>
      <c r="V23" s="26"/>
    </row>
    <row r="24" spans="1:25" x14ac:dyDescent="0.2">
      <c r="C24" s="27" t="s">
        <v>339</v>
      </c>
      <c r="D24" s="27"/>
      <c r="E24" s="27"/>
      <c r="F24" s="27"/>
      <c r="G24" s="27"/>
      <c r="H24" s="27"/>
      <c r="I24" s="27"/>
      <c r="J24" s="27"/>
      <c r="Q24" s="26">
        <v>2146</v>
      </c>
      <c r="R24" s="26"/>
      <c r="S24" s="26">
        <v>300</v>
      </c>
      <c r="T24" s="26"/>
      <c r="U24" s="26">
        <f t="shared" si="1"/>
        <v>15964.072790560967</v>
      </c>
      <c r="V24" s="26"/>
    </row>
    <row r="25" spans="1:25" x14ac:dyDescent="0.2">
      <c r="D25" s="27" t="s">
        <v>337</v>
      </c>
      <c r="E25" s="27"/>
      <c r="F25" s="27"/>
      <c r="Q25" s="26">
        <v>2146</v>
      </c>
      <c r="R25" s="26"/>
      <c r="S25" s="26">
        <v>300</v>
      </c>
      <c r="T25" s="26"/>
      <c r="U25" s="26">
        <f t="shared" si="1"/>
        <v>15964.072790560967</v>
      </c>
      <c r="V25" s="26"/>
    </row>
    <row r="26" spans="1:25" x14ac:dyDescent="0.2">
      <c r="B26" s="11" t="s">
        <v>338</v>
      </c>
      <c r="C26" s="11"/>
      <c r="D26" s="11"/>
      <c r="E26" s="11"/>
      <c r="F26" s="11"/>
      <c r="G26" s="11"/>
      <c r="H26" s="11"/>
      <c r="I26" s="11"/>
      <c r="J26" s="11"/>
      <c r="K26" s="11"/>
      <c r="L26" s="11"/>
      <c r="Q26" s="26">
        <v>2146</v>
      </c>
      <c r="R26" s="26"/>
      <c r="S26" s="26">
        <v>300</v>
      </c>
      <c r="T26" s="26"/>
      <c r="U26" s="26">
        <f t="shared" si="1"/>
        <v>15964.072790560967</v>
      </c>
      <c r="V26" s="26"/>
    </row>
    <row r="27" spans="1:25" x14ac:dyDescent="0.2">
      <c r="B27" t="s">
        <v>625</v>
      </c>
      <c r="Q27" s="26">
        <v>2146</v>
      </c>
      <c r="R27" s="26"/>
      <c r="S27" s="26">
        <v>300</v>
      </c>
      <c r="T27" s="26"/>
      <c r="U27" s="26">
        <f t="shared" si="1"/>
        <v>15964.072790560967</v>
      </c>
      <c r="V27" s="26"/>
    </row>
    <row r="28" spans="1:25" x14ac:dyDescent="0.2">
      <c r="B28" s="31" t="s">
        <v>622</v>
      </c>
      <c r="C28" s="32"/>
      <c r="Q28" s="26">
        <v>2146</v>
      </c>
      <c r="R28" s="26"/>
      <c r="S28" s="26">
        <v>300</v>
      </c>
      <c r="T28" s="26"/>
      <c r="U28" s="26">
        <f t="shared" si="1"/>
        <v>15964.072790560967</v>
      </c>
      <c r="V28" s="26"/>
    </row>
    <row r="29" spans="1:25" x14ac:dyDescent="0.2">
      <c r="B29" t="s">
        <v>623</v>
      </c>
      <c r="C29" t="s">
        <v>624</v>
      </c>
      <c r="Q29" s="26">
        <v>2146</v>
      </c>
      <c r="R29" s="26"/>
      <c r="S29" s="26">
        <v>300</v>
      </c>
      <c r="T29" s="26"/>
      <c r="U29" s="26">
        <f t="shared" si="1"/>
        <v>15964.072790560967</v>
      </c>
      <c r="V29" s="26"/>
    </row>
    <row r="30" spans="1:25" x14ac:dyDescent="0.2">
      <c r="B30">
        <f>180</f>
        <v>180</v>
      </c>
      <c r="C30">
        <f>B30/180*PI()*9+0.8</f>
        <v>29.074333882308139</v>
      </c>
      <c r="Q30" s="26">
        <v>2146</v>
      </c>
      <c r="R30" s="26"/>
      <c r="S30" s="26">
        <v>300</v>
      </c>
      <c r="T30" s="26"/>
      <c r="U30" s="26">
        <f t="shared" si="1"/>
        <v>15964.072790560967</v>
      </c>
      <c r="V30" s="26"/>
    </row>
    <row r="31" spans="1:25" x14ac:dyDescent="0.2">
      <c r="Q31" s="26">
        <v>2146</v>
      </c>
      <c r="R31" s="26"/>
      <c r="S31" s="26">
        <v>300</v>
      </c>
      <c r="T31" s="26"/>
      <c r="U31" s="26">
        <f t="shared" si="1"/>
        <v>15964.072790560967</v>
      </c>
      <c r="V31" s="26"/>
    </row>
    <row r="32" spans="1:25" x14ac:dyDescent="0.2">
      <c r="Q32" s="26">
        <v>2146</v>
      </c>
      <c r="R32" s="26"/>
      <c r="S32" s="26">
        <v>300</v>
      </c>
      <c r="T32" s="26"/>
      <c r="U32" s="26">
        <f t="shared" si="1"/>
        <v>15964.072790560967</v>
      </c>
      <c r="V32" s="26"/>
    </row>
    <row r="33" spans="1:22" x14ac:dyDescent="0.2">
      <c r="Q33" s="26">
        <v>2146</v>
      </c>
      <c r="R33" s="26"/>
      <c r="S33" s="26">
        <v>300</v>
      </c>
      <c r="T33" s="26"/>
      <c r="U33" s="26">
        <f t="shared" si="1"/>
        <v>15964.072790560967</v>
      </c>
      <c r="V33" s="26"/>
    </row>
    <row r="34" spans="1:22" ht="14.25" customHeight="1" x14ac:dyDescent="0.2">
      <c r="A34" s="33" t="s">
        <v>545</v>
      </c>
      <c r="B34" s="33"/>
      <c r="C34" s="33"/>
      <c r="D34" s="33"/>
      <c r="E34" s="33"/>
      <c r="F34" s="33"/>
      <c r="G34" s="33"/>
      <c r="Q34" s="26">
        <v>2146</v>
      </c>
      <c r="R34" s="26"/>
      <c r="S34" s="26">
        <v>300</v>
      </c>
      <c r="T34" s="26"/>
      <c r="U34" s="26">
        <f t="shared" si="1"/>
        <v>15964.072790560967</v>
      </c>
      <c r="V34" s="26"/>
    </row>
    <row r="35" spans="1:22" ht="14.25" customHeight="1" x14ac:dyDescent="0.2">
      <c r="A35" s="33"/>
      <c r="B35" s="33"/>
      <c r="C35" s="33"/>
      <c r="D35" s="33"/>
      <c r="E35" s="33"/>
      <c r="F35" s="33"/>
      <c r="G35" s="33"/>
      <c r="Q35" s="26">
        <v>2146</v>
      </c>
      <c r="R35" s="26"/>
      <c r="S35" s="26">
        <v>300</v>
      </c>
      <c r="T35" s="26"/>
      <c r="U35" s="26">
        <f t="shared" si="1"/>
        <v>15964.072790560967</v>
      </c>
      <c r="V35" s="26"/>
    </row>
    <row r="36" spans="1:22" x14ac:dyDescent="0.2">
      <c r="A36" t="s">
        <v>546</v>
      </c>
      <c r="B36" t="s">
        <v>547</v>
      </c>
      <c r="C36" s="26" t="s">
        <v>538</v>
      </c>
      <c r="D36" s="26"/>
      <c r="E36" s="26" t="s">
        <v>540</v>
      </c>
      <c r="F36" s="26"/>
      <c r="G36" t="s">
        <v>621</v>
      </c>
    </row>
    <row r="37" spans="1:22" x14ac:dyDescent="0.2">
      <c r="A37">
        <v>1</v>
      </c>
      <c r="B37">
        <f>706+72*A37</f>
        <v>778</v>
      </c>
      <c r="C37" s="26">
        <v>300</v>
      </c>
      <c r="D37" s="26"/>
      <c r="E37" s="26">
        <f>120000/(IF(B37&lt;600,B37,"600")/C37+12000*LN(12000/(12600-IF(B37&lt;600,600,B37)))/C37)</f>
        <v>46193.325538326266</v>
      </c>
      <c r="F37" s="26"/>
      <c r="G37">
        <f t="shared" ref="G37:G45" si="2">E37/2000*B37/60</f>
        <v>299.48672724014864</v>
      </c>
    </row>
    <row r="38" spans="1:22" x14ac:dyDescent="0.2">
      <c r="A38">
        <v>2</v>
      </c>
      <c r="B38">
        <f t="shared" ref="B38:B101" si="3">706+72*A38</f>
        <v>850</v>
      </c>
      <c r="C38" s="26">
        <v>300</v>
      </c>
      <c r="D38" s="26"/>
      <c r="E38" s="26">
        <f t="shared" ref="E38:E101" si="4">120000/(IF(B38&lt;600,B38,"600")/C38+12000*LN(12000/(12600-IF(B38&lt;600,600,B38)))/C38)</f>
        <v>42221.760136057281</v>
      </c>
      <c r="F38" s="26"/>
      <c r="G38">
        <f t="shared" si="2"/>
        <v>299.07080096373909</v>
      </c>
    </row>
    <row r="39" spans="1:22" x14ac:dyDescent="0.2">
      <c r="A39">
        <v>3</v>
      </c>
      <c r="B39">
        <f t="shared" si="3"/>
        <v>922</v>
      </c>
      <c r="C39" s="26">
        <v>300</v>
      </c>
      <c r="D39" s="26"/>
      <c r="E39" s="26">
        <f t="shared" si="4"/>
        <v>38860.143933442108</v>
      </c>
      <c r="F39" s="26"/>
      <c r="G39">
        <f t="shared" si="2"/>
        <v>298.57543922194691</v>
      </c>
    </row>
    <row r="40" spans="1:22" x14ac:dyDescent="0.2">
      <c r="A40">
        <v>4</v>
      </c>
      <c r="B40">
        <f t="shared" si="3"/>
        <v>994</v>
      </c>
      <c r="C40" s="26">
        <v>300</v>
      </c>
      <c r="D40" s="26"/>
      <c r="E40" s="26">
        <f t="shared" si="4"/>
        <v>35977.933717413958</v>
      </c>
      <c r="F40" s="26"/>
      <c r="G40">
        <f t="shared" si="2"/>
        <v>298.01721762591228</v>
      </c>
    </row>
    <row r="41" spans="1:22" x14ac:dyDescent="0.2">
      <c r="A41">
        <v>5</v>
      </c>
      <c r="B41">
        <f t="shared" si="3"/>
        <v>1066</v>
      </c>
      <c r="C41" s="26">
        <v>300</v>
      </c>
      <c r="D41" s="26"/>
      <c r="E41" s="26">
        <f t="shared" si="4"/>
        <v>33479.357421394525</v>
      </c>
      <c r="F41" s="26"/>
      <c r="G41">
        <f t="shared" si="2"/>
        <v>297.40829176005468</v>
      </c>
    </row>
    <row r="42" spans="1:22" x14ac:dyDescent="0.2">
      <c r="A42">
        <v>6</v>
      </c>
      <c r="B42">
        <f t="shared" si="3"/>
        <v>1138</v>
      </c>
      <c r="C42" s="26">
        <v>300</v>
      </c>
      <c r="D42" s="26"/>
      <c r="E42" s="26">
        <f t="shared" si="4"/>
        <v>31292.559948646718</v>
      </c>
      <c r="F42" s="26"/>
      <c r="G42">
        <f t="shared" si="2"/>
        <v>296.75777684633306</v>
      </c>
    </row>
    <row r="43" spans="1:22" x14ac:dyDescent="0.2">
      <c r="A43">
        <v>7</v>
      </c>
      <c r="B43">
        <f t="shared" si="3"/>
        <v>1210</v>
      </c>
      <c r="C43" s="26">
        <v>300</v>
      </c>
      <c r="D43" s="26"/>
      <c r="E43" s="26">
        <f t="shared" si="4"/>
        <v>29362.575963356467</v>
      </c>
      <c r="F43" s="26"/>
      <c r="G43">
        <f t="shared" si="2"/>
        <v>296.07264096384438</v>
      </c>
    </row>
    <row r="44" spans="1:22" x14ac:dyDescent="0.2">
      <c r="A44">
        <v>8</v>
      </c>
      <c r="B44">
        <f t="shared" si="3"/>
        <v>1282</v>
      </c>
      <c r="C44" s="26">
        <v>300</v>
      </c>
      <c r="D44" s="26"/>
      <c r="E44" s="26">
        <f t="shared" si="4"/>
        <v>27646.642821890655</v>
      </c>
      <c r="F44" s="26"/>
      <c r="G44">
        <f t="shared" si="2"/>
        <v>295.35830081386513</v>
      </c>
    </row>
    <row r="45" spans="1:22" x14ac:dyDescent="0.2">
      <c r="A45">
        <v>9</v>
      </c>
      <c r="B45">
        <f t="shared" si="3"/>
        <v>1354</v>
      </c>
      <c r="C45" s="26">
        <v>300</v>
      </c>
      <c r="D45" s="26"/>
      <c r="E45" s="26">
        <f t="shared" si="4"/>
        <v>26110.992276380268</v>
      </c>
      <c r="F45" s="26"/>
      <c r="G45">
        <f t="shared" si="2"/>
        <v>294.61902951849072</v>
      </c>
    </row>
    <row r="46" spans="1:22" x14ac:dyDescent="0.2">
      <c r="A46">
        <v>10</v>
      </c>
      <c r="B46">
        <f t="shared" si="3"/>
        <v>1426</v>
      </c>
      <c r="C46" s="26">
        <v>300</v>
      </c>
      <c r="D46" s="26"/>
      <c r="E46" s="26">
        <f t="shared" si="4"/>
        <v>24728.603830336691</v>
      </c>
      <c r="F46" s="26"/>
      <c r="G46">
        <f>E46/2000*B46/60</f>
        <v>293.85824218383436</v>
      </c>
      <c r="M46" s="27" t="s">
        <v>718</v>
      </c>
      <c r="N46" s="27"/>
      <c r="O46" t="s">
        <v>717</v>
      </c>
      <c r="P46" t="s">
        <v>720</v>
      </c>
    </row>
    <row r="47" spans="1:22" x14ac:dyDescent="0.2">
      <c r="A47">
        <v>11</v>
      </c>
      <c r="B47">
        <f t="shared" si="3"/>
        <v>1498</v>
      </c>
      <c r="C47" s="26">
        <v>300</v>
      </c>
      <c r="D47" s="26"/>
      <c r="E47" s="26">
        <f t="shared" si="4"/>
        <v>23477.5994610774</v>
      </c>
      <c r="F47" s="26"/>
      <c r="G47">
        <f t="shared" ref="G47:G110" si="5">E47/2000*B47/60</f>
        <v>293.07869993911623</v>
      </c>
      <c r="M47" t="s">
        <v>697</v>
      </c>
      <c r="N47">
        <v>167731.20000000001</v>
      </c>
      <c r="O47">
        <v>10</v>
      </c>
      <c r="P47">
        <f>N47*(706+72*O47)/120000000</f>
        <v>1.9932057600000002</v>
      </c>
    </row>
    <row r="48" spans="1:22" x14ac:dyDescent="0.2">
      <c r="A48">
        <v>12</v>
      </c>
      <c r="B48">
        <f t="shared" si="3"/>
        <v>1570</v>
      </c>
      <c r="C48" s="26">
        <v>300</v>
      </c>
      <c r="D48" s="26"/>
      <c r="E48" s="26">
        <f t="shared" si="4"/>
        <v>22340.075799023467</v>
      </c>
      <c r="F48" s="26"/>
      <c r="G48">
        <f t="shared" si="5"/>
        <v>292.28265837055704</v>
      </c>
      <c r="M48" s="11" t="s">
        <v>698</v>
      </c>
      <c r="N48">
        <v>214732.79999999999</v>
      </c>
      <c r="O48">
        <v>10</v>
      </c>
      <c r="P48">
        <f t="shared" ref="P48:P66" si="6">N48*(706+72*O48)/120000000</f>
        <v>2.5517414400000002</v>
      </c>
    </row>
    <row r="49" spans="1:16" x14ac:dyDescent="0.2">
      <c r="A49">
        <v>13</v>
      </c>
      <c r="B49">
        <f t="shared" si="3"/>
        <v>1642</v>
      </c>
      <c r="C49" s="26">
        <v>300</v>
      </c>
      <c r="D49" s="26"/>
      <c r="E49" s="26">
        <f t="shared" si="4"/>
        <v>21301.240725495354</v>
      </c>
      <c r="F49" s="26"/>
      <c r="G49">
        <f t="shared" si="5"/>
        <v>291.47197726052815</v>
      </c>
      <c r="M49" t="s">
        <v>699</v>
      </c>
      <c r="N49">
        <v>412876.79999999999</v>
      </c>
      <c r="O49">
        <v>10</v>
      </c>
      <c r="P49">
        <f t="shared" si="6"/>
        <v>4.9063526399999997</v>
      </c>
    </row>
    <row r="50" spans="1:16" x14ac:dyDescent="0.2">
      <c r="A50">
        <v>14</v>
      </c>
      <c r="B50">
        <f t="shared" si="3"/>
        <v>1714</v>
      </c>
      <c r="C50" s="26">
        <v>300</v>
      </c>
      <c r="D50" s="26"/>
      <c r="E50" s="26">
        <f t="shared" si="4"/>
        <v>20348.765664620769</v>
      </c>
      <c r="F50" s="26"/>
      <c r="G50">
        <f t="shared" si="5"/>
        <v>290.64820290966662</v>
      </c>
      <c r="M50" t="s">
        <v>700</v>
      </c>
      <c r="N50">
        <v>211968</v>
      </c>
      <c r="O50">
        <v>10</v>
      </c>
      <c r="P50">
        <f t="shared" si="6"/>
        <v>2.5188864</v>
      </c>
    </row>
    <row r="51" spans="1:16" x14ac:dyDescent="0.2">
      <c r="A51">
        <v>15</v>
      </c>
      <c r="B51">
        <f t="shared" si="3"/>
        <v>1786</v>
      </c>
      <c r="C51" s="26">
        <v>300</v>
      </c>
      <c r="D51" s="26"/>
      <c r="E51" s="26">
        <f t="shared" si="4"/>
        <v>19472.293217020662</v>
      </c>
      <c r="F51" s="26"/>
      <c r="G51">
        <f t="shared" si="5"/>
        <v>289.81263071332421</v>
      </c>
      <c r="M51" t="s">
        <v>701</v>
      </c>
      <c r="N51">
        <v>152064</v>
      </c>
      <c r="O51">
        <v>10</v>
      </c>
      <c r="P51">
        <f t="shared" si="6"/>
        <v>1.8070272000000001</v>
      </c>
    </row>
    <row r="52" spans="1:16" x14ac:dyDescent="0.2">
      <c r="A52">
        <v>16</v>
      </c>
      <c r="B52">
        <f t="shared" si="3"/>
        <v>1858</v>
      </c>
      <c r="C52" s="26">
        <v>300</v>
      </c>
      <c r="D52" s="26"/>
      <c r="E52" s="26">
        <f t="shared" si="4"/>
        <v>18663.058340463896</v>
      </c>
      <c r="F52" s="26"/>
      <c r="G52">
        <f t="shared" si="5"/>
        <v>288.96635330484935</v>
      </c>
      <c r="M52" t="s">
        <v>702</v>
      </c>
      <c r="N52">
        <v>36864</v>
      </c>
      <c r="O52">
        <v>10</v>
      </c>
      <c r="P52">
        <f t="shared" si="6"/>
        <v>0.43806719999999999</v>
      </c>
    </row>
    <row r="53" spans="1:16" x14ac:dyDescent="0.2">
      <c r="A53">
        <v>17</v>
      </c>
      <c r="B53">
        <f t="shared" si="3"/>
        <v>1930</v>
      </c>
      <c r="C53" s="26">
        <v>300</v>
      </c>
      <c r="D53" s="26"/>
      <c r="E53" s="26">
        <f t="shared" si="4"/>
        <v>17913.593658351932</v>
      </c>
      <c r="F53" s="26"/>
      <c r="G53">
        <f t="shared" si="5"/>
        <v>288.11029800516025</v>
      </c>
      <c r="M53" t="s">
        <v>703</v>
      </c>
      <c r="N53">
        <v>36864</v>
      </c>
      <c r="O53">
        <v>10</v>
      </c>
      <c r="P53">
        <f t="shared" si="6"/>
        <v>0.43806719999999999</v>
      </c>
    </row>
    <row r="54" spans="1:16" x14ac:dyDescent="0.2">
      <c r="A54">
        <v>18</v>
      </c>
      <c r="B54">
        <f t="shared" si="3"/>
        <v>2002</v>
      </c>
      <c r="C54" s="26">
        <v>300</v>
      </c>
      <c r="D54" s="26"/>
      <c r="E54" s="26">
        <f t="shared" si="4"/>
        <v>17217.497877140762</v>
      </c>
      <c r="F54" s="26"/>
      <c r="G54">
        <f t="shared" si="5"/>
        <v>287.24525625029838</v>
      </c>
      <c r="M54" t="s">
        <v>704</v>
      </c>
      <c r="N54">
        <v>28800</v>
      </c>
      <c r="O54">
        <v>10</v>
      </c>
      <c r="P54">
        <f t="shared" si="6"/>
        <v>0.34223999999999999</v>
      </c>
    </row>
    <row r="55" spans="1:16" x14ac:dyDescent="0.2">
      <c r="A55">
        <v>19</v>
      </c>
      <c r="B55">
        <f t="shared" si="3"/>
        <v>2074</v>
      </c>
      <c r="C55" s="26">
        <v>300</v>
      </c>
      <c r="D55" s="26"/>
      <c r="E55" s="26">
        <f t="shared" si="4"/>
        <v>16569.252088644687</v>
      </c>
      <c r="F55" s="26"/>
      <c r="G55">
        <f t="shared" si="5"/>
        <v>286.37190693207572</v>
      </c>
      <c r="M55" t="s">
        <v>705</v>
      </c>
      <c r="N55">
        <v>147456</v>
      </c>
      <c r="O55">
        <v>10</v>
      </c>
      <c r="P55">
        <f t="shared" si="6"/>
        <v>1.7522688</v>
      </c>
    </row>
    <row r="56" spans="1:16" x14ac:dyDescent="0.2">
      <c r="A56">
        <v>20</v>
      </c>
      <c r="B56">
        <f t="shared" si="3"/>
        <v>2146</v>
      </c>
      <c r="C56" s="26">
        <v>300</v>
      </c>
      <c r="D56" s="26"/>
      <c r="E56" s="26">
        <f t="shared" si="4"/>
        <v>15964.072790560967</v>
      </c>
      <c r="F56" s="26"/>
      <c r="G56">
        <f t="shared" si="5"/>
        <v>285.4908350711986</v>
      </c>
      <c r="M56" t="s">
        <v>706</v>
      </c>
      <c r="N56">
        <v>184320</v>
      </c>
      <c r="O56">
        <v>10</v>
      </c>
      <c r="P56">
        <f t="shared" si="6"/>
        <v>2.1903359999999998</v>
      </c>
    </row>
    <row r="57" spans="1:16" x14ac:dyDescent="0.2">
      <c r="A57">
        <v>21</v>
      </c>
      <c r="B57">
        <f t="shared" si="3"/>
        <v>2218</v>
      </c>
      <c r="C57" s="26">
        <v>300</v>
      </c>
      <c r="D57" s="26"/>
      <c r="E57" s="26">
        <f t="shared" si="4"/>
        <v>15397.793338655973</v>
      </c>
      <c r="F57" s="26"/>
      <c r="G57">
        <f t="shared" si="5"/>
        <v>284.60254687615793</v>
      </c>
      <c r="M57" t="s">
        <v>707</v>
      </c>
      <c r="N57">
        <v>213120</v>
      </c>
      <c r="O57">
        <v>10</v>
      </c>
      <c r="P57">
        <f t="shared" si="6"/>
        <v>2.5325760000000002</v>
      </c>
    </row>
    <row r="58" spans="1:16" x14ac:dyDescent="0.2">
      <c r="A58">
        <v>22</v>
      </c>
      <c r="B58">
        <f t="shared" si="3"/>
        <v>2290</v>
      </c>
      <c r="C58" s="26">
        <v>300</v>
      </c>
      <c r="D58" s="26"/>
      <c r="E58" s="26">
        <f t="shared" si="4"/>
        <v>14866.767614567138</v>
      </c>
      <c r="F58" s="26"/>
      <c r="G58">
        <f t="shared" si="5"/>
        <v>283.70748197798952</v>
      </c>
      <c r="M58" t="s">
        <v>708</v>
      </c>
      <c r="N58">
        <v>92160</v>
      </c>
      <c r="O58">
        <v>10</v>
      </c>
      <c r="P58">
        <f t="shared" si="6"/>
        <v>1.0951679999999999</v>
      </c>
    </row>
    <row r="59" spans="1:16" x14ac:dyDescent="0.2">
      <c r="A59">
        <v>23</v>
      </c>
      <c r="B59">
        <f t="shared" si="3"/>
        <v>2362</v>
      </c>
      <c r="C59" s="26">
        <v>300</v>
      </c>
      <c r="D59" s="26"/>
      <c r="E59" s="26">
        <f t="shared" si="4"/>
        <v>14367.791199301013</v>
      </c>
      <c r="F59" s="26"/>
      <c r="G59">
        <f t="shared" si="5"/>
        <v>282.80602343957497</v>
      </c>
      <c r="M59" t="s">
        <v>709</v>
      </c>
      <c r="N59">
        <v>29952</v>
      </c>
      <c r="O59">
        <v>10</v>
      </c>
      <c r="P59">
        <f t="shared" si="6"/>
        <v>0.35592960000000001</v>
      </c>
    </row>
    <row r="60" spans="1:16" x14ac:dyDescent="0.2">
      <c r="A60">
        <v>24</v>
      </c>
      <c r="B60">
        <f t="shared" si="3"/>
        <v>2434</v>
      </c>
      <c r="C60" s="26">
        <v>300</v>
      </c>
      <c r="D60" s="26"/>
      <c r="E60" s="26">
        <f t="shared" si="4"/>
        <v>13898.036450156917</v>
      </c>
      <c r="F60" s="26"/>
      <c r="G60">
        <f t="shared" si="5"/>
        <v>281.89850599734945</v>
      </c>
      <c r="M60" t="s">
        <v>710</v>
      </c>
      <c r="N60">
        <v>23040</v>
      </c>
      <c r="O60">
        <v>10</v>
      </c>
      <c r="P60">
        <f t="shared" si="6"/>
        <v>0.27379199999999998</v>
      </c>
    </row>
    <row r="61" spans="1:16" x14ac:dyDescent="0.2">
      <c r="A61">
        <v>25</v>
      </c>
      <c r="B61">
        <f t="shared" si="3"/>
        <v>2506</v>
      </c>
      <c r="C61" s="26">
        <v>300</v>
      </c>
      <c r="D61" s="26"/>
      <c r="E61" s="26">
        <f t="shared" si="4"/>
        <v>13454.998701772458</v>
      </c>
      <c r="F61" s="26"/>
      <c r="G61">
        <f t="shared" si="5"/>
        <v>280.98522288868151</v>
      </c>
      <c r="M61" t="s">
        <v>711</v>
      </c>
      <c r="N61">
        <v>110592</v>
      </c>
      <c r="O61">
        <v>10</v>
      </c>
      <c r="P61">
        <f t="shared" si="6"/>
        <v>1.3142016000000001</v>
      </c>
    </row>
    <row r="62" spans="1:16" x14ac:dyDescent="0.2">
      <c r="A62">
        <v>26</v>
      </c>
      <c r="B62">
        <f t="shared" si="3"/>
        <v>2578</v>
      </c>
      <c r="C62" s="26">
        <v>300</v>
      </c>
      <c r="D62" s="26"/>
      <c r="E62" s="26">
        <f t="shared" si="4"/>
        <v>13036.451429311945</v>
      </c>
      <c r="F62" s="26"/>
      <c r="G62">
        <f t="shared" si="5"/>
        <v>280.06643153971822</v>
      </c>
      <c r="M62" t="s">
        <v>712</v>
      </c>
      <c r="N62">
        <v>18432</v>
      </c>
      <c r="O62">
        <v>10</v>
      </c>
      <c r="P62">
        <f t="shared" si="6"/>
        <v>0.21903359999999999</v>
      </c>
    </row>
    <row r="63" spans="1:16" x14ac:dyDescent="0.2">
      <c r="A63">
        <v>27</v>
      </c>
      <c r="B63">
        <f t="shared" si="3"/>
        <v>2650</v>
      </c>
      <c r="C63" s="26">
        <v>300</v>
      </c>
      <c r="D63" s="26"/>
      <c r="E63" s="26">
        <f t="shared" si="4"/>
        <v>12640.40867905362</v>
      </c>
      <c r="F63" s="26"/>
      <c r="G63">
        <f t="shared" si="5"/>
        <v>279.14235832910077</v>
      </c>
      <c r="M63" t="s">
        <v>713</v>
      </c>
      <c r="N63">
        <v>73728</v>
      </c>
      <c r="O63">
        <v>10</v>
      </c>
      <c r="P63">
        <f t="shared" si="6"/>
        <v>0.87613439999999998</v>
      </c>
    </row>
    <row r="64" spans="1:16" x14ac:dyDescent="0.2">
      <c r="A64">
        <v>28</v>
      </c>
      <c r="B64">
        <f t="shared" si="3"/>
        <v>2722</v>
      </c>
      <c r="C64" s="26">
        <v>300</v>
      </c>
      <c r="D64" s="26"/>
      <c r="E64" s="26">
        <f t="shared" si="4"/>
        <v>12265.093428256609</v>
      </c>
      <c r="F64" s="26"/>
      <c r="G64">
        <f t="shared" si="5"/>
        <v>278.21320259762075</v>
      </c>
      <c r="M64" t="s">
        <v>714</v>
      </c>
      <c r="N64">
        <v>36864</v>
      </c>
      <c r="O64">
        <v>10</v>
      </c>
      <c r="P64">
        <f t="shared" si="6"/>
        <v>0.43806719999999999</v>
      </c>
    </row>
    <row r="65" spans="1:16" x14ac:dyDescent="0.2">
      <c r="A65">
        <v>29</v>
      </c>
      <c r="B65">
        <f t="shared" si="3"/>
        <v>2794</v>
      </c>
      <c r="C65" s="26">
        <v>300</v>
      </c>
      <c r="D65" s="26"/>
      <c r="E65" s="26">
        <f t="shared" si="4"/>
        <v>11908.910810552026</v>
      </c>
      <c r="F65" s="26"/>
      <c r="G65">
        <f t="shared" si="5"/>
        <v>277.27914003901969</v>
      </c>
      <c r="M65" t="s">
        <v>715</v>
      </c>
      <c r="N65">
        <v>53393.65</v>
      </c>
      <c r="O65">
        <v>10</v>
      </c>
      <c r="P65">
        <f t="shared" si="6"/>
        <v>0.63449454083333334</v>
      </c>
    </row>
    <row r="66" spans="1:16" x14ac:dyDescent="0.2">
      <c r="A66">
        <v>30</v>
      </c>
      <c r="B66">
        <f t="shared" si="3"/>
        <v>2866</v>
      </c>
      <c r="C66" s="26">
        <v>300</v>
      </c>
      <c r="D66" s="26"/>
      <c r="E66" s="26">
        <f t="shared" si="4"/>
        <v>11570.42535576101</v>
      </c>
      <c r="F66" s="26"/>
      <c r="G66">
        <f t="shared" si="5"/>
        <v>276.34032558009216</v>
      </c>
      <c r="M66" t="s">
        <v>719</v>
      </c>
      <c r="N66">
        <v>3300</v>
      </c>
      <c r="O66">
        <v>10</v>
      </c>
      <c r="P66">
        <f t="shared" si="6"/>
        <v>3.9215E-2</v>
      </c>
    </row>
    <row r="67" spans="1:16" x14ac:dyDescent="0.2">
      <c r="A67">
        <v>31</v>
      </c>
      <c r="B67">
        <f t="shared" si="3"/>
        <v>2938</v>
      </c>
      <c r="C67" s="26">
        <v>300</v>
      </c>
      <c r="D67" s="26"/>
      <c r="E67" s="26">
        <f t="shared" si="4"/>
        <v>11248.341559039951</v>
      </c>
      <c r="F67" s="26"/>
      <c r="G67">
        <f t="shared" si="5"/>
        <v>275.39689583716148</v>
      </c>
      <c r="M67" t="s">
        <v>716</v>
      </c>
      <c r="N67">
        <f>SUM(N47:N66)</f>
        <v>2248258.4499999997</v>
      </c>
      <c r="P67">
        <f t="shared" ref="P67" si="7">SUM(P47:P66)</f>
        <v>26.716804580833333</v>
      </c>
    </row>
    <row r="68" spans="1:16" x14ac:dyDescent="0.2">
      <c r="A68">
        <v>32</v>
      </c>
      <c r="B68">
        <f t="shared" si="3"/>
        <v>3010</v>
      </c>
      <c r="C68" s="26">
        <v>300</v>
      </c>
      <c r="D68" s="26"/>
      <c r="E68" s="26">
        <f t="shared" si="4"/>
        <v>10941.487224694103</v>
      </c>
      <c r="F68" s="26"/>
      <c r="G68">
        <f t="shared" si="5"/>
        <v>274.44897121941045</v>
      </c>
    </row>
    <row r="69" spans="1:16" x14ac:dyDescent="0.2">
      <c r="A69">
        <v>33</v>
      </c>
      <c r="B69">
        <f t="shared" si="3"/>
        <v>3082</v>
      </c>
      <c r="C69" s="26">
        <v>300</v>
      </c>
      <c r="D69" s="26"/>
      <c r="E69" s="26">
        <f t="shared" si="4"/>
        <v>10648.799133151502</v>
      </c>
      <c r="F69" s="26"/>
      <c r="G69">
        <f t="shared" si="5"/>
        <v>273.49665773644108</v>
      </c>
    </row>
    <row r="70" spans="1:16" x14ac:dyDescent="0.2">
      <c r="A70">
        <v>34</v>
      </c>
      <c r="B70">
        <f t="shared" si="3"/>
        <v>3154</v>
      </c>
      <c r="C70" s="26">
        <v>300</v>
      </c>
      <c r="D70" s="26"/>
      <c r="E70" s="26">
        <f t="shared" si="4"/>
        <v>10369.310661648704</v>
      </c>
      <c r="F70" s="26"/>
      <c r="G70">
        <f t="shared" si="5"/>
        <v>272.54004855700009</v>
      </c>
    </row>
    <row r="71" spans="1:16" x14ac:dyDescent="0.2">
      <c r="A71">
        <v>35</v>
      </c>
      <c r="B71">
        <f t="shared" si="3"/>
        <v>3226</v>
      </c>
      <c r="C71" s="26">
        <v>300</v>
      </c>
      <c r="D71" s="26"/>
      <c r="E71" s="26">
        <f t="shared" si="4"/>
        <v>10102.14105483451</v>
      </c>
      <c r="F71" s="26"/>
      <c r="G71">
        <f t="shared" si="5"/>
        <v>271.57922535746775</v>
      </c>
    </row>
    <row r="72" spans="1:16" x14ac:dyDescent="0.2">
      <c r="A72">
        <v>36</v>
      </c>
      <c r="B72">
        <f t="shared" si="3"/>
        <v>3298</v>
      </c>
      <c r="C72" s="26">
        <v>300</v>
      </c>
      <c r="D72" s="26"/>
      <c r="E72" s="26">
        <f t="shared" si="4"/>
        <v>9846.4860943112235</v>
      </c>
      <c r="F72" s="26"/>
      <c r="G72">
        <f t="shared" si="5"/>
        <v>270.61425949198679</v>
      </c>
    </row>
    <row r="73" spans="1:16" x14ac:dyDescent="0.2">
      <c r="A73">
        <v>37</v>
      </c>
      <c r="B73">
        <f t="shared" si="3"/>
        <v>3370</v>
      </c>
      <c r="C73" s="26">
        <v>300</v>
      </c>
      <c r="D73" s="26"/>
      <c r="E73" s="26">
        <f t="shared" si="4"/>
        <v>9601.6099588374182</v>
      </c>
      <c r="F73" s="26"/>
      <c r="G73">
        <f t="shared" si="5"/>
        <v>269.64521301068419</v>
      </c>
    </row>
    <row r="74" spans="1:16" x14ac:dyDescent="0.2">
      <c r="A74">
        <v>38</v>
      </c>
      <c r="B74">
        <f t="shared" si="3"/>
        <v>3442</v>
      </c>
      <c r="C74" s="26">
        <v>300</v>
      </c>
      <c r="D74" s="26"/>
      <c r="E74" s="26">
        <f t="shared" si="4"/>
        <v>9366.8381016161547</v>
      </c>
      <c r="F74" s="26"/>
      <c r="G74">
        <f t="shared" si="5"/>
        <v>268.67213954802338</v>
      </c>
    </row>
    <row r="75" spans="1:16" x14ac:dyDescent="0.2">
      <c r="A75">
        <v>39</v>
      </c>
      <c r="B75">
        <f t="shared" si="3"/>
        <v>3514</v>
      </c>
      <c r="C75" s="26">
        <v>300</v>
      </c>
      <c r="D75" s="26"/>
      <c r="E75" s="26">
        <f t="shared" si="4"/>
        <v>9141.5509994213699</v>
      </c>
      <c r="F75" s="26"/>
      <c r="G75">
        <f t="shared" si="5"/>
        <v>267.69508509972246</v>
      </c>
    </row>
    <row r="76" spans="1:16" x14ac:dyDescent="0.2">
      <c r="A76">
        <v>40</v>
      </c>
      <c r="B76">
        <f t="shared" si="3"/>
        <v>3586</v>
      </c>
      <c r="C76" s="26">
        <v>300</v>
      </c>
      <c r="D76" s="26"/>
      <c r="E76" s="26">
        <f t="shared" si="4"/>
        <v>8925.1786515467538</v>
      </c>
      <c r="F76" s="26"/>
      <c r="G76">
        <f t="shared" si="5"/>
        <v>266.71408870372215</v>
      </c>
    </row>
    <row r="77" spans="1:16" x14ac:dyDescent="0.2">
      <c r="A77">
        <v>41</v>
      </c>
      <c r="B77">
        <f t="shared" si="3"/>
        <v>3658</v>
      </c>
      <c r="C77" s="26">
        <v>300</v>
      </c>
      <c r="D77" s="26"/>
      <c r="E77" s="26">
        <f t="shared" si="4"/>
        <v>8717.1957256944243</v>
      </c>
      <c r="F77" s="26"/>
      <c r="G77">
        <f t="shared" si="5"/>
        <v>265.72918303825168</v>
      </c>
    </row>
    <row r="78" spans="1:16" x14ac:dyDescent="0.2">
      <c r="A78">
        <v>42</v>
      </c>
      <c r="B78">
        <f t="shared" si="3"/>
        <v>3730</v>
      </c>
      <c r="C78" s="26">
        <v>300</v>
      </c>
      <c r="D78" s="26"/>
      <c r="E78" s="26">
        <f t="shared" si="4"/>
        <v>8517.1172637434956</v>
      </c>
      <c r="F78" s="26"/>
      <c r="G78">
        <f t="shared" si="5"/>
        <v>264.74039494802696</v>
      </c>
    </row>
    <row r="79" spans="1:16" x14ac:dyDescent="0.2">
      <c r="A79">
        <v>43</v>
      </c>
      <c r="B79">
        <f t="shared" si="3"/>
        <v>3802</v>
      </c>
      <c r="C79" s="26">
        <v>300</v>
      </c>
      <c r="D79" s="26"/>
      <c r="E79" s="26">
        <f t="shared" si="4"/>
        <v>8324.4948734754707</v>
      </c>
      <c r="F79" s="26"/>
      <c r="G79">
        <f t="shared" si="5"/>
        <v>263.74774590794783</v>
      </c>
    </row>
    <row r="80" spans="1:16" x14ac:dyDescent="0.2">
      <c r="A80">
        <v>44</v>
      </c>
      <c r="B80">
        <f t="shared" si="3"/>
        <v>3874</v>
      </c>
      <c r="C80" s="26">
        <v>300</v>
      </c>
      <c r="D80" s="26"/>
      <c r="E80" s="26">
        <f t="shared" si="4"/>
        <v>8138.9133432812914</v>
      </c>
      <c r="F80" s="26"/>
      <c r="G80">
        <f t="shared" si="5"/>
        <v>262.75125243226438</v>
      </c>
    </row>
    <row r="81" spans="1:7" x14ac:dyDescent="0.2">
      <c r="A81">
        <v>45</v>
      </c>
      <c r="B81">
        <f t="shared" si="3"/>
        <v>3946</v>
      </c>
      <c r="C81" s="26">
        <v>300</v>
      </c>
      <c r="D81" s="26"/>
      <c r="E81" s="26">
        <f t="shared" si="4"/>
        <v>7959.9876260319561</v>
      </c>
      <c r="F81" s="26"/>
      <c r="G81">
        <f t="shared" si="5"/>
        <v>261.75092643601749</v>
      </c>
    </row>
    <row r="82" spans="1:7" x14ac:dyDescent="0.2">
      <c r="A82">
        <v>46</v>
      </c>
      <c r="B82">
        <f t="shared" si="3"/>
        <v>4018</v>
      </c>
      <c r="C82" s="26">
        <v>300</v>
      </c>
      <c r="D82" s="26"/>
      <c r="E82" s="26">
        <f t="shared" si="4"/>
        <v>7787.3601459804995</v>
      </c>
      <c r="F82" s="26"/>
      <c r="G82">
        <f t="shared" si="5"/>
        <v>260.74677555458038</v>
      </c>
    </row>
    <row r="83" spans="1:7" x14ac:dyDescent="0.2">
      <c r="A83">
        <v>47</v>
      </c>
      <c r="B83">
        <f t="shared" si="3"/>
        <v>4090</v>
      </c>
      <c r="C83" s="26">
        <v>300</v>
      </c>
      <c r="D83" s="26"/>
      <c r="E83" s="26">
        <f t="shared" si="4"/>
        <v>7620.6983890358024</v>
      </c>
      <c r="F83" s="26"/>
      <c r="G83">
        <f t="shared" si="5"/>
        <v>259.7388034263036</v>
      </c>
    </row>
    <row r="84" spans="1:7" x14ac:dyDescent="0.2">
      <c r="A84">
        <v>48</v>
      </c>
      <c r="B84">
        <f t="shared" si="3"/>
        <v>4162</v>
      </c>
      <c r="C84" s="26">
        <v>300</v>
      </c>
      <c r="D84" s="26"/>
      <c r="E84" s="26">
        <f t="shared" si="4"/>
        <v>7459.6927422171675</v>
      </c>
      <c r="F84" s="26"/>
      <c r="G84">
        <f t="shared" si="5"/>
        <v>258.72700994256542</v>
      </c>
    </row>
    <row r="85" spans="1:7" x14ac:dyDescent="0.2">
      <c r="A85">
        <v>49</v>
      </c>
      <c r="B85">
        <f t="shared" si="3"/>
        <v>4234</v>
      </c>
      <c r="C85" s="26">
        <v>300</v>
      </c>
      <c r="D85" s="26"/>
      <c r="E85" s="26">
        <f t="shared" si="4"/>
        <v>7304.0545527334252</v>
      </c>
      <c r="F85" s="26"/>
      <c r="G85">
        <f t="shared" si="5"/>
        <v>257.71139146894433</v>
      </c>
    </row>
    <row r="86" spans="1:7" x14ac:dyDescent="0.2">
      <c r="A86">
        <v>50</v>
      </c>
      <c r="B86">
        <f t="shared" si="3"/>
        <v>4306</v>
      </c>
      <c r="C86" s="26">
        <v>300</v>
      </c>
      <c r="D86" s="26"/>
      <c r="E86" s="26">
        <f t="shared" si="4"/>
        <v>7153.5143810697318</v>
      </c>
      <c r="F86" s="26"/>
      <c r="G86">
        <f t="shared" si="5"/>
        <v>256.69194104071886</v>
      </c>
    </row>
    <row r="87" spans="1:7" x14ac:dyDescent="0.2">
      <c r="A87">
        <v>51</v>
      </c>
      <c r="B87">
        <f t="shared" si="3"/>
        <v>4378</v>
      </c>
      <c r="C87" s="26">
        <v>300</v>
      </c>
      <c r="D87" s="26"/>
      <c r="E87" s="26">
        <f t="shared" si="4"/>
        <v>7007.8204258240003</v>
      </c>
      <c r="F87" s="26"/>
      <c r="G87">
        <f t="shared" si="5"/>
        <v>255.66864853547895</v>
      </c>
    </row>
    <row r="88" spans="1:7" x14ac:dyDescent="0.2">
      <c r="A88">
        <v>52</v>
      </c>
      <c r="B88">
        <f t="shared" si="3"/>
        <v>4450</v>
      </c>
      <c r="C88" s="26">
        <v>300</v>
      </c>
      <c r="D88" s="26"/>
      <c r="E88" s="26">
        <f t="shared" si="4"/>
        <v>6866.7371009058088</v>
      </c>
      <c r="F88" s="26"/>
      <c r="G88">
        <f t="shared" si="5"/>
        <v>254.64150082525708</v>
      </c>
    </row>
    <row r="89" spans="1:7" x14ac:dyDescent="0.2">
      <c r="A89">
        <v>53</v>
      </c>
      <c r="B89">
        <f t="shared" si="3"/>
        <v>4522</v>
      </c>
      <c r="C89" s="26">
        <v>300</v>
      </c>
      <c r="D89" s="26"/>
      <c r="E89" s="26">
        <f t="shared" si="4"/>
        <v>6730.0437481719464</v>
      </c>
      <c r="F89" s="26"/>
      <c r="G89">
        <f t="shared" si="5"/>
        <v>253.61048191027947</v>
      </c>
    </row>
    <row r="90" spans="1:7" x14ac:dyDescent="0.2">
      <c r="A90">
        <v>54</v>
      </c>
      <c r="B90">
        <f t="shared" si="3"/>
        <v>4594</v>
      </c>
      <c r="C90" s="26">
        <v>300</v>
      </c>
      <c r="D90" s="26"/>
      <c r="E90" s="26">
        <f t="shared" si="4"/>
        <v>6597.533470687652</v>
      </c>
      <c r="F90" s="26"/>
      <c r="G90">
        <f t="shared" si="5"/>
        <v>252.57557303615894</v>
      </c>
    </row>
    <row r="91" spans="1:7" x14ac:dyDescent="0.2">
      <c r="A91">
        <v>55</v>
      </c>
      <c r="B91">
        <f t="shared" si="3"/>
        <v>4666</v>
      </c>
      <c r="C91" s="26">
        <v>300</v>
      </c>
      <c r="D91" s="26"/>
      <c r="E91" s="26">
        <f t="shared" si="4"/>
        <v>6469.0120736249846</v>
      </c>
      <c r="F91" s="26"/>
      <c r="G91">
        <f t="shared" si="5"/>
        <v>251.53675279611815</v>
      </c>
    </row>
    <row r="92" spans="1:7" x14ac:dyDescent="0.2">
      <c r="A92">
        <v>56</v>
      </c>
      <c r="B92">
        <f t="shared" si="3"/>
        <v>4738</v>
      </c>
      <c r="C92" s="26">
        <v>300</v>
      </c>
      <c r="D92" s="26"/>
      <c r="E92" s="26">
        <f t="shared" si="4"/>
        <v>6344.2971013836777</v>
      </c>
      <c r="F92" s="26"/>
      <c r="G92">
        <f t="shared" si="5"/>
        <v>250.49399721963221</v>
      </c>
    </row>
    <row r="93" spans="1:7" x14ac:dyDescent="0.2">
      <c r="A93">
        <v>57</v>
      </c>
      <c r="B93">
        <f t="shared" si="3"/>
        <v>4810</v>
      </c>
      <c r="C93" s="26">
        <v>300</v>
      </c>
      <c r="D93" s="26"/>
      <c r="E93" s="26">
        <f t="shared" si="4"/>
        <v>6223.2169608821823</v>
      </c>
      <c r="F93" s="26"/>
      <c r="G93">
        <f t="shared" si="5"/>
        <v>249.44727984869414</v>
      </c>
    </row>
    <row r="94" spans="1:7" x14ac:dyDescent="0.2">
      <c r="A94">
        <v>58</v>
      </c>
      <c r="B94">
        <f t="shared" si="3"/>
        <v>4882</v>
      </c>
      <c r="C94" s="26">
        <v>300</v>
      </c>
      <c r="D94" s="26"/>
      <c r="E94" s="26">
        <f t="shared" si="4"/>
        <v>6105.6101221489771</v>
      </c>
      <c r="F94" s="26"/>
      <c r="G94">
        <f t="shared" si="5"/>
        <v>248.39657180276086</v>
      </c>
    </row>
    <row r="95" spans="1:7" x14ac:dyDescent="0.2">
      <c r="A95">
        <v>59</v>
      </c>
      <c r="B95">
        <f t="shared" si="3"/>
        <v>4954</v>
      </c>
      <c r="C95" s="26">
        <v>300</v>
      </c>
      <c r="D95" s="26"/>
      <c r="E95" s="26">
        <f t="shared" si="4"/>
        <v>5991.3243883721179</v>
      </c>
      <c r="F95" s="26"/>
      <c r="G95">
        <f t="shared" si="5"/>
        <v>247.34184183329563</v>
      </c>
    </row>
    <row r="96" spans="1:7" x14ac:dyDescent="0.2">
      <c r="A96">
        <v>60</v>
      </c>
      <c r="B96">
        <f t="shared" si="3"/>
        <v>5026</v>
      </c>
      <c r="C96" s="26">
        <v>300</v>
      </c>
      <c r="D96" s="26"/>
      <c r="E96" s="26">
        <f t="shared" si="4"/>
        <v>5880.2162284609803</v>
      </c>
      <c r="F96" s="26"/>
      <c r="G96">
        <f t="shared" si="5"/>
        <v>246.28305636870741</v>
      </c>
    </row>
    <row r="97" spans="1:7" x14ac:dyDescent="0.2">
      <c r="A97">
        <v>61</v>
      </c>
      <c r="B97">
        <f t="shared" si="3"/>
        <v>5098</v>
      </c>
      <c r="C97" s="26">
        <v>300</v>
      </c>
      <c r="D97" s="26"/>
      <c r="E97" s="26">
        <f t="shared" si="4"/>
        <v>5772.1501659564465</v>
      </c>
      <c r="F97" s="26"/>
      <c r="G97">
        <f t="shared" si="5"/>
        <v>245.22017955038302</v>
      </c>
    </row>
    <row r="98" spans="1:7" x14ac:dyDescent="0.2">
      <c r="A98">
        <v>62</v>
      </c>
      <c r="B98">
        <f t="shared" si="3"/>
        <v>5170</v>
      </c>
      <c r="C98" s="26">
        <v>300</v>
      </c>
      <c r="D98" s="26"/>
      <c r="E98" s="26">
        <f t="shared" si="4"/>
        <v>5666.9982188103804</v>
      </c>
      <c r="F98" s="26"/>
      <c r="G98">
        <f t="shared" si="5"/>
        <v>244.15317326041387</v>
      </c>
    </row>
    <row r="99" spans="1:7" x14ac:dyDescent="0.2">
      <c r="A99">
        <v>63</v>
      </c>
      <c r="B99">
        <f t="shared" si="3"/>
        <v>5242</v>
      </c>
      <c r="C99" s="26">
        <v>300</v>
      </c>
      <c r="D99" s="26"/>
      <c r="E99" s="26">
        <f t="shared" si="4"/>
        <v>5564.6393851553312</v>
      </c>
      <c r="F99" s="26"/>
      <c r="G99">
        <f t="shared" si="5"/>
        <v>243.0819971415354</v>
      </c>
    </row>
    <row r="100" spans="1:7" x14ac:dyDescent="0.2">
      <c r="A100">
        <v>64</v>
      </c>
      <c r="B100">
        <f t="shared" si="3"/>
        <v>5314</v>
      </c>
      <c r="C100" s="26">
        <v>300</v>
      </c>
      <c r="D100" s="26"/>
      <c r="E100" s="26">
        <f t="shared" si="4"/>
        <v>5464.9591707127565</v>
      </c>
      <c r="F100" s="26"/>
      <c r="G100">
        <f t="shared" si="5"/>
        <v>242.00660860972988</v>
      </c>
    </row>
    <row r="101" spans="1:7" x14ac:dyDescent="0.2">
      <c r="A101">
        <v>65</v>
      </c>
      <c r="B101">
        <f t="shared" si="3"/>
        <v>5386</v>
      </c>
      <c r="C101" s="26">
        <v>300</v>
      </c>
      <c r="D101" s="26"/>
      <c r="E101" s="26">
        <f t="shared" si="4"/>
        <v>5367.8491539517918</v>
      </c>
      <c r="F101" s="26"/>
      <c r="G101">
        <f t="shared" si="5"/>
        <v>240.92696285986958</v>
      </c>
    </row>
    <row r="102" spans="1:7" x14ac:dyDescent="0.2">
      <c r="A102">
        <v>66</v>
      </c>
      <c r="B102">
        <f t="shared" ref="B102:B116" si="8">706+72*A102</f>
        <v>5458</v>
      </c>
      <c r="C102" s="26">
        <v>300</v>
      </c>
      <c r="D102" s="26"/>
      <c r="E102" s="26">
        <f t="shared" ref="E102:E116" si="9">120000/(IF(B102&lt;600,B102,"600")/C102+12000*LN(12000/(12600-IF(B102&lt;600,600,B102)))/C102)</f>
        <v>5273.2065855197343</v>
      </c>
      <c r="F102" s="26"/>
      <c r="G102">
        <f t="shared" si="5"/>
        <v>239.84301286472257</v>
      </c>
    </row>
    <row r="103" spans="1:7" x14ac:dyDescent="0.2">
      <c r="A103">
        <v>67</v>
      </c>
      <c r="B103">
        <f t="shared" si="8"/>
        <v>5530</v>
      </c>
      <c r="C103" s="26">
        <v>300</v>
      </c>
      <c r="D103" s="26"/>
      <c r="E103" s="26">
        <f t="shared" si="9"/>
        <v>5180.9340188265205</v>
      </c>
      <c r="F103" s="26"/>
      <c r="G103">
        <f t="shared" si="5"/>
        <v>238.75470936758882</v>
      </c>
    </row>
    <row r="104" spans="1:7" x14ac:dyDescent="0.2">
      <c r="A104">
        <v>68</v>
      </c>
      <c r="B104">
        <f t="shared" si="8"/>
        <v>5602</v>
      </c>
      <c r="C104" s="26">
        <v>300</v>
      </c>
      <c r="D104" s="26"/>
      <c r="E104" s="26">
        <f t="shared" si="9"/>
        <v>5090.9389689850141</v>
      </c>
      <c r="F104" s="26"/>
      <c r="G104">
        <f t="shared" si="5"/>
        <v>237.66200086878376</v>
      </c>
    </row>
    <row r="105" spans="1:7" x14ac:dyDescent="0.2">
      <c r="A105">
        <v>69</v>
      </c>
      <c r="B105">
        <f t="shared" si="8"/>
        <v>5674</v>
      </c>
      <c r="C105" s="26">
        <v>300</v>
      </c>
      <c r="D105" s="26"/>
      <c r="E105" s="26">
        <f t="shared" si="9"/>
        <v>5003.1335975919883</v>
      </c>
      <c r="F105" s="26"/>
      <c r="G105">
        <f t="shared" si="5"/>
        <v>236.56483360614118</v>
      </c>
    </row>
    <row r="106" spans="1:7" x14ac:dyDescent="0.2">
      <c r="A106">
        <v>70</v>
      </c>
      <c r="B106">
        <f t="shared" si="8"/>
        <v>5746</v>
      </c>
      <c r="C106" s="26">
        <v>300</v>
      </c>
      <c r="D106" s="26"/>
      <c r="E106" s="26">
        <f t="shared" si="9"/>
        <v>4917.4344210859881</v>
      </c>
      <c r="F106" s="26"/>
      <c r="G106">
        <f t="shared" si="5"/>
        <v>235.46315152966741</v>
      </c>
    </row>
    <row r="107" spans="1:7" x14ac:dyDescent="0.2">
      <c r="A107">
        <v>71</v>
      </c>
      <c r="B107">
        <f t="shared" si="8"/>
        <v>5818</v>
      </c>
      <c r="C107" s="26">
        <v>300</v>
      </c>
      <c r="D107" s="26"/>
      <c r="E107" s="26">
        <f t="shared" si="9"/>
        <v>4833.7620406414935</v>
      </c>
      <c r="F107" s="26"/>
      <c r="G107">
        <f t="shared" si="5"/>
        <v>234.3568962704351</v>
      </c>
    </row>
    <row r="108" spans="1:7" x14ac:dyDescent="0.2">
      <c r="A108">
        <v>72</v>
      </c>
      <c r="B108">
        <f t="shared" si="8"/>
        <v>5890</v>
      </c>
      <c r="C108" s="26">
        <v>300</v>
      </c>
      <c r="D108" s="26"/>
      <c r="E108" s="26">
        <f t="shared" si="9"/>
        <v>4752.0408917576842</v>
      </c>
      <c r="F108" s="26"/>
      <c r="G108">
        <f t="shared" si="5"/>
        <v>233.24600710377302</v>
      </c>
    </row>
    <row r="109" spans="1:7" x14ac:dyDescent="0.2">
      <c r="A109">
        <v>73</v>
      </c>
      <c r="B109">
        <f t="shared" si="8"/>
        <v>5962</v>
      </c>
      <c r="C109" s="26">
        <v>300</v>
      </c>
      <c r="D109" s="26"/>
      <c r="E109" s="26">
        <f t="shared" si="9"/>
        <v>4672.1990118772637</v>
      </c>
      <c r="F109" s="26"/>
      <c r="G109">
        <f t="shared" si="5"/>
        <v>232.13042090676873</v>
      </c>
    </row>
    <row r="110" spans="1:7" x14ac:dyDescent="0.2">
      <c r="A110">
        <v>74</v>
      </c>
      <c r="B110">
        <f t="shared" si="8"/>
        <v>6034</v>
      </c>
      <c r="C110" s="26">
        <v>300</v>
      </c>
      <c r="D110" s="26"/>
      <c r="E110" s="26">
        <f t="shared" si="9"/>
        <v>4594.1678245290295</v>
      </c>
      <c r="F110" s="26"/>
      <c r="G110">
        <f t="shared" si="5"/>
        <v>231.01007211006802</v>
      </c>
    </row>
    <row r="111" spans="1:7" x14ac:dyDescent="0.2">
      <c r="A111">
        <v>75</v>
      </c>
      <c r="B111">
        <f t="shared" si="8"/>
        <v>6106</v>
      </c>
      <c r="C111" s="26">
        <v>300</v>
      </c>
      <c r="D111" s="26"/>
      <c r="E111" s="26">
        <f t="shared" si="9"/>
        <v>4517.8819386293799</v>
      </c>
      <c r="F111" s="26"/>
      <c r="G111">
        <f t="shared" ref="G111:G116" si="10">E111/2000*B111/60</f>
        <v>229.88489264392493</v>
      </c>
    </row>
    <row r="112" spans="1:7" x14ac:dyDescent="0.2">
      <c r="A112">
        <v>76</v>
      </c>
      <c r="B112">
        <f t="shared" si="8"/>
        <v>6178</v>
      </c>
      <c r="C112" s="26">
        <v>300</v>
      </c>
      <c r="D112" s="26"/>
      <c r="E112" s="26">
        <f t="shared" si="9"/>
        <v>4443.2789617044564</v>
      </c>
      <c r="F112" s="26"/>
      <c r="G112">
        <f t="shared" si="10"/>
        <v>228.7548118784178</v>
      </c>
    </row>
    <row r="113" spans="1:7" x14ac:dyDescent="0.2">
      <c r="A113">
        <v>77</v>
      </c>
      <c r="B113">
        <f t="shared" si="8"/>
        <v>6250</v>
      </c>
      <c r="C113" s="26">
        <v>300</v>
      </c>
      <c r="D113" s="26"/>
      <c r="E113" s="26">
        <f t="shared" si="9"/>
        <v>4370.2993259082459</v>
      </c>
      <c r="F113" s="26"/>
      <c r="G113">
        <f t="shared" si="10"/>
        <v>227.61975655772116</v>
      </c>
    </row>
    <row r="114" spans="1:7" x14ac:dyDescent="0.2">
      <c r="A114">
        <v>78</v>
      </c>
      <c r="B114">
        <f t="shared" si="8"/>
        <v>6322</v>
      </c>
      <c r="C114" s="26">
        <v>300</v>
      </c>
      <c r="D114" s="26"/>
      <c r="E114" s="26">
        <f t="shared" si="9"/>
        <v>4298.8861258137222</v>
      </c>
      <c r="F114" s="26"/>
      <c r="G114">
        <f t="shared" si="10"/>
        <v>226.47965072828629</v>
      </c>
    </row>
    <row r="115" spans="1:7" x14ac:dyDescent="0.2">
      <c r="A115">
        <v>79</v>
      </c>
      <c r="B115">
        <f t="shared" si="8"/>
        <v>6394</v>
      </c>
      <c r="C115" s="26">
        <v>300</v>
      </c>
      <c r="D115" s="26"/>
      <c r="E115" s="26">
        <f t="shared" si="9"/>
        <v>4228.9849670457106</v>
      </c>
      <c r="F115" s="26"/>
      <c r="G115">
        <f t="shared" si="10"/>
        <v>225.33441566075228</v>
      </c>
    </row>
    <row r="116" spans="1:7" x14ac:dyDescent="0.2">
      <c r="A116">
        <v>80</v>
      </c>
      <c r="B116">
        <f t="shared" si="8"/>
        <v>6466</v>
      </c>
      <c r="C116" s="26">
        <v>300</v>
      </c>
      <c r="D116" s="26"/>
      <c r="E116" s="26">
        <f t="shared" si="9"/>
        <v>4160.54382490648</v>
      </c>
      <c r="F116" s="26"/>
      <c r="G116">
        <f t="shared" si="10"/>
        <v>224.1839697653775</v>
      </c>
    </row>
  </sheetData>
  <mergeCells count="240">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S5:T5"/>
    <mergeCell ref="Q28:R28"/>
    <mergeCell ref="S28:T28"/>
    <mergeCell ref="U28:V28"/>
    <mergeCell ref="Q29:R29"/>
    <mergeCell ref="S29:T29"/>
    <mergeCell ref="U29:V29"/>
    <mergeCell ref="Q26:R26"/>
    <mergeCell ref="S26:T26"/>
    <mergeCell ref="U26:V26"/>
    <mergeCell ref="Q27:R27"/>
    <mergeCell ref="S27:T27"/>
    <mergeCell ref="U27:V27"/>
    <mergeCell ref="Q32:R32"/>
    <mergeCell ref="S32:T32"/>
    <mergeCell ref="U32:V32"/>
    <mergeCell ref="Q33:R33"/>
    <mergeCell ref="S33:T33"/>
    <mergeCell ref="U33:V33"/>
    <mergeCell ref="Q30:R30"/>
    <mergeCell ref="S30:T30"/>
    <mergeCell ref="U30:V30"/>
    <mergeCell ref="Q31:R31"/>
    <mergeCell ref="S31:T31"/>
    <mergeCell ref="U31:V31"/>
    <mergeCell ref="C49:D49"/>
    <mergeCell ref="C50:D50"/>
    <mergeCell ref="C51:D51"/>
    <mergeCell ref="C52:D52"/>
    <mergeCell ref="C53:D53"/>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C59:D59"/>
    <mergeCell ref="C60:D60"/>
    <mergeCell ref="C61:D61"/>
    <mergeCell ref="C62:D62"/>
    <mergeCell ref="C63:D63"/>
    <mergeCell ref="C54:D54"/>
    <mergeCell ref="C55:D55"/>
    <mergeCell ref="C56:D56"/>
    <mergeCell ref="C57:D57"/>
    <mergeCell ref="C58:D58"/>
    <mergeCell ref="C69:D69"/>
    <mergeCell ref="C70:D70"/>
    <mergeCell ref="C71:D71"/>
    <mergeCell ref="C72:D72"/>
    <mergeCell ref="C73:D73"/>
    <mergeCell ref="C64:D64"/>
    <mergeCell ref="C65:D65"/>
    <mergeCell ref="C66:D66"/>
    <mergeCell ref="C67:D67"/>
    <mergeCell ref="C68:D68"/>
    <mergeCell ref="C79:D79"/>
    <mergeCell ref="C80:D80"/>
    <mergeCell ref="C81:D81"/>
    <mergeCell ref="C82:D82"/>
    <mergeCell ref="C83:D83"/>
    <mergeCell ref="C74:D74"/>
    <mergeCell ref="C75:D75"/>
    <mergeCell ref="C76:D76"/>
    <mergeCell ref="C77:D77"/>
    <mergeCell ref="C78:D78"/>
    <mergeCell ref="C89:D89"/>
    <mergeCell ref="C90:D90"/>
    <mergeCell ref="C91:D91"/>
    <mergeCell ref="C92:D92"/>
    <mergeCell ref="C93:D93"/>
    <mergeCell ref="C84:D84"/>
    <mergeCell ref="C85:D85"/>
    <mergeCell ref="C86:D86"/>
    <mergeCell ref="C87:D87"/>
    <mergeCell ref="C88:D88"/>
    <mergeCell ref="C107:D107"/>
    <mergeCell ref="C108:D108"/>
    <mergeCell ref="C99:D99"/>
    <mergeCell ref="C100:D100"/>
    <mergeCell ref="C101:D101"/>
    <mergeCell ref="C102:D102"/>
    <mergeCell ref="C103:D103"/>
    <mergeCell ref="C94:D94"/>
    <mergeCell ref="C95:D95"/>
    <mergeCell ref="C96:D96"/>
    <mergeCell ref="C97:D97"/>
    <mergeCell ref="C98:D98"/>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C112:D112"/>
    <mergeCell ref="C113:D113"/>
    <mergeCell ref="C104:D104"/>
    <mergeCell ref="C105:D105"/>
    <mergeCell ref="C106:D106"/>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Q3:T4"/>
    <mergeCell ref="U3:X4"/>
    <mergeCell ref="S6:T6"/>
    <mergeCell ref="S7:T7"/>
    <mergeCell ref="S8:T8"/>
    <mergeCell ref="B28:C28"/>
    <mergeCell ref="A34:G35"/>
    <mergeCell ref="E115:F115"/>
    <mergeCell ref="E116:F116"/>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sqref="A1:XFD1048576"/>
    </sheetView>
  </sheetViews>
  <sheetFormatPr defaultRowHeight="14.25" x14ac:dyDescent="0.2"/>
  <cols>
    <col min="3" max="3" width="22.25" customWidth="1"/>
    <col min="5" max="5" width="10.125" customWidth="1"/>
  </cols>
  <sheetData>
    <row r="1" spans="1:36" x14ac:dyDescent="0.2">
      <c r="A1" s="27" t="s">
        <v>312</v>
      </c>
      <c r="B1" s="27"/>
      <c r="C1" s="27"/>
      <c r="D1" s="27"/>
      <c r="E1" s="27"/>
    </row>
    <row r="2" spans="1:36" x14ac:dyDescent="0.2">
      <c r="B2" s="27" t="s">
        <v>313</v>
      </c>
      <c r="C2" s="27"/>
      <c r="D2" s="27"/>
      <c r="E2" s="27"/>
      <c r="F2" s="27"/>
      <c r="G2" s="27"/>
      <c r="H2" s="27"/>
      <c r="I2" s="27"/>
      <c r="J2" s="27"/>
    </row>
    <row r="3" spans="1:36" x14ac:dyDescent="0.2">
      <c r="A3" s="27" t="s">
        <v>311</v>
      </c>
      <c r="B3" s="27"/>
      <c r="C3" s="27"/>
      <c r="D3" s="27"/>
    </row>
    <row r="4" spans="1:36" x14ac:dyDescent="0.2">
      <c r="B4" s="27" t="s">
        <v>314</v>
      </c>
      <c r="C4" s="27"/>
      <c r="D4" s="27"/>
      <c r="E4" s="27"/>
      <c r="F4" s="27"/>
      <c r="G4" s="27"/>
      <c r="H4" s="27"/>
      <c r="I4" s="27"/>
      <c r="J4" s="27"/>
      <c r="K4" s="27"/>
      <c r="L4" s="27"/>
      <c r="M4" s="27"/>
      <c r="N4" s="27"/>
    </row>
    <row r="5" spans="1:36" x14ac:dyDescent="0.2">
      <c r="B5" s="27" t="s">
        <v>315</v>
      </c>
      <c r="C5" s="27"/>
      <c r="D5" s="27"/>
      <c r="E5" s="27"/>
      <c r="F5" s="27"/>
      <c r="G5" s="27"/>
    </row>
    <row r="6" spans="1:36" x14ac:dyDescent="0.2">
      <c r="B6" s="27" t="s">
        <v>316</v>
      </c>
      <c r="C6" s="27"/>
      <c r="D6" s="27"/>
      <c r="E6" s="27"/>
      <c r="F6" s="27"/>
      <c r="G6" s="27"/>
      <c r="H6" s="27"/>
      <c r="I6" s="27"/>
      <c r="J6" s="27"/>
      <c r="K6" s="27"/>
    </row>
    <row r="7" spans="1:36" x14ac:dyDescent="0.2">
      <c r="B7" s="27" t="s">
        <v>317</v>
      </c>
      <c r="C7" s="27"/>
      <c r="D7" s="27"/>
      <c r="E7" s="27"/>
      <c r="F7" s="27"/>
      <c r="G7" s="27"/>
      <c r="H7" s="27"/>
      <c r="I7" s="27"/>
      <c r="J7" s="27"/>
      <c r="K7" s="27"/>
      <c r="L7" s="27"/>
      <c r="M7" s="27"/>
      <c r="N7" s="27"/>
    </row>
    <row r="8" spans="1:36" x14ac:dyDescent="0.2">
      <c r="B8" s="27" t="s">
        <v>378</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row>
    <row r="9" spans="1:36" x14ac:dyDescent="0.2">
      <c r="B9" t="s">
        <v>318</v>
      </c>
    </row>
    <row r="10" spans="1:36" x14ac:dyDescent="0.2">
      <c r="D10" t="s">
        <v>323</v>
      </c>
      <c r="E10" t="s">
        <v>324</v>
      </c>
    </row>
    <row r="11" spans="1:36" x14ac:dyDescent="0.2">
      <c r="C11" t="s">
        <v>319</v>
      </c>
      <c r="D11" t="s">
        <v>325</v>
      </c>
      <c r="E11" t="s">
        <v>325</v>
      </c>
    </row>
    <row r="12" spans="1:36" x14ac:dyDescent="0.2">
      <c r="C12" t="s">
        <v>320</v>
      </c>
      <c r="D12" t="s">
        <v>326</v>
      </c>
      <c r="E12" t="s">
        <v>325</v>
      </c>
    </row>
    <row r="13" spans="1:36" x14ac:dyDescent="0.2">
      <c r="C13" t="s">
        <v>321</v>
      </c>
      <c r="D13" t="s">
        <v>325</v>
      </c>
      <c r="E13" t="s">
        <v>327</v>
      </c>
    </row>
    <row r="14" spans="1:36" x14ac:dyDescent="0.2">
      <c r="C14" t="s">
        <v>322</v>
      </c>
      <c r="D14" t="s">
        <v>326</v>
      </c>
      <c r="E14" t="s">
        <v>327</v>
      </c>
    </row>
    <row r="15" spans="1:36" x14ac:dyDescent="0.2">
      <c r="C15" t="s">
        <v>328</v>
      </c>
    </row>
    <row r="17" spans="2:73" x14ac:dyDescent="0.2">
      <c r="B17" s="27" t="s">
        <v>330</v>
      </c>
      <c r="C17" s="27"/>
    </row>
    <row r="18" spans="2:73" x14ac:dyDescent="0.2">
      <c r="C18" s="26" t="s">
        <v>329</v>
      </c>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row>
    <row r="22" spans="2:73" x14ac:dyDescent="0.2">
      <c r="B22" t="s">
        <v>331</v>
      </c>
    </row>
    <row r="23" spans="2:73" x14ac:dyDescent="0.2">
      <c r="C23" t="s">
        <v>332</v>
      </c>
    </row>
    <row r="24" spans="2:73" x14ac:dyDescent="0.2">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lpstr>科技蓝爪运力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Admin</cp:lastModifiedBy>
  <dcterms:created xsi:type="dcterms:W3CDTF">2022-03-04T05:20:55Z</dcterms:created>
  <dcterms:modified xsi:type="dcterms:W3CDTF">2024-07-17T09:22:09Z</dcterms:modified>
</cp:coreProperties>
</file>