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Community_visioning\"/>
    </mc:Choice>
  </mc:AlternateContent>
  <xr:revisionPtr revIDLastSave="0" documentId="13_ncr:1_{A8D6F7DE-0554-4161-89E3-45B6A4B70414}" xr6:coauthVersionLast="47" xr6:coauthVersionMax="47" xr10:uidLastSave="{00000000-0000-0000-0000-000000000000}"/>
  <bookViews>
    <workbookView xWindow="-110" yWindow="-110" windowWidth="19420" windowHeight="10420" firstSheet="2" activeTab="5" xr2:uid="{7DA825F7-BDA5-4A02-96B5-7C711652199A}"/>
  </bookViews>
  <sheets>
    <sheet name="Biking_master_sheet" sheetId="1" r:id="rId1"/>
    <sheet name="weighted_income" sheetId="3" r:id="rId2"/>
    <sheet name="weighted_means_correct" sheetId="7" r:id="rId3"/>
    <sheet name="Income_biking" sheetId="8" r:id="rId4"/>
    <sheet name="Age_biking" sheetId="9" r:id="rId5"/>
    <sheet name="MS_biking" sheetId="10" r:id="rId6"/>
    <sheet name="HS_biking" sheetId="11" r:id="rId7"/>
    <sheet name="Edu_biking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7" l="1" a="1"/>
  <c r="B27" i="7" s="1"/>
  <c r="B31" i="7" a="1"/>
  <c r="B31" i="7" s="1"/>
  <c r="B30" i="7" a="1"/>
  <c r="B30" i="7" s="1"/>
  <c r="B29" i="7" a="1"/>
  <c r="B29" i="7" s="1"/>
  <c r="B28" i="7" a="1"/>
  <c r="B28" i="7" s="1"/>
  <c r="B26" i="7" a="1"/>
  <c r="B26" i="7" s="1"/>
  <c r="B25" i="7" a="1"/>
  <c r="B25" i="7" s="1"/>
  <c r="B24" i="7" a="1"/>
  <c r="B24" i="7" s="1"/>
  <c r="B23" i="7" a="1"/>
  <c r="B23" i="7" s="1"/>
  <c r="BZ30" i="3"/>
  <c r="BZ29" i="3"/>
  <c r="BZ28" i="3"/>
  <c r="BZ27" i="3"/>
  <c r="BZ26" i="3"/>
  <c r="BZ25" i="3"/>
  <c r="BZ24" i="3"/>
  <c r="BZ21" i="3"/>
  <c r="BS30" i="3"/>
  <c r="BS29" i="3"/>
  <c r="BS28" i="3"/>
  <c r="BS27" i="3"/>
  <c r="BS26" i="3"/>
  <c r="BS24" i="3"/>
  <c r="BS23" i="3"/>
  <c r="BS22" i="3"/>
  <c r="BN30" i="3"/>
  <c r="BN29" i="3"/>
  <c r="BN28" i="3"/>
  <c r="BN27" i="3"/>
  <c r="BN26" i="3"/>
  <c r="BN25" i="3"/>
  <c r="BN24" i="3"/>
  <c r="BI28" i="3"/>
  <c r="BI27" i="3"/>
  <c r="BI26" i="3"/>
  <c r="BI25" i="3"/>
  <c r="BI24" i="3"/>
  <c r="BI23" i="3"/>
  <c r="BI22" i="3"/>
  <c r="BD29" i="3"/>
  <c r="BD28" i="3"/>
  <c r="BD27" i="3"/>
  <c r="BD26" i="3"/>
  <c r="BD25" i="3"/>
  <c r="BD24" i="3"/>
  <c r="AY29" i="3"/>
  <c r="AY28" i="3"/>
  <c r="AY27" i="3"/>
  <c r="AY26" i="3"/>
  <c r="AY25" i="3"/>
  <c r="AR27" i="3"/>
  <c r="AR26" i="3"/>
  <c r="AR25" i="3"/>
  <c r="AR24" i="3"/>
  <c r="AR23" i="3"/>
  <c r="AR20" i="3"/>
  <c r="AK29" i="3"/>
  <c r="AK28" i="3"/>
  <c r="AK27" i="3"/>
  <c r="AK26" i="3"/>
  <c r="AK25" i="3"/>
  <c r="AK24" i="3"/>
  <c r="AK23" i="3"/>
  <c r="AK22" i="3"/>
  <c r="AK21" i="3"/>
  <c r="AK20" i="3"/>
  <c r="AE28" i="3"/>
  <c r="AE27" i="3"/>
  <c r="AE26" i="3"/>
  <c r="AE25" i="3"/>
  <c r="AE24" i="3"/>
  <c r="AE23" i="3"/>
  <c r="X28" i="3"/>
  <c r="X27" i="3"/>
  <c r="X26" i="3"/>
  <c r="X25" i="3"/>
  <c r="X24" i="3"/>
  <c r="X23" i="3"/>
  <c r="X22" i="3"/>
  <c r="X21" i="3"/>
  <c r="X20" i="3"/>
  <c r="R28" i="3"/>
  <c r="R27" i="3"/>
  <c r="R26" i="3"/>
  <c r="R25" i="3"/>
  <c r="R24" i="3"/>
  <c r="R23" i="3"/>
  <c r="L28" i="3"/>
  <c r="L27" i="3"/>
  <c r="F28" i="3"/>
  <c r="F27" i="3"/>
  <c r="F26" i="3"/>
  <c r="F25" i="3"/>
  <c r="F24" i="3"/>
  <c r="F19" i="3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CG13" i="3"/>
  <c r="CG12" i="3"/>
  <c r="CG11" i="3"/>
  <c r="CG10" i="3"/>
  <c r="CG9" i="3"/>
  <c r="CG8" i="3"/>
  <c r="BY15" i="3"/>
  <c r="BY14" i="3"/>
  <c r="BY13" i="3"/>
  <c r="BY12" i="3"/>
  <c r="BQ13" i="3"/>
  <c r="BQ12" i="3"/>
  <c r="BQ11" i="3"/>
  <c r="BQ10" i="3"/>
  <c r="BQ9" i="3"/>
  <c r="BQ8" i="3"/>
  <c r="BJ14" i="3"/>
  <c r="BJ13" i="3"/>
  <c r="BJ12" i="3"/>
  <c r="BJ11" i="3"/>
  <c r="BJ10" i="3"/>
  <c r="BJ9" i="3"/>
  <c r="BJ8" i="3"/>
  <c r="BC13" i="3"/>
  <c r="BC12" i="3"/>
  <c r="BC11" i="3"/>
  <c r="BC10" i="3"/>
  <c r="BC9" i="3"/>
  <c r="BC8" i="3"/>
  <c r="BC7" i="3"/>
  <c r="AX12" i="3"/>
  <c r="AX11" i="3"/>
  <c r="AX10" i="3"/>
  <c r="AX9" i="3"/>
  <c r="AX8" i="3"/>
  <c r="AX7" i="3"/>
  <c r="AX6" i="3"/>
  <c r="AX5" i="3"/>
  <c r="AS12" i="3"/>
  <c r="AS11" i="3"/>
  <c r="AS10" i="3"/>
  <c r="AS9" i="3"/>
  <c r="AS8" i="3"/>
  <c r="AS7" i="3"/>
  <c r="AS6" i="3"/>
  <c r="AM12" i="3"/>
  <c r="AM11" i="3"/>
  <c r="AM10" i="3"/>
  <c r="AM9" i="3"/>
  <c r="AM8" i="3"/>
  <c r="AG13" i="3"/>
  <c r="AG12" i="3"/>
  <c r="AG11" i="3"/>
  <c r="AG10" i="3"/>
  <c r="AG9" i="3"/>
  <c r="AB11" i="3"/>
  <c r="AB10" i="3"/>
  <c r="AB9" i="3"/>
  <c r="AB8" i="3"/>
  <c r="AB7" i="3"/>
  <c r="AB4" i="3"/>
  <c r="V13" i="3"/>
  <c r="V12" i="3"/>
  <c r="V11" i="3"/>
  <c r="V10" i="3"/>
  <c r="P13" i="3"/>
  <c r="P12" i="3"/>
  <c r="P11" i="3"/>
  <c r="P10" i="3"/>
  <c r="P9" i="3"/>
  <c r="P8" i="3"/>
  <c r="P5" i="3"/>
  <c r="P4" i="3"/>
  <c r="K13" i="3"/>
  <c r="K12" i="3"/>
  <c r="K11" i="3"/>
  <c r="K10" i="3"/>
  <c r="K9" i="3"/>
  <c r="K8" i="3"/>
  <c r="K7" i="3"/>
  <c r="K6" i="3"/>
  <c r="K5" i="3"/>
  <c r="E13" i="3"/>
  <c r="E12" i="3"/>
  <c r="E11" i="3"/>
  <c r="E10" i="3"/>
  <c r="E9" i="3"/>
  <c r="E8" i="3"/>
  <c r="E7" i="3"/>
  <c r="E6" i="3"/>
  <c r="E5" i="3"/>
  <c r="E4" i="3"/>
  <c r="AO23" i="1"/>
  <c r="AO22" i="1"/>
  <c r="AO17" i="1" a="1"/>
  <c r="AO17" i="1" s="1"/>
  <c r="AJ23" i="1"/>
  <c r="AJ22" i="1"/>
  <c r="AJ17" i="1" a="1"/>
  <c r="AJ17" i="1" s="1"/>
  <c r="AU8" i="1"/>
  <c r="AU7" i="1"/>
  <c r="AU3" i="1" a="1"/>
  <c r="AU3" i="1" s="1"/>
  <c r="AT3" i="1" a="1"/>
  <c r="AT3" i="1" s="1"/>
  <c r="AO10" i="1"/>
  <c r="AO9" i="1"/>
  <c r="AO4" i="1" a="1"/>
  <c r="AO4" i="1" s="1"/>
  <c r="AJ10" i="1"/>
  <c r="AJ9" i="1"/>
  <c r="AJ4" i="1" a="1"/>
  <c r="AJ4" i="1" s="1"/>
  <c r="AE74" i="1"/>
  <c r="AE73" i="1"/>
  <c r="AE68" i="1" a="1"/>
  <c r="AE68" i="1" s="1"/>
  <c r="Z75" i="1"/>
  <c r="Z74" i="1"/>
  <c r="Z69" i="1" a="1"/>
  <c r="Z69" i="1" s="1"/>
  <c r="U72" i="1"/>
  <c r="U71" i="1"/>
  <c r="U66" i="1" a="1"/>
  <c r="U66" i="1" s="1"/>
  <c r="AE60" i="1"/>
  <c r="AE59" i="1"/>
  <c r="AE54" i="1" a="1"/>
  <c r="AE54" i="1" s="1"/>
  <c r="Z61" i="1"/>
  <c r="Z60" i="1"/>
  <c r="Z55" i="1" a="1"/>
  <c r="Z55" i="1" s="1"/>
  <c r="U59" i="1"/>
  <c r="U58" i="1"/>
  <c r="U53" i="1" a="1"/>
  <c r="U53" i="1" s="1"/>
  <c r="Z49" i="1"/>
  <c r="Z48" i="1"/>
  <c r="Z43" i="1" a="1"/>
  <c r="Z43" i="1" s="1"/>
  <c r="U47" i="1"/>
  <c r="U46" i="1"/>
  <c r="U41" i="1" a="1"/>
  <c r="U41" i="1" s="1"/>
  <c r="AE35" i="1"/>
  <c r="AE34" i="1"/>
  <c r="AE29" i="1" a="1"/>
  <c r="AE29" i="1" s="1"/>
  <c r="Z35" i="1"/>
  <c r="Z34" i="1"/>
  <c r="Z29" i="1" a="1"/>
  <c r="Z29" i="1" s="1"/>
  <c r="U34" i="1"/>
  <c r="U33" i="1"/>
  <c r="U28" i="1" a="1"/>
  <c r="U28" i="1" s="1"/>
  <c r="AE23" i="1"/>
  <c r="AE22" i="1"/>
  <c r="AE17" i="1" a="1"/>
  <c r="AE17" i="1" s="1"/>
  <c r="Z22" i="1"/>
  <c r="Z21" i="1"/>
  <c r="Z16" i="1" a="1"/>
  <c r="Z16" i="1" s="1"/>
  <c r="U21" i="1"/>
  <c r="U20" i="1"/>
  <c r="U15" i="1" a="1"/>
  <c r="U15" i="1" s="1"/>
  <c r="AE9" i="1"/>
  <c r="AE8" i="1"/>
  <c r="AE3" i="1" a="1"/>
  <c r="AE3" i="1" s="1"/>
  <c r="Z9" i="1"/>
  <c r="Z8" i="1"/>
  <c r="Z3" i="1" a="1"/>
  <c r="Z3" i="1" s="1"/>
  <c r="U9" i="1"/>
  <c r="U8" i="1"/>
  <c r="U3" i="1" a="1"/>
  <c r="U3" i="1" s="1"/>
  <c r="O72" i="1"/>
  <c r="O71" i="1"/>
  <c r="O66" i="1" a="1"/>
  <c r="O66" i="1" s="1"/>
  <c r="J72" i="1"/>
  <c r="J71" i="1"/>
  <c r="J66" i="1" a="1"/>
  <c r="J66" i="1" s="1"/>
  <c r="E72" i="1"/>
  <c r="E71" i="1"/>
  <c r="E66" i="1" a="1"/>
  <c r="E66" i="1" s="1"/>
  <c r="O59" i="1"/>
  <c r="O58" i="1"/>
  <c r="O53" i="1" a="1"/>
  <c r="O53" i="1" s="1"/>
  <c r="J60" i="1"/>
  <c r="J59" i="1"/>
  <c r="J54" i="1" a="1"/>
  <c r="J54" i="1" s="1"/>
  <c r="E59" i="1"/>
  <c r="E58" i="1"/>
  <c r="E53" i="1" a="1"/>
  <c r="E53" i="1" s="1"/>
  <c r="J47" i="1"/>
  <c r="J46" i="1"/>
  <c r="J41" i="1" a="1"/>
  <c r="J41" i="1" s="1"/>
  <c r="E46" i="1"/>
  <c r="E45" i="1"/>
  <c r="E40" i="1" a="1"/>
  <c r="E40" i="1" s="1"/>
  <c r="O33" i="1"/>
  <c r="O32" i="1"/>
  <c r="O27" i="1" a="1"/>
  <c r="O27" i="1" s="1"/>
  <c r="J33" i="1"/>
  <c r="J32" i="1"/>
  <c r="J27" i="1" a="1"/>
  <c r="J27" i="1" s="1"/>
  <c r="E33" i="1"/>
  <c r="E32" i="1"/>
  <c r="E27" i="1" a="1"/>
  <c r="E27" i="1" s="1"/>
  <c r="P3" i="1" a="1"/>
  <c r="P3" i="1" s="1"/>
  <c r="O3" i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<sst xmlns="http://schemas.openxmlformats.org/spreadsheetml/2006/main" count="1990" uniqueCount="228">
  <si>
    <t xml:space="preserve"> </t>
  </si>
  <si>
    <t>Frequency</t>
  </si>
  <si>
    <t>Valid Percent</t>
  </si>
  <si>
    <t>Valid</t>
  </si>
  <si>
    <t>5 most important</t>
  </si>
  <si>
    <t>Total</t>
  </si>
  <si>
    <t>Missing</t>
  </si>
  <si>
    <t xml:space="preserve">Q8c_tree bike-walk - trees &amp; shade </t>
  </si>
  <si>
    <t xml:space="preserve">Q8c_ligh    bike-lighting </t>
  </si>
  <si>
    <t>1  least important</t>
  </si>
  <si>
    <t>Adel 2017</t>
  </si>
  <si>
    <t xml:space="preserve">Q8c_sit    bike-places to stop </t>
  </si>
  <si>
    <t xml:space="preserve">Q8c_wks    bike-well kept surroundings </t>
  </si>
  <si>
    <t xml:space="preserve">Q8c_bike    bike-bike racks </t>
  </si>
  <si>
    <t xml:space="preserve">Q8c_stop    bike-stop sign </t>
  </si>
  <si>
    <t xml:space="preserve">Q8c_rest    bike-restrooms </t>
  </si>
  <si>
    <t xml:space="preserve">Q8c_busi    bike-business </t>
  </si>
  <si>
    <t xml:space="preserve">Q8c_natu    bike-natural areas </t>
  </si>
  <si>
    <t xml:space="preserve">Q8c_coun    bike-countryside </t>
  </si>
  <si>
    <t xml:space="preserve">Q8c_trail    bike-trails </t>
  </si>
  <si>
    <t xml:space="preserve">Q8c_bird    bike-birds </t>
  </si>
  <si>
    <t xml:space="preserve">Q8c_seas    bike-seasonal beuty </t>
  </si>
  <si>
    <t xml:space="preserve">Q8c_oth    bike-other </t>
  </si>
  <si>
    <t>Q8c_tree</t>
  </si>
  <si>
    <t>1 least important</t>
  </si>
  <si>
    <t>Q8c_sit</t>
  </si>
  <si>
    <t>Q8c_wks</t>
  </si>
  <si>
    <t>Q8c_bike</t>
  </si>
  <si>
    <t>Q8c_stop</t>
  </si>
  <si>
    <t>Granger 2017</t>
  </si>
  <si>
    <t>Clarion 2017</t>
  </si>
  <si>
    <t xml:space="preserve">Q8c_tree    bike-walk - trees &amp; shade </t>
  </si>
  <si>
    <t>well kept</t>
  </si>
  <si>
    <t>Q8c_tree ‘Trees and shade’</t>
  </si>
  <si>
    <t>1 ‘Least Important’</t>
  </si>
  <si>
    <t>5 ‘Most Important’</t>
  </si>
  <si>
    <t>8 ‘NA’</t>
  </si>
  <si>
    <t>9 ‘MISSING’</t>
  </si>
  <si>
    <t>Madrid</t>
  </si>
  <si>
    <t>Q8c_ligh ‘Lighting’</t>
  </si>
  <si>
    <t>Q8c_sit ‘Places for people to stop and sit’</t>
  </si>
  <si>
    <t>Q8c_wks ‘Well-kept surroundings’</t>
  </si>
  <si>
    <t>Q8c_bike ‘Bike racks’</t>
  </si>
  <si>
    <t>Q8c_stop ‘Stop signs, traffic control’</t>
  </si>
  <si>
    <t>Q8c_rest ‘Access to restrooms’</t>
  </si>
  <si>
    <t>Q8c_busi ‘Access to businesses or schools’</t>
  </si>
  <si>
    <t>Q8c_natu ‘Access to natural areas’</t>
  </si>
  <si>
    <t>Q8c_coun ‘Access to surrounding countryside’</t>
  </si>
  <si>
    <t>Q8c_trail ‘Trails, trail access’</t>
  </si>
  <si>
    <t>Q8c_bird ‘Birds, watchable wildlife’</t>
  </si>
  <si>
    <t>Q8c_seas ‘Seasonal beauty’</t>
  </si>
  <si>
    <t>Q8c_oth ‘Other (please specify)’</t>
  </si>
  <si>
    <t>Q8d ‘feel safe biking’</t>
  </si>
  <si>
    <t>1 ‘No’</t>
  </si>
  <si>
    <t>2 ‘Yes’</t>
  </si>
  <si>
    <t>Elkader 2020</t>
  </si>
  <si>
    <t>Fairfax</t>
  </si>
  <si>
    <t>Elkader</t>
  </si>
  <si>
    <t>Polk City</t>
  </si>
  <si>
    <t>Reinbeck</t>
  </si>
  <si>
    <t>Avoca</t>
  </si>
  <si>
    <t>Q11g ‘Income’</t>
  </si>
  <si>
    <t>1 less than $10K</t>
  </si>
  <si>
    <t>2 $10000 to 14999</t>
  </si>
  <si>
    <t>3 $15000 to 24999</t>
  </si>
  <si>
    <t>4 $25000 to 34999</t>
  </si>
  <si>
    <t>5 $35000 to 49999</t>
  </si>
  <si>
    <t>6 $50000 to 74999</t>
  </si>
  <si>
    <t>7 $75000 to 99999</t>
  </si>
  <si>
    <t>8 100k and over</t>
  </si>
  <si>
    <t>9 missing</t>
  </si>
  <si>
    <t>Madrid City</t>
  </si>
  <si>
    <t>Mean</t>
  </si>
  <si>
    <t>2 ‘$10,000–$14,999’</t>
  </si>
  <si>
    <t>3 ‘$15,000–$24,999’</t>
  </si>
  <si>
    <t>4 ‘$25,000–$34,999’</t>
  </si>
  <si>
    <t>5 ‘$35,000–$49,999’</t>
  </si>
  <si>
    <t>6 ‘$50,000–$74,999’</t>
  </si>
  <si>
    <t>7 ‘$75,000–$99,999’</t>
  </si>
  <si>
    <t>8 ‘$100,000–or more‘</t>
  </si>
  <si>
    <t>9 ’ MISSING’</t>
  </si>
  <si>
    <t>Durant</t>
  </si>
  <si>
    <t>Durant 2019</t>
  </si>
  <si>
    <t>Van Meter 2019</t>
  </si>
  <si>
    <t>Mount Pleasant 2019</t>
  </si>
  <si>
    <t>Humboldt 2017</t>
  </si>
  <si>
    <t xml:space="preserve">Q11g    income </t>
  </si>
  <si>
    <t>1 less than $10,000</t>
  </si>
  <si>
    <t>2 $10,000 -$14,999</t>
  </si>
  <si>
    <t>3 $15,000-$24,999</t>
  </si>
  <si>
    <t>4 $25,000-$34,999</t>
  </si>
  <si>
    <t>5 $35,000-$49,999</t>
  </si>
  <si>
    <t>6 $50,000-$74,999</t>
  </si>
  <si>
    <t>7 $75,000-$99,999</t>
  </si>
  <si>
    <t>8  $100,000 or more</t>
  </si>
  <si>
    <t>Humboldt</t>
  </si>
  <si>
    <t>Q11g income</t>
  </si>
  <si>
    <t>2 $10,000-$14,999</t>
  </si>
  <si>
    <t>4  $25,000-$34,999</t>
  </si>
  <si>
    <t>6 $50,000- $74,999</t>
  </si>
  <si>
    <t>7 $75,000- $99,999</t>
  </si>
  <si>
    <t>8 $100,000 or more</t>
  </si>
  <si>
    <t>Q11g  Income level</t>
  </si>
  <si>
    <t>Percent</t>
  </si>
  <si>
    <t>Cumulative Percent</t>
  </si>
  <si>
    <t>1 less than 10,000</t>
  </si>
  <si>
    <t>2 10,000-14,999</t>
  </si>
  <si>
    <t>3 15,000-24,999</t>
  </si>
  <si>
    <t>4  25,000-34,999</t>
  </si>
  <si>
    <t>5 35,000-49,999</t>
  </si>
  <si>
    <t>6 50,000-74,999</t>
  </si>
  <si>
    <t>7 75,000-99,999</t>
  </si>
  <si>
    <t>8 100,000-or more</t>
  </si>
  <si>
    <t>Algona 2022</t>
  </si>
  <si>
    <t>West Branch 2022</t>
  </si>
  <si>
    <t>Logan 2022</t>
  </si>
  <si>
    <t>Dunlap 2022</t>
  </si>
  <si>
    <t>Tama 2021</t>
  </si>
  <si>
    <t>Cities</t>
  </si>
  <si>
    <t>Trees</t>
  </si>
  <si>
    <t>light</t>
  </si>
  <si>
    <t>sit</t>
  </si>
  <si>
    <t>bike</t>
  </si>
  <si>
    <t>stop</t>
  </si>
  <si>
    <t>rest</t>
  </si>
  <si>
    <t>business</t>
  </si>
  <si>
    <t>nature</t>
  </si>
  <si>
    <t>Countryside</t>
  </si>
  <si>
    <t>trail</t>
  </si>
  <si>
    <t>bird</t>
  </si>
  <si>
    <t>Calamus 2021</t>
  </si>
  <si>
    <t>Toledo 2021</t>
  </si>
  <si>
    <t>Emmetsburg 2021</t>
  </si>
  <si>
    <t>Shenandoah 2021</t>
  </si>
  <si>
    <t>Wheatfield 2021</t>
  </si>
  <si>
    <t>Alleman 2021</t>
  </si>
  <si>
    <t>Princeton 2021</t>
  </si>
  <si>
    <t>Avoca 2020</t>
  </si>
  <si>
    <t>Madrid 2020</t>
  </si>
  <si>
    <t>Fairfax 2020</t>
  </si>
  <si>
    <t>Polk City 2020</t>
  </si>
  <si>
    <t>Reinbeck 2020</t>
  </si>
  <si>
    <t>Granger 2021</t>
  </si>
  <si>
    <t>Q11g Income level</t>
  </si>
  <si>
    <t>4 25,000-34,999</t>
  </si>
  <si>
    <t>8 100,000 or more</t>
  </si>
  <si>
    <t>Algona 2021</t>
  </si>
  <si>
    <t>1 10,000 or less</t>
  </si>
  <si>
    <t>Emmmetsburg 2021</t>
  </si>
  <si>
    <t>8  100,000 or more</t>
  </si>
  <si>
    <t>Wheatland 2021</t>
  </si>
  <si>
    <t>5 35,000-49,9999</t>
  </si>
  <si>
    <t>8 100,000- or more</t>
  </si>
  <si>
    <t>alleman 2021</t>
  </si>
  <si>
    <t>durant 2019</t>
  </si>
  <si>
    <t>1 ‘Less than $10,000’</t>
  </si>
  <si>
    <t>Algona 2017</t>
  </si>
  <si>
    <t>Wapello 2018</t>
  </si>
  <si>
    <t>Coon Rapids 2018</t>
  </si>
  <si>
    <t>Decorah 2018</t>
  </si>
  <si>
    <t>Forest City 2018</t>
  </si>
  <si>
    <t>Glidden 2018</t>
  </si>
  <si>
    <t>Category</t>
  </si>
  <si>
    <t>Correlation</t>
  </si>
  <si>
    <t>Income</t>
  </si>
  <si>
    <t>Light</t>
  </si>
  <si>
    <t>Sit</t>
  </si>
  <si>
    <t>Well Kept</t>
  </si>
  <si>
    <t>Bike</t>
  </si>
  <si>
    <t>Stop</t>
  </si>
  <si>
    <t>Rest</t>
  </si>
  <si>
    <t>Business</t>
  </si>
  <si>
    <t>Nature</t>
  </si>
  <si>
    <t>Trail</t>
  </si>
  <si>
    <t>Bird</t>
  </si>
  <si>
    <t>City</t>
  </si>
  <si>
    <t>Adel</t>
  </si>
  <si>
    <t>Algona</t>
  </si>
  <si>
    <t>Alleman</t>
  </si>
  <si>
    <t>Calamus</t>
  </si>
  <si>
    <t>Clarion</t>
  </si>
  <si>
    <t>Coon Rapids</t>
  </si>
  <si>
    <t>Decorah</t>
  </si>
  <si>
    <t>Dunlap</t>
  </si>
  <si>
    <t>Emmetsburg</t>
  </si>
  <si>
    <t>Forest City</t>
  </si>
  <si>
    <t>Glidden</t>
  </si>
  <si>
    <t>Granger</t>
  </si>
  <si>
    <t>Logan</t>
  </si>
  <si>
    <t>Mount Pleasant</t>
  </si>
  <si>
    <t>Princeton</t>
  </si>
  <si>
    <t>Shenandoah</t>
  </si>
  <si>
    <t>Tama</t>
  </si>
  <si>
    <t>Toledo</t>
  </si>
  <si>
    <t>Van Meter</t>
  </si>
  <si>
    <t>Wapello</t>
  </si>
  <si>
    <t>West Branch</t>
  </si>
  <si>
    <t>Wheatland</t>
  </si>
  <si>
    <t>Mean_Age</t>
  </si>
  <si>
    <t>Year of survey</t>
  </si>
  <si>
    <t>Single</t>
  </si>
  <si>
    <t>Widowed</t>
  </si>
  <si>
    <t>Factors</t>
  </si>
  <si>
    <t>Bike Racks</t>
  </si>
  <si>
    <t>Naturee</t>
  </si>
  <si>
    <t>Factor</t>
  </si>
  <si>
    <t>Trees and Shade</t>
  </si>
  <si>
    <t>Lighting</t>
  </si>
  <si>
    <t>Places to Stop</t>
  </si>
  <si>
    <t>Well Kept Surroundings</t>
  </si>
  <si>
    <t>Pet Facilities</t>
  </si>
  <si>
    <t>Stop Signs</t>
  </si>
  <si>
    <t>Restrooms</t>
  </si>
  <si>
    <t>Natural Areas</t>
  </si>
  <si>
    <t>Sidewalks</t>
  </si>
  <si>
    <t>Trails</t>
  </si>
  <si>
    <t>Birds</t>
  </si>
  <si>
    <t>Curb Ramps</t>
  </si>
  <si>
    <t>Seasonal Beauty</t>
  </si>
  <si>
    <t>Trees &amp; Shade</t>
  </si>
  <si>
    <t>Vehicular Traffic</t>
  </si>
  <si>
    <t>Downtown</t>
  </si>
  <si>
    <t>Trail Length</t>
  </si>
  <si>
    <t>Other</t>
  </si>
  <si>
    <t>Rest Areas</t>
  </si>
  <si>
    <t>Businesses</t>
  </si>
  <si>
    <t>Divorced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</si>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</sst>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7"/>
      <color rgb="FF444444"/>
      <name val="Calibri"/>
      <family val="2"/>
      <scheme val="minor"/>
    </font>
    <font>
      <b/>
      <sz val="9"/>
      <color rgb="FF000000"/>
      <name val="Arial Bold"/>
    </font>
    <font>
      <b/>
      <sz val="11"/>
      <color rgb="FF993300"/>
      <name val="Arial Bold"/>
    </font>
    <font>
      <sz val="9"/>
      <color rgb="FF333399"/>
      <name val="Arial"/>
      <family val="2"/>
    </font>
    <font>
      <sz val="9"/>
      <color rgb="FF993300"/>
      <name val="Arial"/>
      <family val="2"/>
    </font>
    <font>
      <sz val="9"/>
      <color rgb="FF333399"/>
      <name val="Arial"/>
    </font>
    <font>
      <sz val="9"/>
      <color rgb="FF993300"/>
      <name val="Arial"/>
    </font>
    <font>
      <sz val="11"/>
      <color rgb="FF000000"/>
      <name val="Calibri"/>
      <family val="2"/>
      <scheme val="minor"/>
    </font>
    <font>
      <sz val="9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7"/>
      <color rgb="FF08080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93366"/>
      </bottom>
      <diagonal/>
    </border>
    <border>
      <left/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 style="thin">
        <color rgb="FF333333"/>
      </right>
      <top/>
      <bottom style="thin">
        <color rgb="FF993366"/>
      </bottom>
      <diagonal/>
    </border>
    <border>
      <left/>
      <right/>
      <top style="thin">
        <color rgb="FF993366"/>
      </top>
      <bottom style="thin">
        <color rgb="FFC0C0C0"/>
      </bottom>
      <diagonal/>
    </border>
    <border>
      <left/>
      <right/>
      <top style="thin">
        <color rgb="FF993366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C0C0C0"/>
      </top>
      <bottom style="thin">
        <color rgb="FF993366"/>
      </bottom>
      <diagonal/>
    </border>
    <border>
      <left/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/>
      <top style="thin">
        <color rgb="FFC0C0C0"/>
      </top>
      <bottom style="thin">
        <color rgb="FFC0C0C0"/>
      </bottom>
      <diagonal/>
    </border>
    <border>
      <left style="thin">
        <color rgb="FF333333"/>
      </left>
      <right/>
      <top/>
      <bottom style="thin">
        <color rgb="FF993366"/>
      </bottom>
      <diagonal/>
    </border>
    <border>
      <left style="thin">
        <color rgb="FF333333"/>
      </left>
      <right/>
      <top style="thin">
        <color rgb="FF993366"/>
      </top>
      <bottom style="thin">
        <color rgb="FFC0C0C0"/>
      </bottom>
      <diagonal/>
    </border>
    <border>
      <left style="thin">
        <color rgb="FF333333"/>
      </left>
      <right/>
      <top style="thin">
        <color rgb="FFC0C0C0"/>
      </top>
      <bottom style="thin">
        <color rgb="FF993366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1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top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2" borderId="21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horizontal="right" vertical="top"/>
    </xf>
    <xf numFmtId="0" fontId="7" fillId="0" borderId="25" xfId="0" applyFont="1" applyBorder="1" applyAlignment="1">
      <alignment horizontal="right" vertical="top"/>
    </xf>
    <xf numFmtId="0" fontId="6" fillId="2" borderId="26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right" vertical="top"/>
    </xf>
    <xf numFmtId="0" fontId="7" fillId="0" borderId="28" xfId="0" applyFont="1" applyBorder="1" applyAlignment="1">
      <alignment horizontal="right" vertical="top"/>
    </xf>
    <xf numFmtId="0" fontId="6" fillId="2" borderId="26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right" vertical="top"/>
    </xf>
    <xf numFmtId="0" fontId="7" fillId="0" borderId="32" xfId="0" applyFont="1" applyBorder="1" applyAlignment="1">
      <alignment horizontal="left" vertical="top" wrapText="1"/>
    </xf>
    <xf numFmtId="0" fontId="1" fillId="0" borderId="0" xfId="0" applyFont="1"/>
    <xf numFmtId="0" fontId="6" fillId="2" borderId="21" xfId="0" applyFont="1" applyFill="1" applyBorder="1" applyAlignment="1">
      <alignment horizontal="left" vertical="top"/>
    </xf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21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right" vertical="top"/>
    </xf>
    <xf numFmtId="0" fontId="9" fillId="0" borderId="25" xfId="0" applyFont="1" applyBorder="1" applyAlignment="1">
      <alignment horizontal="right" vertical="top"/>
    </xf>
    <xf numFmtId="0" fontId="8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right" vertical="top"/>
    </xf>
    <xf numFmtId="0" fontId="9" fillId="0" borderId="28" xfId="0" applyFont="1" applyBorder="1" applyAlignment="1">
      <alignment horizontal="right" vertical="top"/>
    </xf>
    <xf numFmtId="0" fontId="9" fillId="0" borderId="28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right" vertical="top"/>
    </xf>
    <xf numFmtId="0" fontId="9" fillId="0" borderId="32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center" wrapText="1"/>
    </xf>
    <xf numFmtId="0" fontId="7" fillId="0" borderId="35" xfId="0" applyFont="1" applyBorder="1" applyAlignment="1">
      <alignment horizontal="right" vertical="top"/>
    </xf>
    <xf numFmtId="0" fontId="7" fillId="0" borderId="33" xfId="0" applyFont="1" applyBorder="1" applyAlignment="1">
      <alignment horizontal="right" vertical="top"/>
    </xf>
    <xf numFmtId="0" fontId="7" fillId="0" borderId="33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right" vertical="top"/>
    </xf>
    <xf numFmtId="0" fontId="7" fillId="0" borderId="36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/>
    </xf>
    <xf numFmtId="0" fontId="7" fillId="3" borderId="25" xfId="0" applyFont="1" applyFill="1" applyBorder="1" applyAlignment="1">
      <alignment horizontal="right" vertical="top"/>
    </xf>
    <xf numFmtId="0" fontId="7" fillId="3" borderId="28" xfId="0" applyFont="1" applyFill="1" applyBorder="1" applyAlignment="1">
      <alignment horizontal="right" vertical="top"/>
    </xf>
    <xf numFmtId="0" fontId="2" fillId="0" borderId="12" xfId="0" applyFont="1" applyFill="1" applyBorder="1" applyAlignment="1">
      <alignment horizontal="right" vertical="top"/>
    </xf>
    <xf numFmtId="0" fontId="7" fillId="3" borderId="24" xfId="0" applyFont="1" applyFill="1" applyBorder="1" applyAlignment="1">
      <alignment horizontal="right" vertical="top"/>
    </xf>
    <xf numFmtId="0" fontId="7" fillId="3" borderId="27" xfId="0" applyFont="1" applyFill="1" applyBorder="1" applyAlignment="1">
      <alignment horizontal="right" vertical="top"/>
    </xf>
    <xf numFmtId="0" fontId="7" fillId="3" borderId="28" xfId="0" applyFont="1" applyFill="1" applyBorder="1" applyAlignment="1">
      <alignment horizontal="left" vertical="top" wrapText="1"/>
    </xf>
    <xf numFmtId="0" fontId="7" fillId="3" borderId="31" xfId="0" applyFont="1" applyFill="1" applyBorder="1" applyAlignment="1">
      <alignment horizontal="right" vertical="top"/>
    </xf>
    <xf numFmtId="0" fontId="7" fillId="3" borderId="32" xfId="0" applyFont="1" applyFill="1" applyBorder="1" applyAlignment="1">
      <alignment horizontal="right" vertical="top"/>
    </xf>
    <xf numFmtId="0" fontId="7" fillId="3" borderId="32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right" vertical="top"/>
    </xf>
    <xf numFmtId="0" fontId="7" fillId="3" borderId="35" xfId="0" applyFont="1" applyFill="1" applyBorder="1" applyAlignment="1">
      <alignment horizontal="right" vertical="top"/>
    </xf>
    <xf numFmtId="0" fontId="7" fillId="3" borderId="33" xfId="0" applyFont="1" applyFill="1" applyBorder="1" applyAlignment="1">
      <alignment horizontal="right" vertical="top"/>
    </xf>
    <xf numFmtId="0" fontId="7" fillId="3" borderId="33" xfId="0" applyFont="1" applyFill="1" applyBorder="1" applyAlignment="1">
      <alignment horizontal="left" vertical="top" wrapText="1"/>
    </xf>
    <xf numFmtId="0" fontId="7" fillId="3" borderId="36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9" xfId="0" applyFont="1" applyBorder="1" applyAlignment="1">
      <alignment horizontal="right" vertical="top"/>
    </xf>
    <xf numFmtId="0" fontId="11" fillId="0" borderId="12" xfId="0" applyFont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18" xfId="0" applyFont="1" applyBorder="1" applyAlignment="1">
      <alignment horizontal="left" wrapText="1"/>
    </xf>
    <xf numFmtId="0" fontId="6" fillId="2" borderId="22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6" fillId="2" borderId="30" xfId="0" applyFont="1" applyFill="1" applyBorder="1" applyAlignment="1">
      <alignment horizontal="left" vertical="top" wrapText="1"/>
    </xf>
    <xf numFmtId="0" fontId="5" fillId="0" borderId="2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wrapText="1"/>
    </xf>
    <xf numFmtId="0" fontId="8" fillId="0" borderId="2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D0AF-D7AB-490E-A08D-CB7589F98530}">
  <dimension ref="A1:AV185"/>
  <sheetViews>
    <sheetView topLeftCell="L1" zoomScale="59" zoomScaleNormal="59" workbookViewId="0">
      <selection activeCell="AV3" sqref="AV3:AV17"/>
    </sheetView>
  </sheetViews>
  <sheetFormatPr defaultRowHeight="14.5" x14ac:dyDescent="0.35"/>
  <sheetData>
    <row r="1" spans="1:48" ht="15" thickBot="1" x14ac:dyDescent="0.4">
      <c r="A1" s="76" t="s">
        <v>10</v>
      </c>
      <c r="B1" s="76"/>
      <c r="C1" s="76"/>
      <c r="D1" s="76"/>
      <c r="F1" s="75" t="s">
        <v>30</v>
      </c>
      <c r="G1" s="75"/>
      <c r="H1" s="75"/>
      <c r="I1" s="75"/>
      <c r="K1" s="75" t="s">
        <v>29</v>
      </c>
      <c r="L1" s="75"/>
      <c r="M1" s="75"/>
      <c r="N1" s="75"/>
      <c r="Q1" s="75" t="s">
        <v>38</v>
      </c>
      <c r="R1" s="75"/>
      <c r="S1" s="75"/>
      <c r="T1" s="75"/>
      <c r="V1" s="75" t="s">
        <v>55</v>
      </c>
      <c r="W1" s="75"/>
      <c r="X1" s="75"/>
      <c r="Y1" s="75"/>
      <c r="AA1" s="75" t="s">
        <v>56</v>
      </c>
      <c r="AB1" s="75"/>
      <c r="AC1" s="75"/>
      <c r="AD1" s="75"/>
      <c r="AF1" s="75" t="s">
        <v>58</v>
      </c>
      <c r="AG1" s="75"/>
      <c r="AH1" s="75"/>
      <c r="AI1" s="75"/>
      <c r="AK1" s="75" t="s">
        <v>59</v>
      </c>
      <c r="AL1" s="75"/>
      <c r="AM1" s="75"/>
      <c r="AN1" s="75"/>
      <c r="AP1" s="75" t="s">
        <v>60</v>
      </c>
      <c r="AQ1" s="75"/>
      <c r="AR1" s="75"/>
      <c r="AS1" s="75"/>
    </row>
    <row r="2" spans="1:48" ht="15" thickBot="1" x14ac:dyDescent="0.4">
      <c r="A2" s="13" t="s">
        <v>7</v>
      </c>
      <c r="B2" s="12"/>
      <c r="C2" s="12"/>
      <c r="D2" s="12"/>
      <c r="F2" s="74" t="s">
        <v>31</v>
      </c>
      <c r="G2" s="74"/>
      <c r="H2" s="74"/>
      <c r="I2" s="74"/>
      <c r="K2" s="74" t="s">
        <v>23</v>
      </c>
      <c r="L2" s="74"/>
      <c r="M2" s="74"/>
      <c r="N2" s="74"/>
      <c r="Q2" s="77" t="s">
        <v>33</v>
      </c>
      <c r="R2" s="77"/>
      <c r="S2" s="77"/>
      <c r="T2" s="77"/>
      <c r="V2" s="77" t="s">
        <v>33</v>
      </c>
      <c r="W2" s="77"/>
      <c r="X2" s="77"/>
      <c r="Y2" s="77"/>
      <c r="AA2" s="77" t="s">
        <v>33</v>
      </c>
      <c r="AB2" s="77"/>
      <c r="AC2" s="77"/>
      <c r="AD2" s="77"/>
      <c r="AF2" s="77" t="s">
        <v>33</v>
      </c>
      <c r="AG2" s="77"/>
      <c r="AH2" s="77"/>
      <c r="AI2" s="77"/>
      <c r="AK2" s="77" t="s">
        <v>33</v>
      </c>
      <c r="AL2" s="77"/>
      <c r="AM2" s="77"/>
      <c r="AN2" s="77"/>
      <c r="AP2" s="77" t="s">
        <v>33</v>
      </c>
      <c r="AQ2" s="77"/>
      <c r="AR2" s="77"/>
      <c r="AS2" s="77"/>
    </row>
    <row r="3" spans="1:48" ht="24.5" thickBot="1" x14ac:dyDescent="0.4">
      <c r="A3" s="68" t="s">
        <v>0</v>
      </c>
      <c r="B3" s="69"/>
      <c r="C3" s="1" t="s">
        <v>1</v>
      </c>
      <c r="D3" s="2" t="s">
        <v>2</v>
      </c>
      <c r="F3" s="68" t="s">
        <v>0</v>
      </c>
      <c r="G3" s="69"/>
      <c r="H3" s="1" t="s">
        <v>1</v>
      </c>
      <c r="I3" s="2" t="s">
        <v>2</v>
      </c>
      <c r="K3" s="68" t="s">
        <v>0</v>
      </c>
      <c r="L3" s="69"/>
      <c r="M3" s="1" t="s">
        <v>1</v>
      </c>
      <c r="N3" s="2" t="s">
        <v>2</v>
      </c>
      <c r="O3" cm="1">
        <f t="array" ref="O3:O7">L4:L8*M4:M8</f>
        <v>4</v>
      </c>
      <c r="P3" cm="1">
        <f t="array" ref="P3:P7">M4:M8/SUM(_xlfn.ANCHORARRAY(O3))</f>
        <v>2.0100502512562814E-2</v>
      </c>
      <c r="Q3" s="78"/>
      <c r="R3" s="78"/>
      <c r="S3" s="15" t="s">
        <v>1</v>
      </c>
      <c r="T3" s="16" t="s">
        <v>2</v>
      </c>
      <c r="U3" cm="1">
        <f t="array" ref="U3:U7">R4:R8*S4:S8</f>
        <v>2</v>
      </c>
      <c r="V3" s="78"/>
      <c r="W3" s="78"/>
      <c r="X3" s="15" t="s">
        <v>1</v>
      </c>
      <c r="Y3" s="16" t="s">
        <v>2</v>
      </c>
      <c r="Z3" cm="1">
        <f t="array" ref="Z3:Z7">R4:R8*X4:X8</f>
        <v>2</v>
      </c>
      <c r="AA3" s="78"/>
      <c r="AB3" s="78"/>
      <c r="AC3" s="15" t="s">
        <v>1</v>
      </c>
      <c r="AD3" s="16" t="s">
        <v>2</v>
      </c>
      <c r="AE3" cm="1">
        <f t="array" ref="AE3:AE7">R4:R8*AC4:AC8</f>
        <v>3</v>
      </c>
      <c r="AF3" s="78"/>
      <c r="AG3" s="78"/>
      <c r="AH3" s="15" t="s">
        <v>1</v>
      </c>
      <c r="AI3" s="16" t="s">
        <v>2</v>
      </c>
      <c r="AK3" s="78"/>
      <c r="AL3" s="78"/>
      <c r="AM3" s="15" t="s">
        <v>1</v>
      </c>
      <c r="AN3" s="16" t="s">
        <v>2</v>
      </c>
      <c r="AP3" s="78"/>
      <c r="AQ3" s="78"/>
      <c r="AR3" s="15" t="s">
        <v>1</v>
      </c>
      <c r="AS3" s="16" t="s">
        <v>2</v>
      </c>
      <c r="AT3" cm="1">
        <f t="array" ref="AT3:AT7">AG4:AG8*AR4:AR8</f>
        <v>4</v>
      </c>
      <c r="AU3" cm="1">
        <f t="array" ref="AU3:AU6">AT3:AT6</f>
        <v>4</v>
      </c>
      <c r="AV3" s="47">
        <v>3.25</v>
      </c>
    </row>
    <row r="4" spans="1:48" ht="23" x14ac:dyDescent="0.35">
      <c r="A4" s="70" t="s">
        <v>3</v>
      </c>
      <c r="B4" s="3">
        <v>2</v>
      </c>
      <c r="C4" s="4">
        <v>3</v>
      </c>
      <c r="D4" s="5">
        <v>4.9000000000000004</v>
      </c>
      <c r="F4" s="70" t="s">
        <v>3</v>
      </c>
      <c r="G4" s="3" t="s">
        <v>9</v>
      </c>
      <c r="H4" s="4">
        <v>5</v>
      </c>
      <c r="I4" s="5">
        <v>13.9</v>
      </c>
      <c r="K4" s="70" t="s">
        <v>3</v>
      </c>
      <c r="L4" s="3">
        <v>1</v>
      </c>
      <c r="M4" s="4">
        <v>4</v>
      </c>
      <c r="N4" s="5">
        <v>6.6</v>
      </c>
      <c r="O4">
        <v>28</v>
      </c>
      <c r="P4">
        <v>7.0351758793969849E-2</v>
      </c>
      <c r="Q4" s="79" t="s">
        <v>3</v>
      </c>
      <c r="R4" s="17">
        <v>1</v>
      </c>
      <c r="S4" s="18">
        <v>2</v>
      </c>
      <c r="T4" s="19">
        <v>4</v>
      </c>
      <c r="U4">
        <v>6</v>
      </c>
      <c r="V4" s="79" t="s">
        <v>3</v>
      </c>
      <c r="W4" s="17" t="s">
        <v>34</v>
      </c>
      <c r="X4" s="18">
        <v>2</v>
      </c>
      <c r="Y4" s="19">
        <v>10</v>
      </c>
      <c r="Z4">
        <v>8</v>
      </c>
      <c r="AA4" s="79" t="s">
        <v>3</v>
      </c>
      <c r="AB4" s="17" t="s">
        <v>34</v>
      </c>
      <c r="AC4" s="18">
        <v>3</v>
      </c>
      <c r="AD4" s="19">
        <v>7.7</v>
      </c>
      <c r="AE4">
        <v>6</v>
      </c>
      <c r="AF4" s="79" t="s">
        <v>3</v>
      </c>
      <c r="AG4" s="17">
        <v>1</v>
      </c>
      <c r="AH4" s="18">
        <v>5</v>
      </c>
      <c r="AI4" s="19">
        <v>7.5</v>
      </c>
      <c r="AJ4" cm="1">
        <f t="array" ref="AJ4:AJ8">AG4:AG8*AH4:AH8</f>
        <v>5</v>
      </c>
      <c r="AK4" s="79" t="s">
        <v>3</v>
      </c>
      <c r="AL4" s="17" t="s">
        <v>34</v>
      </c>
      <c r="AM4" s="18">
        <v>2</v>
      </c>
      <c r="AN4" s="19">
        <v>6.9</v>
      </c>
      <c r="AO4" cm="1">
        <f t="array" ref="AO4:AO8">AG4:AG8*AM4:AM8</f>
        <v>2</v>
      </c>
      <c r="AP4" s="79" t="s">
        <v>3</v>
      </c>
      <c r="AQ4" s="28">
        <v>2</v>
      </c>
      <c r="AR4" s="18">
        <v>4</v>
      </c>
      <c r="AS4" s="19">
        <v>13.3</v>
      </c>
      <c r="AT4">
        <v>20</v>
      </c>
      <c r="AU4">
        <v>20</v>
      </c>
      <c r="AV4" s="48">
        <v>2.91</v>
      </c>
    </row>
    <row r="5" spans="1:48" x14ac:dyDescent="0.35">
      <c r="A5" s="71"/>
      <c r="B5" s="6">
        <v>3</v>
      </c>
      <c r="C5" s="7">
        <v>15</v>
      </c>
      <c r="D5" s="8">
        <v>24.6</v>
      </c>
      <c r="F5" s="71"/>
      <c r="G5" s="6">
        <v>2</v>
      </c>
      <c r="H5" s="7">
        <v>6</v>
      </c>
      <c r="I5" s="8">
        <v>16.7</v>
      </c>
      <c r="K5" s="71"/>
      <c r="L5" s="6">
        <v>2</v>
      </c>
      <c r="M5" s="7">
        <v>14</v>
      </c>
      <c r="N5" s="8">
        <v>23</v>
      </c>
      <c r="O5">
        <v>48</v>
      </c>
      <c r="P5">
        <v>8.0402010050251257E-2</v>
      </c>
      <c r="Q5" s="80"/>
      <c r="R5" s="20">
        <v>2</v>
      </c>
      <c r="S5" s="21">
        <v>3</v>
      </c>
      <c r="T5" s="22">
        <v>6</v>
      </c>
      <c r="U5">
        <v>48</v>
      </c>
      <c r="V5" s="80"/>
      <c r="W5" s="20">
        <v>2</v>
      </c>
      <c r="X5" s="21">
        <v>4</v>
      </c>
      <c r="Y5" s="22">
        <v>20</v>
      </c>
      <c r="Z5">
        <v>12</v>
      </c>
      <c r="AA5" s="80"/>
      <c r="AB5" s="20">
        <v>2</v>
      </c>
      <c r="AC5" s="21">
        <v>3</v>
      </c>
      <c r="AD5" s="22">
        <v>7.7</v>
      </c>
      <c r="AE5">
        <v>39</v>
      </c>
      <c r="AF5" s="80"/>
      <c r="AG5" s="20">
        <v>2</v>
      </c>
      <c r="AH5" s="21">
        <v>5</v>
      </c>
      <c r="AI5" s="22">
        <v>7.5</v>
      </c>
      <c r="AJ5">
        <v>10</v>
      </c>
      <c r="AK5" s="80"/>
      <c r="AL5" s="20">
        <v>2</v>
      </c>
      <c r="AM5" s="21">
        <v>2</v>
      </c>
      <c r="AN5" s="22">
        <v>6.9</v>
      </c>
      <c r="AO5">
        <v>4</v>
      </c>
      <c r="AP5" s="80"/>
      <c r="AQ5" s="20">
        <v>3</v>
      </c>
      <c r="AR5" s="21">
        <v>10</v>
      </c>
      <c r="AS5" s="22">
        <v>33.299999999999997</v>
      </c>
      <c r="AT5">
        <v>27</v>
      </c>
      <c r="AU5">
        <v>27</v>
      </c>
      <c r="AV5" s="48">
        <v>2.2000000000000002</v>
      </c>
    </row>
    <row r="6" spans="1:48" x14ac:dyDescent="0.35">
      <c r="A6" s="71"/>
      <c r="B6" s="6">
        <v>4</v>
      </c>
      <c r="C6" s="7">
        <v>27</v>
      </c>
      <c r="D6" s="8">
        <v>44.3</v>
      </c>
      <c r="F6" s="71"/>
      <c r="G6" s="6">
        <v>3</v>
      </c>
      <c r="H6" s="7">
        <v>11</v>
      </c>
      <c r="I6" s="8">
        <v>30.6</v>
      </c>
      <c r="K6" s="71"/>
      <c r="L6" s="6">
        <v>3</v>
      </c>
      <c r="M6" s="7">
        <v>16</v>
      </c>
      <c r="N6" s="8">
        <v>26.2</v>
      </c>
      <c r="O6">
        <v>64</v>
      </c>
      <c r="P6">
        <v>8.0402010050251257E-2</v>
      </c>
      <c r="Q6" s="80"/>
      <c r="R6" s="20">
        <v>3</v>
      </c>
      <c r="S6" s="21">
        <v>16</v>
      </c>
      <c r="T6" s="22">
        <v>32</v>
      </c>
      <c r="U6">
        <v>56</v>
      </c>
      <c r="V6" s="80"/>
      <c r="W6" s="20">
        <v>3</v>
      </c>
      <c r="X6" s="21">
        <v>4</v>
      </c>
      <c r="Y6" s="22">
        <v>20</v>
      </c>
      <c r="Z6">
        <v>32</v>
      </c>
      <c r="AA6" s="80"/>
      <c r="AB6" s="20">
        <v>3</v>
      </c>
      <c r="AC6" s="21">
        <v>13</v>
      </c>
      <c r="AD6" s="22">
        <v>33.299999999999997</v>
      </c>
      <c r="AE6">
        <v>60</v>
      </c>
      <c r="AF6" s="80"/>
      <c r="AG6" s="20">
        <v>3</v>
      </c>
      <c r="AH6" s="21">
        <v>17</v>
      </c>
      <c r="AI6" s="22">
        <v>25.4</v>
      </c>
      <c r="AJ6">
        <v>51</v>
      </c>
      <c r="AK6" s="80"/>
      <c r="AL6" s="20">
        <v>3</v>
      </c>
      <c r="AM6" s="21">
        <v>9</v>
      </c>
      <c r="AN6" s="22">
        <v>31</v>
      </c>
      <c r="AO6">
        <v>27</v>
      </c>
      <c r="AP6" s="80"/>
      <c r="AQ6" s="20">
        <v>4</v>
      </c>
      <c r="AR6" s="21">
        <v>9</v>
      </c>
      <c r="AS6" s="22">
        <v>30</v>
      </c>
      <c r="AT6">
        <v>28</v>
      </c>
      <c r="AU6">
        <v>28</v>
      </c>
      <c r="AV6" s="48">
        <v>3.91</v>
      </c>
    </row>
    <row r="7" spans="1:48" ht="23" x14ac:dyDescent="0.35">
      <c r="A7" s="71"/>
      <c r="B7" s="6" t="s">
        <v>4</v>
      </c>
      <c r="C7" s="7">
        <v>16</v>
      </c>
      <c r="D7" s="8">
        <v>26.2</v>
      </c>
      <c r="F7" s="71"/>
      <c r="G7" s="6">
        <v>4</v>
      </c>
      <c r="H7" s="7">
        <v>9</v>
      </c>
      <c r="I7" s="8">
        <v>25</v>
      </c>
      <c r="K7" s="71"/>
      <c r="L7" s="6">
        <v>4</v>
      </c>
      <c r="M7" s="7">
        <v>16</v>
      </c>
      <c r="N7" s="8">
        <v>26.2</v>
      </c>
      <c r="O7">
        <v>55</v>
      </c>
      <c r="P7">
        <v>5.5276381909547742E-2</v>
      </c>
      <c r="Q7" s="80"/>
      <c r="R7" s="20">
        <v>4</v>
      </c>
      <c r="S7" s="21">
        <v>14</v>
      </c>
      <c r="T7" s="22">
        <v>28</v>
      </c>
      <c r="U7">
        <v>75</v>
      </c>
      <c r="V7" s="80"/>
      <c r="W7" s="20">
        <v>4</v>
      </c>
      <c r="X7" s="21">
        <v>8</v>
      </c>
      <c r="Y7" s="22">
        <v>40</v>
      </c>
      <c r="Z7">
        <v>10</v>
      </c>
      <c r="AA7" s="80"/>
      <c r="AB7" s="20">
        <v>4</v>
      </c>
      <c r="AC7" s="21">
        <v>15</v>
      </c>
      <c r="AD7" s="22">
        <v>38.5</v>
      </c>
      <c r="AE7">
        <v>25</v>
      </c>
      <c r="AF7" s="80"/>
      <c r="AG7" s="20">
        <v>4</v>
      </c>
      <c r="AH7" s="21">
        <v>28</v>
      </c>
      <c r="AI7" s="22">
        <v>41.8</v>
      </c>
      <c r="AJ7">
        <v>112</v>
      </c>
      <c r="AK7" s="80"/>
      <c r="AL7" s="20">
        <v>4</v>
      </c>
      <c r="AM7" s="21">
        <v>13</v>
      </c>
      <c r="AN7" s="22">
        <v>44.8</v>
      </c>
      <c r="AO7">
        <v>52</v>
      </c>
      <c r="AP7" s="80"/>
      <c r="AQ7" s="23" t="s">
        <v>35</v>
      </c>
      <c r="AR7" s="21">
        <v>7</v>
      </c>
      <c r="AS7" s="22">
        <v>23.3</v>
      </c>
      <c r="AT7">
        <v>150</v>
      </c>
      <c r="AU7">
        <f>SUM(_xlfn.ANCHORARRAY(AU3))</f>
        <v>79</v>
      </c>
      <c r="AV7" s="48">
        <v>1.91</v>
      </c>
    </row>
    <row r="8" spans="1:48" ht="23" x14ac:dyDescent="0.35">
      <c r="A8" s="71"/>
      <c r="B8" s="6" t="s">
        <v>5</v>
      </c>
      <c r="C8" s="7">
        <v>61</v>
      </c>
      <c r="D8" s="8">
        <v>100</v>
      </c>
      <c r="F8" s="71"/>
      <c r="G8" s="6" t="s">
        <v>4</v>
      </c>
      <c r="H8" s="7">
        <v>5</v>
      </c>
      <c r="I8" s="8">
        <v>13.9</v>
      </c>
      <c r="K8" s="71"/>
      <c r="L8" s="6">
        <v>5</v>
      </c>
      <c r="M8" s="7">
        <v>11</v>
      </c>
      <c r="N8" s="8">
        <v>18</v>
      </c>
      <c r="Q8" s="80"/>
      <c r="R8" s="23">
        <v>5</v>
      </c>
      <c r="S8" s="21">
        <v>15</v>
      </c>
      <c r="T8" s="22">
        <v>30</v>
      </c>
      <c r="U8">
        <f>SUM(_xlfn.ANCHORARRAY(U3))</f>
        <v>187</v>
      </c>
      <c r="V8" s="80"/>
      <c r="W8" s="23" t="s">
        <v>35</v>
      </c>
      <c r="X8" s="21">
        <v>2</v>
      </c>
      <c r="Y8" s="22">
        <v>10</v>
      </c>
      <c r="Z8">
        <f>SUM(_xlfn.ANCHORARRAY(Z3))</f>
        <v>64</v>
      </c>
      <c r="AA8" s="80"/>
      <c r="AB8" s="23" t="s">
        <v>35</v>
      </c>
      <c r="AC8" s="21">
        <v>5</v>
      </c>
      <c r="AD8" s="22">
        <v>12.8</v>
      </c>
      <c r="AE8">
        <f>SUM(_xlfn.ANCHORARRAY(AE3))</f>
        <v>133</v>
      </c>
      <c r="AF8" s="80"/>
      <c r="AG8" s="23">
        <v>5</v>
      </c>
      <c r="AH8" s="21">
        <v>12</v>
      </c>
      <c r="AI8" s="22">
        <v>17.899999999999999</v>
      </c>
      <c r="AJ8">
        <v>60</v>
      </c>
      <c r="AK8" s="80"/>
      <c r="AL8" s="23" t="s">
        <v>35</v>
      </c>
      <c r="AM8" s="21">
        <v>3</v>
      </c>
      <c r="AN8" s="22">
        <v>10.3</v>
      </c>
      <c r="AO8">
        <v>15</v>
      </c>
      <c r="AP8" s="81"/>
      <c r="AQ8" s="23" t="s">
        <v>5</v>
      </c>
      <c r="AR8" s="21">
        <v>30</v>
      </c>
      <c r="AS8" s="22">
        <v>100</v>
      </c>
      <c r="AU8">
        <f>AU7/30</f>
        <v>2.6333333333333333</v>
      </c>
      <c r="AV8" s="48">
        <v>2.5499999999999998</v>
      </c>
    </row>
    <row r="9" spans="1:48" x14ac:dyDescent="0.35">
      <c r="A9" s="71" t="s">
        <v>6</v>
      </c>
      <c r="B9" s="6">
        <v>8</v>
      </c>
      <c r="C9" s="7">
        <v>108</v>
      </c>
      <c r="D9" s="9"/>
      <c r="F9" s="71"/>
      <c r="G9" s="6" t="s">
        <v>5</v>
      </c>
      <c r="H9" s="7">
        <v>36</v>
      </c>
      <c r="I9" s="8">
        <v>100</v>
      </c>
      <c r="K9" s="71"/>
      <c r="L9" s="6" t="s">
        <v>5</v>
      </c>
      <c r="M9" s="7">
        <v>61</v>
      </c>
      <c r="N9" s="8">
        <v>100</v>
      </c>
      <c r="Q9" s="81"/>
      <c r="R9" s="23" t="s">
        <v>5</v>
      </c>
      <c r="S9" s="21">
        <v>50</v>
      </c>
      <c r="T9" s="22">
        <v>100</v>
      </c>
      <c r="U9">
        <f>U8/S9</f>
        <v>3.74</v>
      </c>
      <c r="V9" s="81"/>
      <c r="W9" s="23" t="s">
        <v>5</v>
      </c>
      <c r="X9" s="21">
        <v>20</v>
      </c>
      <c r="Y9" s="22">
        <v>100</v>
      </c>
      <c r="Z9">
        <f>Z8/X9</f>
        <v>3.2</v>
      </c>
      <c r="AA9" s="81"/>
      <c r="AB9" s="23" t="s">
        <v>5</v>
      </c>
      <c r="AC9" s="21">
        <v>39</v>
      </c>
      <c r="AD9" s="22">
        <v>100</v>
      </c>
      <c r="AE9">
        <f>AE8/AC9</f>
        <v>3.4102564102564101</v>
      </c>
      <c r="AF9" s="81"/>
      <c r="AG9" s="23" t="s">
        <v>5</v>
      </c>
      <c r="AH9" s="21">
        <v>67</v>
      </c>
      <c r="AI9" s="22">
        <v>100</v>
      </c>
      <c r="AJ9">
        <f>SUM(_xlfn.ANCHORARRAY(AJ4))</f>
        <v>238</v>
      </c>
      <c r="AK9" s="81"/>
      <c r="AL9" s="23" t="s">
        <v>5</v>
      </c>
      <c r="AM9" s="21">
        <v>29</v>
      </c>
      <c r="AN9" s="22">
        <v>100</v>
      </c>
      <c r="AO9">
        <f>SUM(_xlfn.ANCHORARRAY(AO4))</f>
        <v>100</v>
      </c>
      <c r="AP9" s="23" t="s">
        <v>6</v>
      </c>
      <c r="AQ9" s="23" t="s">
        <v>36</v>
      </c>
      <c r="AR9" s="21">
        <v>83</v>
      </c>
      <c r="AS9" s="24"/>
      <c r="AV9" s="48">
        <v>2.1800000000000002</v>
      </c>
    </row>
    <row r="10" spans="1:48" x14ac:dyDescent="0.35">
      <c r="A10" s="71"/>
      <c r="B10" s="6">
        <v>9</v>
      </c>
      <c r="C10" s="7">
        <v>5</v>
      </c>
      <c r="D10" s="9"/>
      <c r="F10" s="71" t="s">
        <v>6</v>
      </c>
      <c r="G10" s="6">
        <v>8</v>
      </c>
      <c r="H10" s="7">
        <v>130</v>
      </c>
      <c r="I10" s="9"/>
      <c r="K10" s="71" t="s">
        <v>6</v>
      </c>
      <c r="L10" s="6">
        <v>8</v>
      </c>
      <c r="M10" s="7">
        <v>137</v>
      </c>
      <c r="N10" s="9"/>
      <c r="Q10" s="82" t="s">
        <v>6</v>
      </c>
      <c r="R10" s="23" t="s">
        <v>36</v>
      </c>
      <c r="S10" s="21">
        <v>52</v>
      </c>
      <c r="T10" s="24"/>
      <c r="V10" s="82" t="s">
        <v>6</v>
      </c>
      <c r="W10" s="23" t="s">
        <v>36</v>
      </c>
      <c r="X10" s="21">
        <v>97</v>
      </c>
      <c r="Y10" s="24"/>
      <c r="AA10" s="82" t="s">
        <v>6</v>
      </c>
      <c r="AB10" s="23" t="s">
        <v>36</v>
      </c>
      <c r="AC10" s="21">
        <v>73</v>
      </c>
      <c r="AD10" s="24"/>
      <c r="AF10" s="82" t="s">
        <v>6</v>
      </c>
      <c r="AG10" s="23" t="s">
        <v>36</v>
      </c>
      <c r="AH10" s="21">
        <v>56</v>
      </c>
      <c r="AI10" s="24"/>
      <c r="AJ10">
        <f>AJ9/AH9</f>
        <v>3.5522388059701493</v>
      </c>
      <c r="AK10" s="82" t="s">
        <v>6</v>
      </c>
      <c r="AL10" s="23" t="s">
        <v>36</v>
      </c>
      <c r="AM10" s="21">
        <v>99</v>
      </c>
      <c r="AN10" s="24"/>
      <c r="AO10">
        <f>AO9/AM9</f>
        <v>3.4482758620689653</v>
      </c>
      <c r="AP10" s="83" t="s">
        <v>5</v>
      </c>
      <c r="AQ10" s="83"/>
      <c r="AR10" s="25">
        <v>113</v>
      </c>
      <c r="AS10" s="26"/>
      <c r="AV10" s="48">
        <v>2.64</v>
      </c>
    </row>
    <row r="11" spans="1:48" ht="23" x14ac:dyDescent="0.35">
      <c r="A11" s="71"/>
      <c r="B11" s="6" t="s">
        <v>5</v>
      </c>
      <c r="C11" s="7">
        <v>113</v>
      </c>
      <c r="D11" s="9"/>
      <c r="F11" s="71"/>
      <c r="G11" s="6">
        <v>9</v>
      </c>
      <c r="H11" s="7">
        <v>8</v>
      </c>
      <c r="I11" s="9"/>
      <c r="K11" s="71"/>
      <c r="L11" s="6">
        <v>9</v>
      </c>
      <c r="M11" s="7">
        <v>6</v>
      </c>
      <c r="N11" s="9"/>
      <c r="Q11" s="80"/>
      <c r="R11" s="23" t="s">
        <v>37</v>
      </c>
      <c r="S11" s="21">
        <v>5</v>
      </c>
      <c r="T11" s="24"/>
      <c r="V11" s="80"/>
      <c r="W11" s="23" t="s">
        <v>37</v>
      </c>
      <c r="X11" s="21">
        <v>2</v>
      </c>
      <c r="Y11" s="24"/>
      <c r="AA11" s="80"/>
      <c r="AB11" s="23" t="s">
        <v>37</v>
      </c>
      <c r="AC11" s="21">
        <v>2</v>
      </c>
      <c r="AD11" s="24"/>
      <c r="AF11" s="80"/>
      <c r="AG11" s="23" t="s">
        <v>37</v>
      </c>
      <c r="AH11" s="21">
        <v>5</v>
      </c>
      <c r="AI11" s="24"/>
      <c r="AK11" s="80"/>
      <c r="AL11" s="23" t="s">
        <v>37</v>
      </c>
      <c r="AM11" s="21">
        <v>5</v>
      </c>
      <c r="AN11" s="24"/>
      <c r="AP11" s="27"/>
      <c r="AQ11" s="27"/>
      <c r="AR11" s="27"/>
      <c r="AS11" s="27"/>
      <c r="AV11" s="48">
        <v>4.2699999999999996</v>
      </c>
    </row>
    <row r="12" spans="1:48" ht="15" thickBot="1" x14ac:dyDescent="0.4">
      <c r="A12" s="72" t="s">
        <v>5</v>
      </c>
      <c r="B12" s="73"/>
      <c r="C12" s="10">
        <v>174</v>
      </c>
      <c r="D12" s="11"/>
      <c r="F12" s="71"/>
      <c r="G12" s="6" t="s">
        <v>5</v>
      </c>
      <c r="H12" s="7">
        <v>138</v>
      </c>
      <c r="I12" s="9"/>
      <c r="K12" s="71"/>
      <c r="L12" s="6" t="s">
        <v>5</v>
      </c>
      <c r="M12" s="7">
        <v>143</v>
      </c>
      <c r="N12" s="9"/>
      <c r="Q12" s="81"/>
      <c r="R12" s="23" t="s">
        <v>5</v>
      </c>
      <c r="S12" s="21">
        <v>57</v>
      </c>
      <c r="T12" s="24"/>
      <c r="V12" s="81"/>
      <c r="W12" s="23" t="s">
        <v>5</v>
      </c>
      <c r="X12" s="21">
        <v>99</v>
      </c>
      <c r="Y12" s="24"/>
      <c r="AA12" s="81"/>
      <c r="AB12" s="23" t="s">
        <v>5</v>
      </c>
      <c r="AC12" s="21">
        <v>75</v>
      </c>
      <c r="AD12" s="24"/>
      <c r="AF12" s="81"/>
      <c r="AG12" s="23" t="s">
        <v>5</v>
      </c>
      <c r="AH12" s="21">
        <v>61</v>
      </c>
      <c r="AI12" s="24"/>
      <c r="AK12" s="81"/>
      <c r="AL12" s="23" t="s">
        <v>5</v>
      </c>
      <c r="AM12" s="21">
        <v>104</v>
      </c>
      <c r="AN12" s="24"/>
      <c r="AP12" s="77" t="s">
        <v>39</v>
      </c>
      <c r="AQ12" s="77"/>
      <c r="AR12" s="77"/>
      <c r="AS12" s="77"/>
      <c r="AV12" s="48">
        <v>4.09</v>
      </c>
    </row>
    <row r="13" spans="1:48" ht="24" x14ac:dyDescent="0.35">
      <c r="Q13" s="83" t="s">
        <v>5</v>
      </c>
      <c r="R13" s="83"/>
      <c r="S13" s="25">
        <v>107</v>
      </c>
      <c r="T13" s="26"/>
      <c r="V13" s="83" t="s">
        <v>5</v>
      </c>
      <c r="W13" s="83"/>
      <c r="X13" s="25">
        <v>119</v>
      </c>
      <c r="Y13" s="26"/>
      <c r="AA13" s="83" t="s">
        <v>5</v>
      </c>
      <c r="AB13" s="83"/>
      <c r="AC13" s="25">
        <v>114</v>
      </c>
      <c r="AD13" s="26"/>
      <c r="AF13" s="83" t="s">
        <v>5</v>
      </c>
      <c r="AG13" s="83"/>
      <c r="AH13" s="25">
        <v>128</v>
      </c>
      <c r="AI13" s="26"/>
      <c r="AK13" s="83" t="s">
        <v>5</v>
      </c>
      <c r="AL13" s="83"/>
      <c r="AM13" s="25">
        <v>133</v>
      </c>
      <c r="AN13" s="26"/>
      <c r="AP13" s="78"/>
      <c r="AQ13" s="78"/>
      <c r="AR13" s="15" t="s">
        <v>1</v>
      </c>
      <c r="AS13" s="16" t="s">
        <v>2</v>
      </c>
      <c r="AV13" s="48">
        <v>4.3600000000000003</v>
      </c>
    </row>
    <row r="14" spans="1:48" ht="15" customHeight="1" thickBot="1" x14ac:dyDescent="0.4">
      <c r="A14" s="74" t="s">
        <v>8</v>
      </c>
      <c r="B14" s="74"/>
      <c r="C14" s="74"/>
      <c r="D14" s="74"/>
      <c r="F14" s="74" t="s">
        <v>8</v>
      </c>
      <c r="G14" s="74"/>
      <c r="H14" s="74"/>
      <c r="I14" s="74"/>
      <c r="K14" s="74" t="s">
        <v>8</v>
      </c>
      <c r="L14" s="74"/>
      <c r="M14" s="74"/>
      <c r="N14" s="74"/>
      <c r="Q14" s="84" t="s">
        <v>39</v>
      </c>
      <c r="R14" s="84"/>
      <c r="S14" s="84"/>
      <c r="T14" s="84"/>
      <c r="V14" s="27"/>
      <c r="W14" s="27"/>
      <c r="X14" s="27"/>
      <c r="Y14" s="27"/>
      <c r="AA14" s="27"/>
      <c r="AB14" s="27"/>
      <c r="AC14" s="27"/>
      <c r="AD14" s="27"/>
      <c r="AF14" s="27"/>
      <c r="AG14" s="27"/>
      <c r="AH14" s="27"/>
      <c r="AI14" s="27"/>
      <c r="AK14" s="27"/>
      <c r="AL14" s="27"/>
      <c r="AM14" s="27"/>
      <c r="AN14" s="27"/>
      <c r="AP14" s="79" t="s">
        <v>3</v>
      </c>
      <c r="AQ14" s="17" t="s">
        <v>34</v>
      </c>
      <c r="AR14" s="18">
        <v>1</v>
      </c>
      <c r="AS14" s="19">
        <v>3.3</v>
      </c>
      <c r="AV14" s="48">
        <v>4.09</v>
      </c>
    </row>
    <row r="15" spans="1:48" ht="24.5" thickBot="1" x14ac:dyDescent="0.4">
      <c r="A15" s="68" t="s">
        <v>0</v>
      </c>
      <c r="B15" s="69"/>
      <c r="C15" s="1" t="s">
        <v>1</v>
      </c>
      <c r="D15" s="2" t="s">
        <v>2</v>
      </c>
      <c r="F15" s="68" t="s">
        <v>0</v>
      </c>
      <c r="G15" s="69"/>
      <c r="H15" s="1" t="s">
        <v>1</v>
      </c>
      <c r="I15" s="2" t="s">
        <v>2</v>
      </c>
      <c r="K15" s="68" t="s">
        <v>0</v>
      </c>
      <c r="L15" s="69"/>
      <c r="M15" s="1" t="s">
        <v>1</v>
      </c>
      <c r="N15" s="2" t="s">
        <v>2</v>
      </c>
      <c r="Q15" s="78"/>
      <c r="R15" s="78"/>
      <c r="S15" s="15" t="s">
        <v>1</v>
      </c>
      <c r="T15" s="16" t="s">
        <v>2</v>
      </c>
      <c r="U15" cm="1">
        <f t="array" ref="U15:U19">R4:R8*S16:S20</f>
        <v>5</v>
      </c>
      <c r="V15" s="77" t="s">
        <v>39</v>
      </c>
      <c r="W15" s="77"/>
      <c r="X15" s="77"/>
      <c r="Y15" s="77"/>
      <c r="AA15" s="77" t="s">
        <v>39</v>
      </c>
      <c r="AB15" s="77"/>
      <c r="AC15" s="77"/>
      <c r="AD15" s="77"/>
      <c r="AF15" s="77" t="s">
        <v>39</v>
      </c>
      <c r="AG15" s="77"/>
      <c r="AH15" s="77"/>
      <c r="AI15" s="77"/>
      <c r="AK15" s="77" t="s">
        <v>39</v>
      </c>
      <c r="AL15" s="77"/>
      <c r="AM15" s="77"/>
      <c r="AN15" s="77"/>
      <c r="AP15" s="80"/>
      <c r="AQ15" s="20">
        <v>2</v>
      </c>
      <c r="AR15" s="21">
        <v>1</v>
      </c>
      <c r="AS15" s="22">
        <v>3.3</v>
      </c>
      <c r="AV15" s="48">
        <v>4.2699999999999996</v>
      </c>
    </row>
    <row r="16" spans="1:48" ht="24" x14ac:dyDescent="0.35">
      <c r="A16" s="70" t="s">
        <v>3</v>
      </c>
      <c r="B16" s="3" t="s">
        <v>9</v>
      </c>
      <c r="C16" s="4">
        <v>6</v>
      </c>
      <c r="D16" s="5">
        <v>10.199999999999999</v>
      </c>
      <c r="F16" s="70" t="s">
        <v>3</v>
      </c>
      <c r="G16" s="3" t="s">
        <v>9</v>
      </c>
      <c r="H16" s="4">
        <v>3</v>
      </c>
      <c r="I16" s="5">
        <v>8.3000000000000007</v>
      </c>
      <c r="K16" s="70" t="s">
        <v>3</v>
      </c>
      <c r="L16" s="3" t="s">
        <v>9</v>
      </c>
      <c r="M16" s="4">
        <v>11</v>
      </c>
      <c r="N16" s="5">
        <v>8.0299999999999994</v>
      </c>
      <c r="Q16" s="79" t="s">
        <v>3</v>
      </c>
      <c r="R16" s="17" t="s">
        <v>34</v>
      </c>
      <c r="S16" s="18">
        <v>5</v>
      </c>
      <c r="T16" s="19">
        <v>9.8000000000000007</v>
      </c>
      <c r="U16">
        <v>8</v>
      </c>
      <c r="V16" s="78"/>
      <c r="W16" s="78"/>
      <c r="X16" s="15" t="s">
        <v>1</v>
      </c>
      <c r="Y16" s="16" t="s">
        <v>2</v>
      </c>
      <c r="Z16" cm="1">
        <f t="array" ref="Z16:Z20">R4:R8*X17:X21</f>
        <v>4</v>
      </c>
      <c r="AA16" s="78"/>
      <c r="AB16" s="78"/>
      <c r="AC16" s="15" t="s">
        <v>1</v>
      </c>
      <c r="AD16" s="16" t="s">
        <v>2</v>
      </c>
      <c r="AF16" s="78"/>
      <c r="AG16" s="78"/>
      <c r="AH16" s="15" t="s">
        <v>1</v>
      </c>
      <c r="AI16" s="16" t="s">
        <v>2</v>
      </c>
      <c r="AK16" s="78"/>
      <c r="AL16" s="78"/>
      <c r="AM16" s="15" t="s">
        <v>1</v>
      </c>
      <c r="AN16" s="16" t="s">
        <v>2</v>
      </c>
      <c r="AP16" s="80"/>
      <c r="AQ16" s="20">
        <v>3</v>
      </c>
      <c r="AR16" s="21">
        <v>12</v>
      </c>
      <c r="AS16" s="22">
        <v>40</v>
      </c>
      <c r="AV16" s="48">
        <v>4</v>
      </c>
    </row>
    <row r="17" spans="1:45" ht="23" x14ac:dyDescent="0.35">
      <c r="A17" s="71"/>
      <c r="B17" s="6">
        <v>2</v>
      </c>
      <c r="C17" s="7">
        <v>7</v>
      </c>
      <c r="D17" s="8">
        <v>11.9</v>
      </c>
      <c r="F17" s="71"/>
      <c r="G17" s="6">
        <v>2</v>
      </c>
      <c r="H17" s="7">
        <v>4</v>
      </c>
      <c r="I17" s="8">
        <v>11.1</v>
      </c>
      <c r="K17" s="71"/>
      <c r="L17" s="6">
        <v>2</v>
      </c>
      <c r="M17" s="7">
        <v>9</v>
      </c>
      <c r="N17" s="8">
        <v>6.57</v>
      </c>
      <c r="Q17" s="80"/>
      <c r="R17" s="20">
        <v>2</v>
      </c>
      <c r="S17" s="21">
        <v>4</v>
      </c>
      <c r="T17" s="22">
        <v>7.8</v>
      </c>
      <c r="U17">
        <v>48</v>
      </c>
      <c r="V17" s="79" t="s">
        <v>3</v>
      </c>
      <c r="W17" s="17" t="s">
        <v>34</v>
      </c>
      <c r="X17" s="18">
        <v>4</v>
      </c>
      <c r="Y17" s="19">
        <v>20</v>
      </c>
      <c r="Z17">
        <v>6</v>
      </c>
      <c r="AA17" s="79" t="s">
        <v>3</v>
      </c>
      <c r="AB17" s="17" t="s">
        <v>34</v>
      </c>
      <c r="AC17" s="18">
        <v>1</v>
      </c>
      <c r="AD17" s="19">
        <v>2.5</v>
      </c>
      <c r="AE17" cm="1">
        <f t="array" ref="AE17:AE21">R4:R8*AC17:AC21</f>
        <v>1</v>
      </c>
      <c r="AF17" s="79" t="s">
        <v>3</v>
      </c>
      <c r="AG17" s="17">
        <v>1</v>
      </c>
      <c r="AH17" s="18">
        <v>6</v>
      </c>
      <c r="AI17" s="19">
        <v>9.1</v>
      </c>
      <c r="AJ17" cm="1">
        <f t="array" ref="AJ17:AJ21">AG17:AG21*AH17:AH21</f>
        <v>6</v>
      </c>
      <c r="AK17" s="79" t="s">
        <v>3</v>
      </c>
      <c r="AL17" s="17" t="s">
        <v>34</v>
      </c>
      <c r="AM17" s="18">
        <v>5</v>
      </c>
      <c r="AN17" s="19">
        <v>16.7</v>
      </c>
      <c r="AO17" cm="1">
        <f t="array" ref="AO17:AO21">AG17:AG21*AM17:AM21</f>
        <v>5</v>
      </c>
      <c r="AP17" s="80"/>
      <c r="AQ17" s="20">
        <v>4</v>
      </c>
      <c r="AR17" s="21">
        <v>6</v>
      </c>
      <c r="AS17" s="22">
        <v>20</v>
      </c>
    </row>
    <row r="18" spans="1:45" ht="23" x14ac:dyDescent="0.35">
      <c r="A18" s="71"/>
      <c r="B18" s="6">
        <v>3</v>
      </c>
      <c r="C18" s="7">
        <v>17</v>
      </c>
      <c r="D18" s="8">
        <v>28.8</v>
      </c>
      <c r="F18" s="71"/>
      <c r="G18" s="6">
        <v>3</v>
      </c>
      <c r="H18" s="7">
        <v>6</v>
      </c>
      <c r="I18" s="8">
        <v>16.7</v>
      </c>
      <c r="K18" s="71"/>
      <c r="L18" s="6">
        <v>3</v>
      </c>
      <c r="M18" s="7">
        <v>18</v>
      </c>
      <c r="N18" s="8">
        <v>13.14</v>
      </c>
      <c r="Q18" s="80"/>
      <c r="R18" s="20">
        <v>3</v>
      </c>
      <c r="S18" s="21">
        <v>16</v>
      </c>
      <c r="T18" s="22">
        <v>31.4</v>
      </c>
      <c r="U18">
        <v>44</v>
      </c>
      <c r="V18" s="80"/>
      <c r="W18" s="20">
        <v>2</v>
      </c>
      <c r="X18" s="21">
        <v>3</v>
      </c>
      <c r="Y18" s="22">
        <v>15</v>
      </c>
      <c r="Z18">
        <v>18</v>
      </c>
      <c r="AA18" s="80"/>
      <c r="AB18" s="20">
        <v>2</v>
      </c>
      <c r="AC18" s="21">
        <v>2</v>
      </c>
      <c r="AD18" s="22">
        <v>5</v>
      </c>
      <c r="AE18">
        <v>4</v>
      </c>
      <c r="AF18" s="80"/>
      <c r="AG18" s="20">
        <v>2</v>
      </c>
      <c r="AH18" s="21">
        <v>8</v>
      </c>
      <c r="AI18" s="22">
        <v>12.1</v>
      </c>
      <c r="AJ18">
        <v>16</v>
      </c>
      <c r="AK18" s="80"/>
      <c r="AL18" s="20">
        <v>2</v>
      </c>
      <c r="AM18" s="21">
        <v>2</v>
      </c>
      <c r="AN18" s="22">
        <v>6.7</v>
      </c>
      <c r="AO18">
        <v>4</v>
      </c>
      <c r="AP18" s="80"/>
      <c r="AQ18" s="23" t="s">
        <v>35</v>
      </c>
      <c r="AR18" s="21">
        <v>10</v>
      </c>
      <c r="AS18" s="22">
        <v>33.299999999999997</v>
      </c>
    </row>
    <row r="19" spans="1:45" x14ac:dyDescent="0.35">
      <c r="A19" s="71"/>
      <c r="B19" s="6">
        <v>4</v>
      </c>
      <c r="C19" s="7">
        <v>17</v>
      </c>
      <c r="D19" s="8">
        <v>28.8</v>
      </c>
      <c r="F19" s="71"/>
      <c r="G19" s="6">
        <v>4</v>
      </c>
      <c r="H19" s="7">
        <v>11</v>
      </c>
      <c r="I19" s="8">
        <v>30.6</v>
      </c>
      <c r="K19" s="71"/>
      <c r="L19" s="6">
        <v>4</v>
      </c>
      <c r="M19" s="7">
        <v>13</v>
      </c>
      <c r="N19" s="8">
        <v>9.49</v>
      </c>
      <c r="Q19" s="80"/>
      <c r="R19" s="20">
        <v>4</v>
      </c>
      <c r="S19" s="21">
        <v>11</v>
      </c>
      <c r="T19" s="22">
        <v>21.6</v>
      </c>
      <c r="U19">
        <v>75</v>
      </c>
      <c r="V19" s="80"/>
      <c r="W19" s="20">
        <v>3</v>
      </c>
      <c r="X19" s="21">
        <v>6</v>
      </c>
      <c r="Y19" s="22">
        <v>30</v>
      </c>
      <c r="Z19">
        <v>12</v>
      </c>
      <c r="AA19" s="80"/>
      <c r="AB19" s="20">
        <v>3</v>
      </c>
      <c r="AC19" s="21">
        <v>7</v>
      </c>
      <c r="AD19" s="22">
        <v>17.5</v>
      </c>
      <c r="AE19">
        <v>21</v>
      </c>
      <c r="AF19" s="80"/>
      <c r="AG19" s="20">
        <v>3</v>
      </c>
      <c r="AH19" s="21">
        <v>22</v>
      </c>
      <c r="AI19" s="22">
        <v>33.299999999999997</v>
      </c>
      <c r="AJ19">
        <v>66</v>
      </c>
      <c r="AK19" s="80"/>
      <c r="AL19" s="20">
        <v>3</v>
      </c>
      <c r="AM19" s="21">
        <v>10</v>
      </c>
      <c r="AN19" s="22">
        <v>33.299999999999997</v>
      </c>
      <c r="AO19">
        <v>30</v>
      </c>
      <c r="AP19" s="81"/>
      <c r="AQ19" s="23" t="s">
        <v>5</v>
      </c>
      <c r="AR19" s="21">
        <v>30</v>
      </c>
      <c r="AS19" s="22">
        <v>100</v>
      </c>
    </row>
    <row r="20" spans="1:45" ht="23" x14ac:dyDescent="0.35">
      <c r="A20" s="71"/>
      <c r="B20" s="6" t="s">
        <v>4</v>
      </c>
      <c r="C20" s="7">
        <v>12</v>
      </c>
      <c r="D20" s="8">
        <v>20.3</v>
      </c>
      <c r="F20" s="71"/>
      <c r="G20" s="6" t="s">
        <v>4</v>
      </c>
      <c r="H20" s="7">
        <v>12</v>
      </c>
      <c r="I20" s="8">
        <v>33.299999999999997</v>
      </c>
      <c r="K20" s="71"/>
      <c r="L20" s="6" t="s">
        <v>4</v>
      </c>
      <c r="M20" s="7">
        <v>14</v>
      </c>
      <c r="N20" s="8">
        <v>10.220000000000001</v>
      </c>
      <c r="Q20" s="80"/>
      <c r="R20" s="23" t="s">
        <v>35</v>
      </c>
      <c r="S20" s="21">
        <v>15</v>
      </c>
      <c r="T20" s="22">
        <v>29.4</v>
      </c>
      <c r="U20">
        <f>SUM(_xlfn.ANCHORARRAY(U15))</f>
        <v>180</v>
      </c>
      <c r="V20" s="80"/>
      <c r="W20" s="20">
        <v>4</v>
      </c>
      <c r="X20" s="21">
        <v>3</v>
      </c>
      <c r="Y20" s="22">
        <v>15</v>
      </c>
      <c r="Z20">
        <v>20</v>
      </c>
      <c r="AA20" s="80"/>
      <c r="AB20" s="20">
        <v>4</v>
      </c>
      <c r="AC20" s="21">
        <v>12</v>
      </c>
      <c r="AD20" s="22">
        <v>30</v>
      </c>
      <c r="AE20">
        <v>48</v>
      </c>
      <c r="AF20" s="80"/>
      <c r="AG20" s="20">
        <v>4</v>
      </c>
      <c r="AH20" s="21">
        <v>20</v>
      </c>
      <c r="AI20" s="22">
        <v>30.3</v>
      </c>
      <c r="AJ20">
        <v>80</v>
      </c>
      <c r="AK20" s="80"/>
      <c r="AL20" s="20">
        <v>4</v>
      </c>
      <c r="AM20" s="21">
        <v>6</v>
      </c>
      <c r="AN20" s="22">
        <v>20</v>
      </c>
      <c r="AO20">
        <v>24</v>
      </c>
      <c r="AP20" s="23" t="s">
        <v>6</v>
      </c>
      <c r="AQ20" s="23" t="s">
        <v>36</v>
      </c>
      <c r="AR20" s="21">
        <v>83</v>
      </c>
      <c r="AS20" s="24"/>
    </row>
    <row r="21" spans="1:45" ht="23" x14ac:dyDescent="0.35">
      <c r="A21" s="71"/>
      <c r="B21" s="6" t="s">
        <v>5</v>
      </c>
      <c r="C21" s="7">
        <v>59</v>
      </c>
      <c r="D21" s="8">
        <v>100</v>
      </c>
      <c r="F21" s="71"/>
      <c r="G21" s="6" t="s">
        <v>5</v>
      </c>
      <c r="H21" s="7">
        <v>36</v>
      </c>
      <c r="I21" s="8">
        <v>100</v>
      </c>
      <c r="K21" s="71"/>
      <c r="L21" s="6" t="s">
        <v>5</v>
      </c>
      <c r="M21" s="7">
        <v>59</v>
      </c>
      <c r="N21" s="8">
        <v>100</v>
      </c>
      <c r="Q21" s="81"/>
      <c r="R21" s="23" t="s">
        <v>5</v>
      </c>
      <c r="S21" s="21">
        <v>51</v>
      </c>
      <c r="T21" s="22">
        <v>100</v>
      </c>
      <c r="U21">
        <f>U20/S21</f>
        <v>3.5294117647058822</v>
      </c>
      <c r="V21" s="80"/>
      <c r="W21" s="23" t="s">
        <v>35</v>
      </c>
      <c r="X21" s="21">
        <v>4</v>
      </c>
      <c r="Y21" s="22">
        <v>20</v>
      </c>
      <c r="Z21">
        <f>SUM(_xlfn.ANCHORARRAY(Z16))</f>
        <v>60</v>
      </c>
      <c r="AA21" s="80"/>
      <c r="AB21" s="23" t="s">
        <v>35</v>
      </c>
      <c r="AC21" s="21">
        <v>18</v>
      </c>
      <c r="AD21" s="22">
        <v>45</v>
      </c>
      <c r="AE21">
        <v>90</v>
      </c>
      <c r="AF21" s="80"/>
      <c r="AG21" s="23">
        <v>5</v>
      </c>
      <c r="AH21" s="21">
        <v>10</v>
      </c>
      <c r="AI21" s="22">
        <v>15.2</v>
      </c>
      <c r="AJ21">
        <v>50</v>
      </c>
      <c r="AK21" s="80"/>
      <c r="AL21" s="23" t="s">
        <v>35</v>
      </c>
      <c r="AM21" s="21">
        <v>7</v>
      </c>
      <c r="AN21" s="22">
        <v>23.3</v>
      </c>
      <c r="AO21">
        <v>35</v>
      </c>
      <c r="AP21" s="83" t="s">
        <v>5</v>
      </c>
      <c r="AQ21" s="83"/>
      <c r="AR21" s="25">
        <v>113</v>
      </c>
      <c r="AS21" s="26"/>
    </row>
    <row r="22" spans="1:45" x14ac:dyDescent="0.35">
      <c r="A22" s="71" t="s">
        <v>6</v>
      </c>
      <c r="B22" s="6">
        <v>8</v>
      </c>
      <c r="C22" s="7">
        <v>108</v>
      </c>
      <c r="D22" s="9"/>
      <c r="F22" s="71" t="s">
        <v>6</v>
      </c>
      <c r="G22" s="6">
        <v>8</v>
      </c>
      <c r="H22" s="7">
        <v>130</v>
      </c>
      <c r="I22" s="9"/>
      <c r="K22" s="71" t="s">
        <v>6</v>
      </c>
      <c r="L22" s="6">
        <v>8</v>
      </c>
      <c r="M22" s="7">
        <v>66</v>
      </c>
      <c r="N22" s="9">
        <v>48.18</v>
      </c>
      <c r="Q22" s="82" t="s">
        <v>6</v>
      </c>
      <c r="R22" s="23" t="s">
        <v>36</v>
      </c>
      <c r="S22" s="21">
        <v>52</v>
      </c>
      <c r="T22" s="24"/>
      <c r="V22" s="81"/>
      <c r="W22" s="23" t="s">
        <v>5</v>
      </c>
      <c r="X22" s="21">
        <v>20</v>
      </c>
      <c r="Y22" s="22">
        <v>100</v>
      </c>
      <c r="Z22">
        <f>Z21/20</f>
        <v>3</v>
      </c>
      <c r="AA22" s="81"/>
      <c r="AB22" s="23" t="s">
        <v>5</v>
      </c>
      <c r="AC22" s="21">
        <v>40</v>
      </c>
      <c r="AD22" s="22">
        <v>100</v>
      </c>
      <c r="AE22">
        <f>SUM(_xlfn.ANCHORARRAY(AE17))</f>
        <v>164</v>
      </c>
      <c r="AF22" s="81"/>
      <c r="AG22" s="23" t="s">
        <v>5</v>
      </c>
      <c r="AH22" s="21">
        <v>66</v>
      </c>
      <c r="AI22" s="22">
        <v>100</v>
      </c>
      <c r="AJ22">
        <f>SUM(_xlfn.ANCHORARRAY(AJ17))</f>
        <v>218</v>
      </c>
      <c r="AK22" s="81"/>
      <c r="AL22" s="23" t="s">
        <v>5</v>
      </c>
      <c r="AM22" s="21">
        <v>30</v>
      </c>
      <c r="AN22" s="22">
        <v>100</v>
      </c>
      <c r="AO22">
        <f>SUM(_xlfn.ANCHORARRAY(AO17))</f>
        <v>98</v>
      </c>
      <c r="AP22" s="27"/>
      <c r="AQ22" s="27"/>
      <c r="AR22" s="27"/>
      <c r="AS22" s="27"/>
    </row>
    <row r="23" spans="1:45" ht="28" customHeight="1" x14ac:dyDescent="0.35">
      <c r="A23" s="71"/>
      <c r="B23" s="6">
        <v>9</v>
      </c>
      <c r="C23" s="7">
        <v>7</v>
      </c>
      <c r="D23" s="9"/>
      <c r="F23" s="71"/>
      <c r="G23" s="6">
        <v>9</v>
      </c>
      <c r="H23" s="7">
        <v>8</v>
      </c>
      <c r="I23" s="9"/>
      <c r="K23" s="71"/>
      <c r="L23" s="6">
        <v>9</v>
      </c>
      <c r="M23" s="7">
        <v>6</v>
      </c>
      <c r="N23" s="9">
        <v>4.38</v>
      </c>
      <c r="Q23" s="80"/>
      <c r="R23" s="23" t="s">
        <v>37</v>
      </c>
      <c r="S23" s="21">
        <v>4</v>
      </c>
      <c r="T23" s="24"/>
      <c r="V23" s="82" t="s">
        <v>6</v>
      </c>
      <c r="W23" s="23" t="s">
        <v>36</v>
      </c>
      <c r="X23" s="21">
        <v>97</v>
      </c>
      <c r="Y23" s="24"/>
      <c r="AA23" s="82" t="s">
        <v>6</v>
      </c>
      <c r="AB23" s="23" t="s">
        <v>36</v>
      </c>
      <c r="AC23" s="21">
        <v>73</v>
      </c>
      <c r="AD23" s="24"/>
      <c r="AE23">
        <f>AE22/40</f>
        <v>4.0999999999999996</v>
      </c>
      <c r="AF23" s="82" t="s">
        <v>6</v>
      </c>
      <c r="AG23" s="23" t="s">
        <v>36</v>
      </c>
      <c r="AH23" s="21">
        <v>56</v>
      </c>
      <c r="AI23" s="24"/>
      <c r="AJ23">
        <f>AJ22/AH22</f>
        <v>3.3030303030303032</v>
      </c>
      <c r="AK23" s="82" t="s">
        <v>6</v>
      </c>
      <c r="AL23" s="23" t="s">
        <v>36</v>
      </c>
      <c r="AM23" s="21">
        <v>99</v>
      </c>
      <c r="AN23" s="24"/>
      <c r="AO23">
        <f>AO22/AM22</f>
        <v>3.2666666666666666</v>
      </c>
      <c r="AP23" s="77" t="s">
        <v>40</v>
      </c>
      <c r="AQ23" s="77"/>
      <c r="AR23" s="77"/>
      <c r="AS23" s="77"/>
    </row>
    <row r="24" spans="1:45" ht="24" x14ac:dyDescent="0.35">
      <c r="A24" s="71"/>
      <c r="B24" s="6" t="s">
        <v>5</v>
      </c>
      <c r="C24" s="7">
        <v>115</v>
      </c>
      <c r="D24" s="9"/>
      <c r="F24" s="71"/>
      <c r="G24" s="6" t="s">
        <v>5</v>
      </c>
      <c r="H24" s="7">
        <v>138</v>
      </c>
      <c r="I24" s="9"/>
      <c r="K24" s="71"/>
      <c r="L24" s="6" t="s">
        <v>5</v>
      </c>
      <c r="M24" s="7">
        <v>115</v>
      </c>
      <c r="N24" s="9"/>
      <c r="Q24" s="81"/>
      <c r="R24" s="23" t="s">
        <v>5</v>
      </c>
      <c r="S24" s="21">
        <v>56</v>
      </c>
      <c r="T24" s="24"/>
      <c r="V24" s="80"/>
      <c r="W24" s="23" t="s">
        <v>37</v>
      </c>
      <c r="X24" s="21">
        <v>2</v>
      </c>
      <c r="Y24" s="24"/>
      <c r="AA24" s="80"/>
      <c r="AB24" s="23" t="s">
        <v>37</v>
      </c>
      <c r="AC24" s="21">
        <v>1</v>
      </c>
      <c r="AD24" s="24"/>
      <c r="AF24" s="80"/>
      <c r="AG24" s="23" t="s">
        <v>37</v>
      </c>
      <c r="AH24" s="21">
        <v>6</v>
      </c>
      <c r="AI24" s="24"/>
      <c r="AK24" s="80"/>
      <c r="AL24" s="23" t="s">
        <v>37</v>
      </c>
      <c r="AM24" s="21">
        <v>4</v>
      </c>
      <c r="AN24" s="24"/>
      <c r="AP24" s="78"/>
      <c r="AQ24" s="78"/>
      <c r="AR24" s="15" t="s">
        <v>1</v>
      </c>
      <c r="AS24" s="16" t="s">
        <v>2</v>
      </c>
    </row>
    <row r="25" spans="1:45" ht="23" x14ac:dyDescent="0.35">
      <c r="V25" s="81"/>
      <c r="W25" s="23" t="s">
        <v>5</v>
      </c>
      <c r="X25" s="21">
        <v>99</v>
      </c>
      <c r="Y25" s="24"/>
      <c r="AA25" s="81"/>
      <c r="AB25" s="23" t="s">
        <v>5</v>
      </c>
      <c r="AC25" s="21">
        <v>74</v>
      </c>
      <c r="AD25" s="24"/>
      <c r="AF25" s="81"/>
      <c r="AG25" s="23" t="s">
        <v>5</v>
      </c>
      <c r="AH25" s="21">
        <v>62</v>
      </c>
      <c r="AI25" s="24"/>
      <c r="AK25" s="81"/>
      <c r="AL25" s="23" t="s">
        <v>5</v>
      </c>
      <c r="AM25" s="21">
        <v>103</v>
      </c>
      <c r="AN25" s="24"/>
      <c r="AP25" s="79" t="s">
        <v>3</v>
      </c>
      <c r="AQ25" s="17" t="s">
        <v>34</v>
      </c>
      <c r="AR25" s="18">
        <v>3</v>
      </c>
      <c r="AS25" s="19">
        <v>10</v>
      </c>
    </row>
    <row r="26" spans="1:45" ht="28" customHeight="1" thickBot="1" x14ac:dyDescent="0.4">
      <c r="A26" s="74" t="s">
        <v>11</v>
      </c>
      <c r="B26" s="74"/>
      <c r="C26" s="74"/>
      <c r="D26" s="74"/>
      <c r="F26" s="74" t="s">
        <v>11</v>
      </c>
      <c r="G26" s="74"/>
      <c r="H26" s="74"/>
      <c r="I26" s="74"/>
      <c r="K26" s="74" t="s">
        <v>25</v>
      </c>
      <c r="L26" s="74"/>
      <c r="M26" s="74"/>
      <c r="N26" s="74"/>
      <c r="Q26" s="77" t="s">
        <v>40</v>
      </c>
      <c r="R26" s="77"/>
      <c r="S26" s="77"/>
      <c r="T26" s="77"/>
      <c r="V26" s="83" t="s">
        <v>5</v>
      </c>
      <c r="W26" s="83"/>
      <c r="X26" s="25">
        <v>119</v>
      </c>
      <c r="Y26" s="26"/>
      <c r="AA26" s="83" t="s">
        <v>5</v>
      </c>
      <c r="AB26" s="83"/>
      <c r="AC26" s="25">
        <v>114</v>
      </c>
      <c r="AD26" s="26"/>
      <c r="AF26" s="83" t="s">
        <v>5</v>
      </c>
      <c r="AG26" s="83"/>
      <c r="AH26" s="25">
        <v>128</v>
      </c>
      <c r="AI26" s="26"/>
      <c r="AK26" s="83" t="s">
        <v>5</v>
      </c>
      <c r="AL26" s="83"/>
      <c r="AM26" s="25">
        <v>133</v>
      </c>
      <c r="AN26" s="26"/>
      <c r="AP26" s="80"/>
      <c r="AQ26" s="20">
        <v>2</v>
      </c>
      <c r="AR26" s="21">
        <v>6</v>
      </c>
      <c r="AS26" s="22">
        <v>20</v>
      </c>
    </row>
    <row r="27" spans="1:45" ht="24.5" thickBot="1" x14ac:dyDescent="0.4">
      <c r="A27" s="68" t="s">
        <v>0</v>
      </c>
      <c r="B27" s="69"/>
      <c r="C27" s="1" t="s">
        <v>1</v>
      </c>
      <c r="D27" s="2" t="s">
        <v>2</v>
      </c>
      <c r="E27" cm="1">
        <f t="array" ref="E27:E31">B28:B32*C28:C32</f>
        <v>6</v>
      </c>
      <c r="F27" s="68" t="s">
        <v>0</v>
      </c>
      <c r="G27" s="69"/>
      <c r="H27" s="1" t="s">
        <v>1</v>
      </c>
      <c r="I27" s="2" t="s">
        <v>2</v>
      </c>
      <c r="J27" cm="1">
        <f t="array" ref="J27:J31">B28:B32*H28:H32</f>
        <v>5</v>
      </c>
      <c r="K27" s="68" t="s">
        <v>0</v>
      </c>
      <c r="L27" s="69"/>
      <c r="M27" s="1" t="s">
        <v>1</v>
      </c>
      <c r="N27" s="2" t="s">
        <v>2</v>
      </c>
      <c r="O27" cm="1">
        <f t="array" ref="O27:O31">B28:B32*M28:M32</f>
        <v>11</v>
      </c>
      <c r="Q27" s="78"/>
      <c r="R27" s="78"/>
      <c r="S27" s="15" t="s">
        <v>1</v>
      </c>
      <c r="T27" s="16" t="s">
        <v>2</v>
      </c>
      <c r="V27" s="27"/>
      <c r="W27" s="27"/>
      <c r="X27" s="27"/>
      <c r="Y27" s="27"/>
      <c r="AA27" s="27"/>
      <c r="AB27" s="27"/>
      <c r="AC27" s="27"/>
      <c r="AD27" s="27"/>
      <c r="AF27" s="27"/>
      <c r="AG27" s="27"/>
      <c r="AH27" s="27"/>
      <c r="AI27" s="27"/>
      <c r="AK27" s="27"/>
      <c r="AL27" s="27"/>
      <c r="AM27" s="27"/>
      <c r="AN27" s="27"/>
      <c r="AP27" s="80"/>
      <c r="AQ27" s="20">
        <v>3</v>
      </c>
      <c r="AR27" s="21">
        <v>11</v>
      </c>
      <c r="AS27" s="22">
        <v>36.700000000000003</v>
      </c>
    </row>
    <row r="28" spans="1:45" ht="28" customHeight="1" x14ac:dyDescent="0.35">
      <c r="A28" s="70" t="s">
        <v>3</v>
      </c>
      <c r="B28" s="3">
        <v>1</v>
      </c>
      <c r="C28" s="4">
        <v>6</v>
      </c>
      <c r="D28" s="5">
        <v>10.3</v>
      </c>
      <c r="E28">
        <v>24</v>
      </c>
      <c r="F28" s="70" t="s">
        <v>3</v>
      </c>
      <c r="G28" s="3" t="s">
        <v>9</v>
      </c>
      <c r="H28" s="4">
        <v>5</v>
      </c>
      <c r="I28" s="5">
        <v>13.9</v>
      </c>
      <c r="J28">
        <v>16</v>
      </c>
      <c r="K28" s="70" t="s">
        <v>3</v>
      </c>
      <c r="L28" s="3" t="s">
        <v>24</v>
      </c>
      <c r="M28" s="4">
        <v>11</v>
      </c>
      <c r="N28" s="5">
        <v>18</v>
      </c>
      <c r="O28">
        <v>34</v>
      </c>
      <c r="Q28" s="79" t="s">
        <v>3</v>
      </c>
      <c r="R28" s="17">
        <v>1</v>
      </c>
      <c r="S28" s="18">
        <v>5</v>
      </c>
      <c r="T28" s="19">
        <v>10</v>
      </c>
      <c r="U28" cm="1">
        <f t="array" ref="U28:U32">R28:R32*S28:S32</f>
        <v>5</v>
      </c>
      <c r="V28" s="77" t="s">
        <v>40</v>
      </c>
      <c r="W28" s="77"/>
      <c r="X28" s="77"/>
      <c r="Y28" s="77"/>
      <c r="AA28" s="77" t="s">
        <v>40</v>
      </c>
      <c r="AB28" s="77"/>
      <c r="AC28" s="77"/>
      <c r="AD28" s="77"/>
      <c r="AF28" s="77" t="s">
        <v>40</v>
      </c>
      <c r="AG28" s="77"/>
      <c r="AH28" s="77"/>
      <c r="AI28" s="77"/>
      <c r="AK28" s="77" t="s">
        <v>40</v>
      </c>
      <c r="AL28" s="77"/>
      <c r="AM28" s="77"/>
      <c r="AN28" s="77"/>
      <c r="AP28" s="80"/>
      <c r="AQ28" s="20">
        <v>4</v>
      </c>
      <c r="AR28" s="21">
        <v>4</v>
      </c>
      <c r="AS28" s="22">
        <v>13.3</v>
      </c>
    </row>
    <row r="29" spans="1:45" ht="24" x14ac:dyDescent="0.35">
      <c r="A29" s="71"/>
      <c r="B29" s="6">
        <v>2</v>
      </c>
      <c r="C29" s="7">
        <v>12</v>
      </c>
      <c r="D29" s="8">
        <v>20.7</v>
      </c>
      <c r="E29">
        <v>51</v>
      </c>
      <c r="F29" s="71"/>
      <c r="G29" s="6">
        <v>2</v>
      </c>
      <c r="H29" s="7">
        <v>8</v>
      </c>
      <c r="I29" s="8">
        <v>22.2</v>
      </c>
      <c r="J29">
        <v>36</v>
      </c>
      <c r="K29" s="71"/>
      <c r="L29" s="6">
        <v>2</v>
      </c>
      <c r="M29" s="7">
        <v>17</v>
      </c>
      <c r="N29" s="8">
        <v>27.9</v>
      </c>
      <c r="O29">
        <v>54</v>
      </c>
      <c r="Q29" s="80"/>
      <c r="R29" s="20">
        <v>2</v>
      </c>
      <c r="S29" s="21">
        <v>12</v>
      </c>
      <c r="T29" s="22">
        <v>24</v>
      </c>
      <c r="U29">
        <v>24</v>
      </c>
      <c r="V29" s="78"/>
      <c r="W29" s="78"/>
      <c r="X29" s="15" t="s">
        <v>1</v>
      </c>
      <c r="Y29" s="16" t="s">
        <v>2</v>
      </c>
      <c r="Z29" cm="1">
        <f t="array" ref="Z29:Z33">R28:R32*X30:X34</f>
        <v>6</v>
      </c>
      <c r="AA29" s="78"/>
      <c r="AB29" s="78"/>
      <c r="AC29" s="15" t="s">
        <v>1</v>
      </c>
      <c r="AD29" s="16" t="s">
        <v>2</v>
      </c>
      <c r="AE29" cm="1">
        <f t="array" ref="AE29:AE33">R28:R32*AC30:AC34</f>
        <v>7</v>
      </c>
      <c r="AF29" s="78"/>
      <c r="AG29" s="78"/>
      <c r="AH29" s="15" t="s">
        <v>1</v>
      </c>
      <c r="AI29" s="16" t="s">
        <v>2</v>
      </c>
      <c r="AK29" s="78"/>
      <c r="AL29" s="78"/>
      <c r="AM29" s="15" t="s">
        <v>1</v>
      </c>
      <c r="AN29" s="16" t="s">
        <v>2</v>
      </c>
      <c r="AP29" s="80"/>
      <c r="AQ29" s="23" t="s">
        <v>35</v>
      </c>
      <c r="AR29" s="21">
        <v>6</v>
      </c>
      <c r="AS29" s="22">
        <v>20</v>
      </c>
    </row>
    <row r="30" spans="1:45" ht="23" x14ac:dyDescent="0.35">
      <c r="A30" s="71"/>
      <c r="B30" s="6">
        <v>3</v>
      </c>
      <c r="C30" s="7">
        <v>17</v>
      </c>
      <c r="D30" s="8">
        <v>29.3</v>
      </c>
      <c r="E30">
        <v>72</v>
      </c>
      <c r="F30" s="71"/>
      <c r="G30" s="6">
        <v>3</v>
      </c>
      <c r="H30" s="7">
        <v>12</v>
      </c>
      <c r="I30" s="8">
        <v>33.299999999999997</v>
      </c>
      <c r="J30">
        <v>32</v>
      </c>
      <c r="K30" s="71"/>
      <c r="L30" s="6">
        <v>3</v>
      </c>
      <c r="M30" s="7">
        <v>18</v>
      </c>
      <c r="N30" s="8">
        <v>29.5</v>
      </c>
      <c r="O30">
        <v>44</v>
      </c>
      <c r="Q30" s="80"/>
      <c r="R30" s="20">
        <v>3</v>
      </c>
      <c r="S30" s="21">
        <v>12</v>
      </c>
      <c r="T30" s="22">
        <v>24</v>
      </c>
      <c r="U30">
        <v>36</v>
      </c>
      <c r="V30" s="79" t="s">
        <v>3</v>
      </c>
      <c r="W30" s="17" t="s">
        <v>34</v>
      </c>
      <c r="X30" s="18">
        <v>6</v>
      </c>
      <c r="Y30" s="19">
        <v>30</v>
      </c>
      <c r="Z30">
        <v>8</v>
      </c>
      <c r="AA30" s="79" t="s">
        <v>3</v>
      </c>
      <c r="AB30" s="17" t="s">
        <v>34</v>
      </c>
      <c r="AC30" s="18">
        <v>7</v>
      </c>
      <c r="AD30" s="19">
        <v>17.899999999999999</v>
      </c>
      <c r="AE30">
        <v>14</v>
      </c>
      <c r="AF30" s="79" t="s">
        <v>3</v>
      </c>
      <c r="AG30" s="17" t="s">
        <v>34</v>
      </c>
      <c r="AH30" s="18">
        <v>15</v>
      </c>
      <c r="AI30" s="19">
        <v>22.4</v>
      </c>
      <c r="AK30" s="79" t="s">
        <v>3</v>
      </c>
      <c r="AL30" s="17" t="s">
        <v>34</v>
      </c>
      <c r="AM30" s="18">
        <v>6</v>
      </c>
      <c r="AN30" s="19">
        <v>20</v>
      </c>
      <c r="AP30" s="81"/>
      <c r="AQ30" s="23" t="s">
        <v>5</v>
      </c>
      <c r="AR30" s="21">
        <v>30</v>
      </c>
      <c r="AS30" s="22">
        <v>100</v>
      </c>
    </row>
    <row r="31" spans="1:45" x14ac:dyDescent="0.35">
      <c r="A31" s="71"/>
      <c r="B31" s="6">
        <v>4</v>
      </c>
      <c r="C31" s="7">
        <v>18</v>
      </c>
      <c r="D31" s="8">
        <v>31</v>
      </c>
      <c r="E31">
        <v>25</v>
      </c>
      <c r="F31" s="71"/>
      <c r="G31" s="6">
        <v>4</v>
      </c>
      <c r="H31" s="7">
        <v>8</v>
      </c>
      <c r="I31" s="8">
        <v>22.2</v>
      </c>
      <c r="J31">
        <v>15</v>
      </c>
      <c r="K31" s="71"/>
      <c r="L31" s="6">
        <v>4</v>
      </c>
      <c r="M31" s="7">
        <v>11</v>
      </c>
      <c r="N31" s="8">
        <v>18</v>
      </c>
      <c r="O31">
        <v>20</v>
      </c>
      <c r="Q31" s="80"/>
      <c r="R31" s="20">
        <v>4</v>
      </c>
      <c r="S31" s="21">
        <v>10</v>
      </c>
      <c r="T31" s="22">
        <v>20</v>
      </c>
      <c r="U31">
        <v>40</v>
      </c>
      <c r="V31" s="80"/>
      <c r="W31" s="20">
        <v>2</v>
      </c>
      <c r="X31" s="21">
        <v>4</v>
      </c>
      <c r="Y31" s="22">
        <v>20</v>
      </c>
      <c r="Z31">
        <v>21</v>
      </c>
      <c r="AA31" s="80"/>
      <c r="AB31" s="20">
        <v>2</v>
      </c>
      <c r="AC31" s="21">
        <v>7</v>
      </c>
      <c r="AD31" s="22">
        <v>17.899999999999999</v>
      </c>
      <c r="AE31">
        <v>30</v>
      </c>
      <c r="AF31" s="80"/>
      <c r="AG31" s="20">
        <v>2</v>
      </c>
      <c r="AH31" s="21">
        <v>17</v>
      </c>
      <c r="AI31" s="22">
        <v>25.4</v>
      </c>
      <c r="AK31" s="80"/>
      <c r="AL31" s="20">
        <v>2</v>
      </c>
      <c r="AM31" s="21">
        <v>12</v>
      </c>
      <c r="AN31" s="22">
        <v>40</v>
      </c>
      <c r="AP31" s="23" t="s">
        <v>6</v>
      </c>
      <c r="AQ31" s="23" t="s">
        <v>36</v>
      </c>
      <c r="AR31" s="21">
        <v>83</v>
      </c>
      <c r="AS31" s="24"/>
    </row>
    <row r="32" spans="1:45" ht="23" x14ac:dyDescent="0.35">
      <c r="A32" s="71"/>
      <c r="B32" s="6">
        <v>5</v>
      </c>
      <c r="C32" s="7">
        <v>5</v>
      </c>
      <c r="D32" s="8">
        <v>8.6</v>
      </c>
      <c r="E32">
        <f>SUM(_xlfn.ANCHORARRAY(E27))</f>
        <v>178</v>
      </c>
      <c r="F32" s="71"/>
      <c r="G32" s="6" t="s">
        <v>4</v>
      </c>
      <c r="H32" s="7">
        <v>3</v>
      </c>
      <c r="I32" s="8">
        <v>8.3000000000000007</v>
      </c>
      <c r="J32">
        <f>SUM(_xlfn.ANCHORARRAY(J27))</f>
        <v>104</v>
      </c>
      <c r="K32" s="71"/>
      <c r="L32" s="6" t="s">
        <v>4</v>
      </c>
      <c r="M32" s="7">
        <v>4</v>
      </c>
      <c r="N32" s="8">
        <v>6.6</v>
      </c>
      <c r="O32">
        <f>SUM(_xlfn.ANCHORARRAY(O27))</f>
        <v>163</v>
      </c>
      <c r="Q32" s="80"/>
      <c r="R32" s="23">
        <v>5</v>
      </c>
      <c r="S32" s="21">
        <v>11</v>
      </c>
      <c r="T32" s="22">
        <v>22</v>
      </c>
      <c r="U32">
        <v>55</v>
      </c>
      <c r="V32" s="80"/>
      <c r="W32" s="20">
        <v>3</v>
      </c>
      <c r="X32" s="21">
        <v>7</v>
      </c>
      <c r="Y32" s="22">
        <v>35</v>
      </c>
      <c r="Z32">
        <v>4</v>
      </c>
      <c r="AA32" s="80"/>
      <c r="AB32" s="20">
        <v>3</v>
      </c>
      <c r="AC32" s="21">
        <v>10</v>
      </c>
      <c r="AD32" s="22">
        <v>25.6</v>
      </c>
      <c r="AE32">
        <v>36</v>
      </c>
      <c r="AF32" s="80"/>
      <c r="AG32" s="20">
        <v>3</v>
      </c>
      <c r="AH32" s="21">
        <v>15</v>
      </c>
      <c r="AI32" s="22">
        <v>22.4</v>
      </c>
      <c r="AK32" s="80"/>
      <c r="AL32" s="20">
        <v>3</v>
      </c>
      <c r="AM32" s="21">
        <v>4</v>
      </c>
      <c r="AN32" s="22">
        <v>13.3</v>
      </c>
      <c r="AP32" s="83" t="s">
        <v>5</v>
      </c>
      <c r="AQ32" s="83"/>
      <c r="AR32" s="25">
        <v>113</v>
      </c>
      <c r="AS32" s="26"/>
    </row>
    <row r="33" spans="1:45" x14ac:dyDescent="0.35">
      <c r="A33" s="71"/>
      <c r="B33" s="6" t="s">
        <v>5</v>
      </c>
      <c r="C33" s="7">
        <v>58</v>
      </c>
      <c r="D33" s="8">
        <v>100</v>
      </c>
      <c r="E33">
        <f>E32/C33</f>
        <v>3.0689655172413794</v>
      </c>
      <c r="F33" s="71"/>
      <c r="G33" s="6" t="s">
        <v>5</v>
      </c>
      <c r="H33" s="7">
        <v>36</v>
      </c>
      <c r="I33" s="8">
        <v>100</v>
      </c>
      <c r="J33">
        <f>J32/H33</f>
        <v>2.8888888888888888</v>
      </c>
      <c r="K33" s="71"/>
      <c r="L33" s="6" t="s">
        <v>5</v>
      </c>
      <c r="M33" s="7">
        <v>61</v>
      </c>
      <c r="N33" s="8">
        <v>100</v>
      </c>
      <c r="O33">
        <f>O32/M33</f>
        <v>2.6721311475409837</v>
      </c>
      <c r="Q33" s="81"/>
      <c r="R33" s="23" t="s">
        <v>5</v>
      </c>
      <c r="S33" s="21">
        <v>50</v>
      </c>
      <c r="T33" s="22">
        <v>100</v>
      </c>
      <c r="U33">
        <f>SUM(_xlfn.ANCHORARRAY(U28))</f>
        <v>160</v>
      </c>
      <c r="V33" s="80"/>
      <c r="W33" s="20">
        <v>4</v>
      </c>
      <c r="X33" s="21">
        <v>1</v>
      </c>
      <c r="Y33" s="22">
        <v>5</v>
      </c>
      <c r="Z33">
        <v>10</v>
      </c>
      <c r="AA33" s="80"/>
      <c r="AB33" s="20">
        <v>4</v>
      </c>
      <c r="AC33" s="21">
        <v>9</v>
      </c>
      <c r="AD33" s="22">
        <v>23.1</v>
      </c>
      <c r="AE33">
        <v>30</v>
      </c>
      <c r="AF33" s="80"/>
      <c r="AG33" s="20">
        <v>4</v>
      </c>
      <c r="AH33" s="21">
        <v>14</v>
      </c>
      <c r="AI33" s="22">
        <v>20.9</v>
      </c>
      <c r="AK33" s="80"/>
      <c r="AL33" s="20">
        <v>4</v>
      </c>
      <c r="AM33" s="21">
        <v>7</v>
      </c>
      <c r="AN33" s="22">
        <v>23.3</v>
      </c>
      <c r="AP33" s="27"/>
      <c r="AQ33" s="27"/>
      <c r="AR33" s="27"/>
      <c r="AS33" s="27"/>
    </row>
    <row r="34" spans="1:45" ht="23" x14ac:dyDescent="0.35">
      <c r="A34" s="71" t="s">
        <v>6</v>
      </c>
      <c r="B34" s="6">
        <v>8</v>
      </c>
      <c r="C34" s="7">
        <v>108</v>
      </c>
      <c r="D34" s="9"/>
      <c r="F34" s="71" t="s">
        <v>6</v>
      </c>
      <c r="G34" s="6">
        <v>8</v>
      </c>
      <c r="H34" s="7">
        <v>130</v>
      </c>
      <c r="I34" s="9"/>
      <c r="K34" s="71" t="s">
        <v>6</v>
      </c>
      <c r="L34" s="6">
        <v>8</v>
      </c>
      <c r="M34" s="7">
        <v>137</v>
      </c>
      <c r="N34" s="9"/>
      <c r="Q34" s="82" t="s">
        <v>6</v>
      </c>
      <c r="R34" s="23" t="s">
        <v>36</v>
      </c>
      <c r="S34" s="21">
        <v>52</v>
      </c>
      <c r="T34" s="24"/>
      <c r="U34">
        <f>U33/S33</f>
        <v>3.2</v>
      </c>
      <c r="V34" s="80"/>
      <c r="W34" s="23" t="s">
        <v>35</v>
      </c>
      <c r="X34" s="21">
        <v>2</v>
      </c>
      <c r="Y34" s="22">
        <v>10</v>
      </c>
      <c r="Z34">
        <f>SUM(_xlfn.ANCHORARRAY(Z29))</f>
        <v>49</v>
      </c>
      <c r="AA34" s="80"/>
      <c r="AB34" s="23" t="s">
        <v>35</v>
      </c>
      <c r="AC34" s="21">
        <v>6</v>
      </c>
      <c r="AD34" s="22">
        <v>15.4</v>
      </c>
      <c r="AE34">
        <f>SUM(_xlfn.ANCHORARRAY(AE29))</f>
        <v>117</v>
      </c>
      <c r="AF34" s="80"/>
      <c r="AG34" s="23" t="s">
        <v>35</v>
      </c>
      <c r="AH34" s="21">
        <v>6</v>
      </c>
      <c r="AI34" s="22">
        <v>9</v>
      </c>
      <c r="AK34" s="80"/>
      <c r="AL34" s="23" t="s">
        <v>35</v>
      </c>
      <c r="AM34" s="21">
        <v>1</v>
      </c>
      <c r="AN34" s="22">
        <v>3.3</v>
      </c>
      <c r="AP34" s="77" t="s">
        <v>41</v>
      </c>
      <c r="AQ34" s="77"/>
      <c r="AR34" s="77"/>
      <c r="AS34" s="77"/>
    </row>
    <row r="35" spans="1:45" ht="24" x14ac:dyDescent="0.35">
      <c r="A35" s="71"/>
      <c r="B35" s="6">
        <v>9</v>
      </c>
      <c r="C35" s="7">
        <v>8</v>
      </c>
      <c r="D35" s="9"/>
      <c r="F35" s="71"/>
      <c r="G35" s="6">
        <v>9</v>
      </c>
      <c r="H35" s="7">
        <v>8</v>
      </c>
      <c r="I35" s="9"/>
      <c r="K35" s="71"/>
      <c r="L35" s="6">
        <v>9</v>
      </c>
      <c r="M35" s="7">
        <v>6</v>
      </c>
      <c r="N35" s="9"/>
      <c r="Q35" s="80"/>
      <c r="R35" s="23" t="s">
        <v>37</v>
      </c>
      <c r="S35" s="21">
        <v>5</v>
      </c>
      <c r="T35" s="24"/>
      <c r="V35" s="81"/>
      <c r="W35" s="23" t="s">
        <v>5</v>
      </c>
      <c r="X35" s="21">
        <v>20</v>
      </c>
      <c r="Y35" s="22">
        <v>100</v>
      </c>
      <c r="Z35">
        <f>Z34/X35</f>
        <v>2.4500000000000002</v>
      </c>
      <c r="AA35" s="81"/>
      <c r="AB35" s="23" t="s">
        <v>5</v>
      </c>
      <c r="AC35" s="21">
        <v>39</v>
      </c>
      <c r="AD35" s="22">
        <v>100</v>
      </c>
      <c r="AE35">
        <f>AE34/AC35</f>
        <v>3</v>
      </c>
      <c r="AF35" s="81"/>
      <c r="AG35" s="23" t="s">
        <v>5</v>
      </c>
      <c r="AH35" s="21">
        <v>67</v>
      </c>
      <c r="AI35" s="22">
        <v>100</v>
      </c>
      <c r="AK35" s="81"/>
      <c r="AL35" s="23" t="s">
        <v>5</v>
      </c>
      <c r="AM35" s="21">
        <v>30</v>
      </c>
      <c r="AN35" s="22">
        <v>100</v>
      </c>
      <c r="AP35" s="78"/>
      <c r="AQ35" s="78"/>
      <c r="AR35" s="15" t="s">
        <v>1</v>
      </c>
      <c r="AS35" s="16" t="s">
        <v>2</v>
      </c>
    </row>
    <row r="36" spans="1:45" x14ac:dyDescent="0.35">
      <c r="A36" s="71"/>
      <c r="B36" s="6" t="s">
        <v>5</v>
      </c>
      <c r="C36" s="7">
        <v>116</v>
      </c>
      <c r="D36" s="9"/>
      <c r="F36" s="71"/>
      <c r="G36" s="6" t="s">
        <v>5</v>
      </c>
      <c r="H36" s="7">
        <v>138</v>
      </c>
      <c r="I36" s="9"/>
      <c r="K36" s="71"/>
      <c r="L36" s="6" t="s">
        <v>5</v>
      </c>
      <c r="M36" s="7">
        <v>143</v>
      </c>
      <c r="N36" s="9"/>
      <c r="Q36" s="81"/>
      <c r="R36" s="23" t="s">
        <v>5</v>
      </c>
      <c r="S36" s="21">
        <v>57</v>
      </c>
      <c r="T36" s="24"/>
      <c r="V36" s="82" t="s">
        <v>6</v>
      </c>
      <c r="W36" s="23" t="s">
        <v>36</v>
      </c>
      <c r="X36" s="21">
        <v>97</v>
      </c>
      <c r="Y36" s="24"/>
      <c r="AA36" s="82" t="s">
        <v>6</v>
      </c>
      <c r="AB36" s="23" t="s">
        <v>36</v>
      </c>
      <c r="AC36" s="21">
        <v>73</v>
      </c>
      <c r="AD36" s="24"/>
      <c r="AF36" s="82" t="s">
        <v>6</v>
      </c>
      <c r="AG36" s="23" t="s">
        <v>36</v>
      </c>
      <c r="AH36" s="21">
        <v>56</v>
      </c>
      <c r="AI36" s="24"/>
      <c r="AK36" s="82" t="s">
        <v>6</v>
      </c>
      <c r="AL36" s="23" t="s">
        <v>36</v>
      </c>
      <c r="AM36" s="21">
        <v>99</v>
      </c>
      <c r="AN36" s="24"/>
      <c r="AP36" s="79" t="s">
        <v>3</v>
      </c>
      <c r="AQ36" s="28">
        <v>2</v>
      </c>
      <c r="AR36" s="18">
        <v>1</v>
      </c>
      <c r="AS36" s="19">
        <v>3.3</v>
      </c>
    </row>
    <row r="37" spans="1:45" ht="23.5" thickBot="1" x14ac:dyDescent="0.4">
      <c r="A37" s="72" t="s">
        <v>5</v>
      </c>
      <c r="B37" s="73"/>
      <c r="C37" s="10">
        <v>174</v>
      </c>
      <c r="D37" s="11"/>
      <c r="F37" s="72" t="s">
        <v>5</v>
      </c>
      <c r="G37" s="73"/>
      <c r="H37" s="10">
        <v>174</v>
      </c>
      <c r="I37" s="11"/>
      <c r="K37" s="72" t="s">
        <v>5</v>
      </c>
      <c r="L37" s="73"/>
      <c r="M37" s="10">
        <v>204</v>
      </c>
      <c r="N37" s="11"/>
      <c r="Q37" s="83" t="s">
        <v>5</v>
      </c>
      <c r="R37" s="83"/>
      <c r="S37" s="25">
        <v>107</v>
      </c>
      <c r="T37" s="26"/>
      <c r="V37" s="80"/>
      <c r="W37" s="23" t="s">
        <v>37</v>
      </c>
      <c r="X37" s="21">
        <v>2</v>
      </c>
      <c r="Y37" s="24"/>
      <c r="AA37" s="80"/>
      <c r="AB37" s="23" t="s">
        <v>37</v>
      </c>
      <c r="AC37" s="21">
        <v>2</v>
      </c>
      <c r="AD37" s="24"/>
      <c r="AF37" s="80"/>
      <c r="AG37" s="23" t="s">
        <v>37</v>
      </c>
      <c r="AH37" s="21">
        <v>5</v>
      </c>
      <c r="AI37" s="24"/>
      <c r="AK37" s="80"/>
      <c r="AL37" s="23" t="s">
        <v>37</v>
      </c>
      <c r="AM37" s="21">
        <v>4</v>
      </c>
      <c r="AN37" s="24"/>
      <c r="AP37" s="80"/>
      <c r="AQ37" s="20">
        <v>3</v>
      </c>
      <c r="AR37" s="21">
        <v>4</v>
      </c>
      <c r="AS37" s="22">
        <v>13.3</v>
      </c>
    </row>
    <row r="38" spans="1:45" x14ac:dyDescent="0.35">
      <c r="Q38" s="27"/>
      <c r="R38" s="27"/>
      <c r="S38" s="27"/>
      <c r="T38" s="27"/>
      <c r="V38" s="81"/>
      <c r="W38" s="23" t="s">
        <v>5</v>
      </c>
      <c r="X38" s="21">
        <v>99</v>
      </c>
      <c r="Y38" s="24"/>
      <c r="AA38" s="81"/>
      <c r="AB38" s="23" t="s">
        <v>5</v>
      </c>
      <c r="AC38" s="21">
        <v>75</v>
      </c>
      <c r="AD38" s="24"/>
      <c r="AF38" s="81"/>
      <c r="AG38" s="23" t="s">
        <v>5</v>
      </c>
      <c r="AH38" s="21">
        <v>61</v>
      </c>
      <c r="AI38" s="24"/>
      <c r="AK38" s="81"/>
      <c r="AL38" s="23" t="s">
        <v>5</v>
      </c>
      <c r="AM38" s="21">
        <v>103</v>
      </c>
      <c r="AN38" s="24"/>
      <c r="AP38" s="80"/>
      <c r="AQ38" s="20">
        <v>4</v>
      </c>
      <c r="AR38" s="21">
        <v>16</v>
      </c>
      <c r="AS38" s="22">
        <v>53.3</v>
      </c>
    </row>
    <row r="39" spans="1:45" ht="15" customHeight="1" thickBot="1" x14ac:dyDescent="0.4">
      <c r="A39" s="74" t="s">
        <v>12</v>
      </c>
      <c r="B39" s="74"/>
      <c r="C39" s="74"/>
      <c r="D39" s="74"/>
      <c r="F39" s="74" t="s">
        <v>12</v>
      </c>
      <c r="G39" s="74"/>
      <c r="H39" s="74"/>
      <c r="I39" s="74"/>
      <c r="K39" s="74" t="s">
        <v>26</v>
      </c>
      <c r="L39" s="74"/>
      <c r="M39" s="74"/>
      <c r="N39" s="74"/>
      <c r="Q39" s="77" t="s">
        <v>41</v>
      </c>
      <c r="R39" s="77"/>
      <c r="S39" s="77"/>
      <c r="T39" s="77"/>
      <c r="V39" s="83" t="s">
        <v>5</v>
      </c>
      <c r="W39" s="83"/>
      <c r="X39" s="25">
        <v>119</v>
      </c>
      <c r="Y39" s="26"/>
      <c r="AA39" s="83" t="s">
        <v>5</v>
      </c>
      <c r="AB39" s="83"/>
      <c r="AC39" s="25">
        <v>114</v>
      </c>
      <c r="AD39" s="26"/>
      <c r="AF39" s="83" t="s">
        <v>5</v>
      </c>
      <c r="AG39" s="83"/>
      <c r="AH39" s="25">
        <v>128</v>
      </c>
      <c r="AI39" s="26"/>
      <c r="AK39" s="83" t="s">
        <v>5</v>
      </c>
      <c r="AL39" s="83"/>
      <c r="AM39" s="25">
        <v>133</v>
      </c>
      <c r="AN39" s="26"/>
      <c r="AP39" s="80"/>
      <c r="AQ39" s="23" t="s">
        <v>35</v>
      </c>
      <c r="AR39" s="21">
        <v>9</v>
      </c>
      <c r="AS39" s="22">
        <v>30</v>
      </c>
    </row>
    <row r="40" spans="1:45" ht="24.5" thickBot="1" x14ac:dyDescent="0.4">
      <c r="A40" s="68" t="s">
        <v>0</v>
      </c>
      <c r="B40" s="69"/>
      <c r="C40" s="1" t="s">
        <v>1</v>
      </c>
      <c r="D40" s="2" t="s">
        <v>2</v>
      </c>
      <c r="E40" cm="1">
        <f t="array" ref="E40:E44">B28:B32*C28:C32</f>
        <v>6</v>
      </c>
      <c r="F40" s="68" t="s">
        <v>0</v>
      </c>
      <c r="G40" s="69"/>
      <c r="H40" s="1" t="s">
        <v>1</v>
      </c>
      <c r="I40" s="2" t="s">
        <v>2</v>
      </c>
      <c r="K40" s="68" t="s">
        <v>0</v>
      </c>
      <c r="L40" s="69"/>
      <c r="M40" s="1" t="s">
        <v>1</v>
      </c>
      <c r="N40" s="2" t="s">
        <v>2</v>
      </c>
      <c r="Q40" s="78"/>
      <c r="R40" s="78"/>
      <c r="S40" s="15" t="s">
        <v>1</v>
      </c>
      <c r="T40" s="16" t="s">
        <v>2</v>
      </c>
      <c r="V40" s="27"/>
      <c r="W40" s="27"/>
      <c r="X40" s="27"/>
      <c r="Y40" s="27"/>
      <c r="AA40" s="27"/>
      <c r="AB40" s="27"/>
      <c r="AC40" s="27"/>
      <c r="AD40" s="27"/>
      <c r="AF40" s="27"/>
      <c r="AG40" s="27"/>
      <c r="AH40" s="27"/>
      <c r="AI40" s="27"/>
      <c r="AK40" s="27"/>
      <c r="AL40" s="27"/>
      <c r="AM40" s="27"/>
      <c r="AN40" s="27"/>
      <c r="AP40" s="81"/>
      <c r="AQ40" s="23" t="s">
        <v>5</v>
      </c>
      <c r="AR40" s="21">
        <v>30</v>
      </c>
      <c r="AS40" s="22">
        <v>100</v>
      </c>
    </row>
    <row r="41" spans="1:45" ht="23" x14ac:dyDescent="0.35">
      <c r="A41" s="70" t="s">
        <v>3</v>
      </c>
      <c r="B41" s="3" t="s">
        <v>9</v>
      </c>
      <c r="C41" s="4">
        <v>1</v>
      </c>
      <c r="D41" s="5">
        <v>1.7</v>
      </c>
      <c r="E41">
        <v>24</v>
      </c>
      <c r="F41" s="70" t="s">
        <v>3</v>
      </c>
      <c r="G41" s="3" t="s">
        <v>9</v>
      </c>
      <c r="H41" s="4">
        <v>2</v>
      </c>
      <c r="I41" s="5">
        <v>5.4</v>
      </c>
      <c r="J41" cm="1">
        <f t="array" ref="J41:J45">B28:B32*H41:H45</f>
        <v>2</v>
      </c>
      <c r="K41" s="70" t="s">
        <v>3</v>
      </c>
      <c r="L41" s="3" t="s">
        <v>24</v>
      </c>
      <c r="M41" s="4">
        <v>2</v>
      </c>
      <c r="N41" s="5">
        <v>3.2</v>
      </c>
      <c r="Q41" s="79" t="s">
        <v>3</v>
      </c>
      <c r="R41" s="28">
        <v>2</v>
      </c>
      <c r="S41" s="18">
        <v>2</v>
      </c>
      <c r="T41" s="19">
        <v>3.8</v>
      </c>
      <c r="U41" cm="1">
        <f t="array" ref="U41:U45">W43:W47*X43:X47</f>
        <v>2</v>
      </c>
      <c r="V41" s="77" t="s">
        <v>41</v>
      </c>
      <c r="W41" s="77"/>
      <c r="X41" s="77"/>
      <c r="Y41" s="77"/>
      <c r="AA41" s="77" t="s">
        <v>41</v>
      </c>
      <c r="AB41" s="77"/>
      <c r="AC41" s="77"/>
      <c r="AD41" s="77"/>
      <c r="AF41" s="77" t="s">
        <v>41</v>
      </c>
      <c r="AG41" s="77"/>
      <c r="AH41" s="77"/>
      <c r="AI41" s="77"/>
      <c r="AK41" s="77" t="s">
        <v>41</v>
      </c>
      <c r="AL41" s="77"/>
      <c r="AM41" s="77"/>
      <c r="AN41" s="77"/>
      <c r="AP41" s="23" t="s">
        <v>6</v>
      </c>
      <c r="AQ41" s="23" t="s">
        <v>36</v>
      </c>
      <c r="AR41" s="21">
        <v>83</v>
      </c>
      <c r="AS41" s="24"/>
    </row>
    <row r="42" spans="1:45" ht="24" x14ac:dyDescent="0.35">
      <c r="A42" s="71"/>
      <c r="B42" s="6">
        <v>2</v>
      </c>
      <c r="C42" s="7">
        <v>1</v>
      </c>
      <c r="D42" s="8">
        <v>1.7</v>
      </c>
      <c r="E42">
        <v>51</v>
      </c>
      <c r="F42" s="71"/>
      <c r="G42" s="6">
        <v>2</v>
      </c>
      <c r="H42" s="7">
        <v>3</v>
      </c>
      <c r="I42" s="8">
        <v>8.1</v>
      </c>
      <c r="J42">
        <v>6</v>
      </c>
      <c r="K42" s="71"/>
      <c r="L42" s="6">
        <v>2</v>
      </c>
      <c r="M42" s="7">
        <v>6</v>
      </c>
      <c r="N42" s="8">
        <v>9.6999999999999993</v>
      </c>
      <c r="Q42" s="80"/>
      <c r="R42" s="20">
        <v>3</v>
      </c>
      <c r="S42" s="21">
        <v>16</v>
      </c>
      <c r="T42" s="22">
        <v>30.2</v>
      </c>
      <c r="U42">
        <v>2</v>
      </c>
      <c r="V42" s="78"/>
      <c r="W42" s="78"/>
      <c r="X42" s="15" t="s">
        <v>1</v>
      </c>
      <c r="Y42" s="16" t="s">
        <v>2</v>
      </c>
      <c r="AA42" s="78"/>
      <c r="AB42" s="78"/>
      <c r="AC42" s="15" t="s">
        <v>1</v>
      </c>
      <c r="AD42" s="16" t="s">
        <v>2</v>
      </c>
      <c r="AF42" s="78"/>
      <c r="AG42" s="78"/>
      <c r="AH42" s="15" t="s">
        <v>1</v>
      </c>
      <c r="AI42" s="16" t="s">
        <v>2</v>
      </c>
      <c r="AK42" s="78"/>
      <c r="AL42" s="78"/>
      <c r="AM42" s="15" t="s">
        <v>1</v>
      </c>
      <c r="AN42" s="16" t="s">
        <v>2</v>
      </c>
      <c r="AP42" s="83" t="s">
        <v>5</v>
      </c>
      <c r="AQ42" s="83"/>
      <c r="AR42" s="25">
        <v>113</v>
      </c>
      <c r="AS42" s="26"/>
    </row>
    <row r="43" spans="1:45" ht="23" x14ac:dyDescent="0.35">
      <c r="A43" s="71"/>
      <c r="B43" s="6">
        <v>3</v>
      </c>
      <c r="C43" s="7">
        <v>14</v>
      </c>
      <c r="D43" s="8">
        <v>23.7</v>
      </c>
      <c r="E43">
        <v>72</v>
      </c>
      <c r="F43" s="71"/>
      <c r="G43" s="6">
        <v>3</v>
      </c>
      <c r="H43" s="7">
        <v>6</v>
      </c>
      <c r="I43" s="8">
        <v>16.2</v>
      </c>
      <c r="J43">
        <v>18</v>
      </c>
      <c r="K43" s="71"/>
      <c r="L43" s="6">
        <v>3</v>
      </c>
      <c r="M43" s="7">
        <v>22</v>
      </c>
      <c r="N43" s="8">
        <v>35.5</v>
      </c>
      <c r="Q43" s="80"/>
      <c r="R43" s="20">
        <v>4</v>
      </c>
      <c r="S43" s="21">
        <v>15</v>
      </c>
      <c r="T43" s="22">
        <v>28.3</v>
      </c>
      <c r="U43">
        <v>12</v>
      </c>
      <c r="V43" s="79" t="s">
        <v>3</v>
      </c>
      <c r="W43" s="17">
        <v>1</v>
      </c>
      <c r="X43" s="18">
        <v>2</v>
      </c>
      <c r="Y43" s="19">
        <v>10</v>
      </c>
      <c r="Z43" cm="1">
        <f t="array" ref="Z43:Z47">W43:W47*X43:X47</f>
        <v>2</v>
      </c>
      <c r="AA43" s="79" t="s">
        <v>3</v>
      </c>
      <c r="AB43" s="28">
        <v>2</v>
      </c>
      <c r="AC43" s="18">
        <v>1</v>
      </c>
      <c r="AD43" s="19">
        <v>2.5</v>
      </c>
      <c r="AF43" s="79" t="s">
        <v>3</v>
      </c>
      <c r="AG43" s="17" t="s">
        <v>34</v>
      </c>
      <c r="AH43" s="18">
        <v>5</v>
      </c>
      <c r="AI43" s="19">
        <v>7.4</v>
      </c>
      <c r="AK43" s="79" t="s">
        <v>3</v>
      </c>
      <c r="AL43" s="17" t="s">
        <v>34</v>
      </c>
      <c r="AM43" s="18">
        <v>1</v>
      </c>
      <c r="AN43" s="19">
        <v>3.2</v>
      </c>
      <c r="AP43" s="27"/>
      <c r="AQ43" s="27"/>
      <c r="AR43" s="27"/>
      <c r="AS43" s="27"/>
    </row>
    <row r="44" spans="1:45" ht="23" x14ac:dyDescent="0.35">
      <c r="A44" s="71"/>
      <c r="B44" s="6">
        <v>4</v>
      </c>
      <c r="C44" s="7">
        <v>26</v>
      </c>
      <c r="D44" s="8">
        <v>44.1</v>
      </c>
      <c r="E44">
        <v>25</v>
      </c>
      <c r="F44" s="71"/>
      <c r="G44" s="6">
        <v>4</v>
      </c>
      <c r="H44" s="7">
        <v>17</v>
      </c>
      <c r="I44" s="8">
        <v>45.9</v>
      </c>
      <c r="J44">
        <v>68</v>
      </c>
      <c r="K44" s="71"/>
      <c r="L44" s="6">
        <v>4</v>
      </c>
      <c r="M44" s="7">
        <v>21</v>
      </c>
      <c r="N44" s="8">
        <v>33.9</v>
      </c>
      <c r="Q44" s="80"/>
      <c r="R44" s="23" t="s">
        <v>35</v>
      </c>
      <c r="S44" s="21">
        <v>20</v>
      </c>
      <c r="T44" s="22">
        <v>37.700000000000003</v>
      </c>
      <c r="U44">
        <v>12</v>
      </c>
      <c r="V44" s="80"/>
      <c r="W44" s="20">
        <v>2</v>
      </c>
      <c r="X44" s="21">
        <v>1</v>
      </c>
      <c r="Y44" s="22">
        <v>5</v>
      </c>
      <c r="Z44">
        <v>2</v>
      </c>
      <c r="AA44" s="80"/>
      <c r="AB44" s="20">
        <v>3</v>
      </c>
      <c r="AC44" s="21">
        <v>10</v>
      </c>
      <c r="AD44" s="22">
        <v>25</v>
      </c>
      <c r="AF44" s="80"/>
      <c r="AG44" s="20">
        <v>2</v>
      </c>
      <c r="AH44" s="21">
        <v>4</v>
      </c>
      <c r="AI44" s="22">
        <v>5.9</v>
      </c>
      <c r="AK44" s="80"/>
      <c r="AL44" s="20">
        <v>2</v>
      </c>
      <c r="AM44" s="21">
        <v>4</v>
      </c>
      <c r="AN44" s="22">
        <v>12.9</v>
      </c>
      <c r="AP44" s="77" t="s">
        <v>42</v>
      </c>
      <c r="AQ44" s="77"/>
      <c r="AR44" s="77"/>
      <c r="AS44" s="77"/>
    </row>
    <row r="45" spans="1:45" ht="24" x14ac:dyDescent="0.35">
      <c r="A45" s="71"/>
      <c r="B45" s="6" t="s">
        <v>4</v>
      </c>
      <c r="C45" s="7">
        <v>17</v>
      </c>
      <c r="D45" s="8">
        <v>28.8</v>
      </c>
      <c r="E45">
        <f>SUM(_xlfn.ANCHORARRAY(E40))</f>
        <v>178</v>
      </c>
      <c r="F45" s="71"/>
      <c r="G45" s="6" t="s">
        <v>4</v>
      </c>
      <c r="H45" s="7">
        <v>9</v>
      </c>
      <c r="I45" s="8">
        <v>24.3</v>
      </c>
      <c r="J45">
        <v>45</v>
      </c>
      <c r="K45" s="71"/>
      <c r="L45" s="6" t="s">
        <v>4</v>
      </c>
      <c r="M45" s="7">
        <v>11</v>
      </c>
      <c r="N45" s="8">
        <v>17.7</v>
      </c>
      <c r="Q45" s="81"/>
      <c r="R45" s="23" t="s">
        <v>5</v>
      </c>
      <c r="S45" s="21">
        <v>53</v>
      </c>
      <c r="T45" s="22">
        <v>100</v>
      </c>
      <c r="U45">
        <v>50</v>
      </c>
      <c r="V45" s="80"/>
      <c r="W45" s="20">
        <v>3</v>
      </c>
      <c r="X45" s="21">
        <v>4</v>
      </c>
      <c r="Y45" s="22">
        <v>20</v>
      </c>
      <c r="Z45">
        <v>12</v>
      </c>
      <c r="AA45" s="80"/>
      <c r="AB45" s="20">
        <v>4</v>
      </c>
      <c r="AC45" s="21">
        <v>14</v>
      </c>
      <c r="AD45" s="22">
        <v>35</v>
      </c>
      <c r="AF45" s="80"/>
      <c r="AG45" s="20">
        <v>3</v>
      </c>
      <c r="AH45" s="21">
        <v>10</v>
      </c>
      <c r="AI45" s="22">
        <v>14.7</v>
      </c>
      <c r="AK45" s="80"/>
      <c r="AL45" s="20">
        <v>3</v>
      </c>
      <c r="AM45" s="21">
        <v>8</v>
      </c>
      <c r="AN45" s="22">
        <v>25.8</v>
      </c>
      <c r="AP45" s="78"/>
      <c r="AQ45" s="78"/>
      <c r="AR45" s="15" t="s">
        <v>1</v>
      </c>
      <c r="AS45" s="16" t="s">
        <v>2</v>
      </c>
    </row>
    <row r="46" spans="1:45" ht="23" x14ac:dyDescent="0.35">
      <c r="A46" s="71"/>
      <c r="B46" s="6" t="s">
        <v>5</v>
      </c>
      <c r="C46" s="7">
        <v>59</v>
      </c>
      <c r="D46" s="8">
        <v>100</v>
      </c>
      <c r="E46">
        <f>E45/C46</f>
        <v>3.0169491525423728</v>
      </c>
      <c r="F46" s="71"/>
      <c r="G46" s="6" t="s">
        <v>5</v>
      </c>
      <c r="H46" s="7">
        <v>37</v>
      </c>
      <c r="I46" s="8">
        <v>100</v>
      </c>
      <c r="J46">
        <f>SUM(_xlfn.ANCHORARRAY(J41))</f>
        <v>139</v>
      </c>
      <c r="K46" s="71"/>
      <c r="L46" s="6" t="s">
        <v>5</v>
      </c>
      <c r="M46" s="7">
        <v>62</v>
      </c>
      <c r="N46" s="8">
        <v>100</v>
      </c>
      <c r="Q46" s="82" t="s">
        <v>6</v>
      </c>
      <c r="R46" s="23" t="s">
        <v>36</v>
      </c>
      <c r="S46" s="21">
        <v>52</v>
      </c>
      <c r="T46" s="24"/>
      <c r="U46">
        <f>SUM(_xlfn.ANCHORARRAY(U41))</f>
        <v>78</v>
      </c>
      <c r="V46" s="80"/>
      <c r="W46" s="20">
        <v>4</v>
      </c>
      <c r="X46" s="21">
        <v>3</v>
      </c>
      <c r="Y46" s="22">
        <v>15</v>
      </c>
      <c r="Z46">
        <v>12</v>
      </c>
      <c r="AA46" s="80"/>
      <c r="AB46" s="23" t="s">
        <v>35</v>
      </c>
      <c r="AC46" s="21">
        <v>15</v>
      </c>
      <c r="AD46" s="22">
        <v>37.5</v>
      </c>
      <c r="AF46" s="80"/>
      <c r="AG46" s="20">
        <v>4</v>
      </c>
      <c r="AH46" s="21">
        <v>33</v>
      </c>
      <c r="AI46" s="22">
        <v>48.5</v>
      </c>
      <c r="AK46" s="80"/>
      <c r="AL46" s="20">
        <v>4</v>
      </c>
      <c r="AM46" s="21">
        <v>10</v>
      </c>
      <c r="AN46" s="22">
        <v>32.299999999999997</v>
      </c>
      <c r="AP46" s="79" t="s">
        <v>3</v>
      </c>
      <c r="AQ46" s="17" t="s">
        <v>34</v>
      </c>
      <c r="AR46" s="18">
        <v>10</v>
      </c>
      <c r="AS46" s="19">
        <v>33.299999999999997</v>
      </c>
    </row>
    <row r="47" spans="1:45" ht="23" x14ac:dyDescent="0.35">
      <c r="A47" s="71" t="s">
        <v>6</v>
      </c>
      <c r="B47" s="6">
        <v>8</v>
      </c>
      <c r="C47" s="7">
        <v>108</v>
      </c>
      <c r="D47" s="9"/>
      <c r="F47" s="71" t="s">
        <v>6</v>
      </c>
      <c r="G47" s="6">
        <v>8</v>
      </c>
      <c r="H47" s="7">
        <v>130</v>
      </c>
      <c r="I47" s="9"/>
      <c r="J47">
        <f>J46/H46</f>
        <v>3.7567567567567566</v>
      </c>
      <c r="K47" s="71" t="s">
        <v>6</v>
      </c>
      <c r="L47" s="6">
        <v>8</v>
      </c>
      <c r="M47" s="7">
        <v>137</v>
      </c>
      <c r="N47" s="9"/>
      <c r="Q47" s="80"/>
      <c r="R47" s="23" t="s">
        <v>37</v>
      </c>
      <c r="S47" s="21">
        <v>2</v>
      </c>
      <c r="T47" s="24"/>
      <c r="U47">
        <f>52/78</f>
        <v>0.66666666666666663</v>
      </c>
      <c r="V47" s="80"/>
      <c r="W47" s="23">
        <v>5</v>
      </c>
      <c r="X47" s="21">
        <v>10</v>
      </c>
      <c r="Y47" s="22">
        <v>50</v>
      </c>
      <c r="Z47">
        <v>50</v>
      </c>
      <c r="AA47" s="81"/>
      <c r="AB47" s="23" t="s">
        <v>5</v>
      </c>
      <c r="AC47" s="21">
        <v>40</v>
      </c>
      <c r="AD47" s="22">
        <v>100</v>
      </c>
      <c r="AF47" s="80"/>
      <c r="AG47" s="23" t="s">
        <v>35</v>
      </c>
      <c r="AH47" s="21">
        <v>16</v>
      </c>
      <c r="AI47" s="22">
        <v>23.5</v>
      </c>
      <c r="AK47" s="80"/>
      <c r="AL47" s="23" t="s">
        <v>35</v>
      </c>
      <c r="AM47" s="21">
        <v>8</v>
      </c>
      <c r="AN47" s="22">
        <v>25.8</v>
      </c>
      <c r="AP47" s="80"/>
      <c r="AQ47" s="20">
        <v>2</v>
      </c>
      <c r="AR47" s="21">
        <v>6</v>
      </c>
      <c r="AS47" s="22">
        <v>20</v>
      </c>
    </row>
    <row r="48" spans="1:45" x14ac:dyDescent="0.35">
      <c r="A48" s="71"/>
      <c r="B48" s="6">
        <v>9</v>
      </c>
      <c r="C48" s="7">
        <v>7</v>
      </c>
      <c r="D48" s="9"/>
      <c r="F48" s="71"/>
      <c r="G48" s="6">
        <v>9</v>
      </c>
      <c r="H48" s="7">
        <v>7</v>
      </c>
      <c r="I48" s="9"/>
      <c r="K48" s="71"/>
      <c r="L48" s="6">
        <v>9</v>
      </c>
      <c r="M48" s="7">
        <v>5</v>
      </c>
      <c r="N48" s="9"/>
      <c r="Q48" s="81"/>
      <c r="R48" s="23" t="s">
        <v>5</v>
      </c>
      <c r="S48" s="21">
        <v>54</v>
      </c>
      <c r="T48" s="24"/>
      <c r="V48" s="81"/>
      <c r="W48" s="23" t="s">
        <v>5</v>
      </c>
      <c r="X48" s="21">
        <v>20</v>
      </c>
      <c r="Y48" s="22">
        <v>100</v>
      </c>
      <c r="Z48">
        <f>SUM(_xlfn.ANCHORARRAY(Z43))</f>
        <v>78</v>
      </c>
      <c r="AA48" s="82" t="s">
        <v>6</v>
      </c>
      <c r="AB48" s="23" t="s">
        <v>36</v>
      </c>
      <c r="AC48" s="21">
        <v>73</v>
      </c>
      <c r="AD48" s="24"/>
      <c r="AF48" s="81"/>
      <c r="AG48" s="23" t="s">
        <v>5</v>
      </c>
      <c r="AH48" s="21">
        <v>68</v>
      </c>
      <c r="AI48" s="22">
        <v>100</v>
      </c>
      <c r="AK48" s="81"/>
      <c r="AL48" s="23" t="s">
        <v>5</v>
      </c>
      <c r="AM48" s="21">
        <v>31</v>
      </c>
      <c r="AN48" s="22">
        <v>100</v>
      </c>
      <c r="AP48" s="80"/>
      <c r="AQ48" s="20">
        <v>3</v>
      </c>
      <c r="AR48" s="21">
        <v>8</v>
      </c>
      <c r="AS48" s="22">
        <v>26.7</v>
      </c>
    </row>
    <row r="49" spans="1:45" ht="23" x14ac:dyDescent="0.35">
      <c r="A49" s="71"/>
      <c r="B49" s="6" t="s">
        <v>5</v>
      </c>
      <c r="C49" s="7">
        <v>115</v>
      </c>
      <c r="D49" s="9"/>
      <c r="F49" s="71"/>
      <c r="G49" s="6" t="s">
        <v>5</v>
      </c>
      <c r="H49" s="7">
        <v>137</v>
      </c>
      <c r="I49" s="9"/>
      <c r="K49" s="71"/>
      <c r="L49" s="6" t="s">
        <v>5</v>
      </c>
      <c r="M49" s="7">
        <v>142</v>
      </c>
      <c r="N49" s="9"/>
      <c r="Q49" s="83" t="s">
        <v>5</v>
      </c>
      <c r="R49" s="83"/>
      <c r="S49" s="25">
        <v>107</v>
      </c>
      <c r="T49" s="26"/>
      <c r="V49" s="82" t="s">
        <v>6</v>
      </c>
      <c r="W49" s="23" t="s">
        <v>36</v>
      </c>
      <c r="X49" s="21">
        <v>97</v>
      </c>
      <c r="Y49" s="24"/>
      <c r="Z49">
        <f>78/20</f>
        <v>3.9</v>
      </c>
      <c r="AA49" s="80"/>
      <c r="AB49" s="23" t="s">
        <v>37</v>
      </c>
      <c r="AC49" s="21">
        <v>1</v>
      </c>
      <c r="AD49" s="24"/>
      <c r="AF49" s="82" t="s">
        <v>6</v>
      </c>
      <c r="AG49" s="23" t="s">
        <v>36</v>
      </c>
      <c r="AH49" s="21">
        <v>56</v>
      </c>
      <c r="AI49" s="24"/>
      <c r="AK49" s="82" t="s">
        <v>6</v>
      </c>
      <c r="AL49" s="23" t="s">
        <v>36</v>
      </c>
      <c r="AM49" s="21">
        <v>99</v>
      </c>
      <c r="AN49" s="24"/>
      <c r="AP49" s="80"/>
      <c r="AQ49" s="20">
        <v>4</v>
      </c>
      <c r="AR49" s="21">
        <v>3</v>
      </c>
      <c r="AS49" s="22">
        <v>10</v>
      </c>
    </row>
    <row r="50" spans="1:45" ht="23.5" thickBot="1" x14ac:dyDescent="0.4">
      <c r="A50" s="72" t="s">
        <v>5</v>
      </c>
      <c r="B50" s="73"/>
      <c r="C50" s="10">
        <v>174</v>
      </c>
      <c r="D50" s="11"/>
      <c r="F50" s="72" t="s">
        <v>5</v>
      </c>
      <c r="G50" s="73"/>
      <c r="H50" s="10">
        <v>174</v>
      </c>
      <c r="I50" s="11"/>
      <c r="K50" s="72" t="s">
        <v>5</v>
      </c>
      <c r="L50" s="73"/>
      <c r="M50" s="10">
        <v>204</v>
      </c>
      <c r="N50" s="11"/>
      <c r="Q50" s="27"/>
      <c r="R50" s="27"/>
      <c r="S50" s="27"/>
      <c r="T50" s="27"/>
      <c r="V50" s="80"/>
      <c r="W50" s="23" t="s">
        <v>37</v>
      </c>
      <c r="X50" s="21">
        <v>2</v>
      </c>
      <c r="Y50" s="24"/>
      <c r="AA50" s="81"/>
      <c r="AB50" s="23" t="s">
        <v>5</v>
      </c>
      <c r="AC50" s="21">
        <v>74</v>
      </c>
      <c r="AD50" s="24"/>
      <c r="AF50" s="80"/>
      <c r="AG50" s="23" t="s">
        <v>37</v>
      </c>
      <c r="AH50" s="21">
        <v>4</v>
      </c>
      <c r="AI50" s="24"/>
      <c r="AK50" s="80"/>
      <c r="AL50" s="23" t="s">
        <v>37</v>
      </c>
      <c r="AM50" s="21">
        <v>3</v>
      </c>
      <c r="AN50" s="24"/>
      <c r="AP50" s="80"/>
      <c r="AQ50" s="23" t="s">
        <v>35</v>
      </c>
      <c r="AR50" s="21">
        <v>3</v>
      </c>
      <c r="AS50" s="22">
        <v>10</v>
      </c>
    </row>
    <row r="51" spans="1:45" x14ac:dyDescent="0.35">
      <c r="Q51" s="77" t="s">
        <v>42</v>
      </c>
      <c r="R51" s="77"/>
      <c r="S51" s="77"/>
      <c r="T51" s="77"/>
      <c r="V51" s="81"/>
      <c r="W51" s="23" t="s">
        <v>5</v>
      </c>
      <c r="X51" s="21">
        <v>99</v>
      </c>
      <c r="Y51" s="24"/>
      <c r="AA51" s="83" t="s">
        <v>5</v>
      </c>
      <c r="AB51" s="83"/>
      <c r="AC51" s="25">
        <v>114</v>
      </c>
      <c r="AD51" s="26"/>
      <c r="AF51" s="81"/>
      <c r="AG51" s="23" t="s">
        <v>5</v>
      </c>
      <c r="AH51" s="21">
        <v>60</v>
      </c>
      <c r="AI51" s="24"/>
      <c r="AK51" s="81"/>
      <c r="AL51" s="23" t="s">
        <v>5</v>
      </c>
      <c r="AM51" s="21">
        <v>102</v>
      </c>
      <c r="AN51" s="24"/>
      <c r="AP51" s="81"/>
      <c r="AQ51" s="23" t="s">
        <v>5</v>
      </c>
      <c r="AR51" s="21">
        <v>30</v>
      </c>
      <c r="AS51" s="22">
        <v>100</v>
      </c>
    </row>
    <row r="52" spans="1:45" ht="15" customHeight="1" thickBot="1" x14ac:dyDescent="0.4">
      <c r="A52" s="74" t="s">
        <v>13</v>
      </c>
      <c r="B52" s="74"/>
      <c r="C52" s="74"/>
      <c r="D52" s="74"/>
      <c r="F52" s="74" t="s">
        <v>13</v>
      </c>
      <c r="G52" s="74"/>
      <c r="H52" s="74"/>
      <c r="I52" s="74"/>
      <c r="K52" s="74" t="s">
        <v>27</v>
      </c>
      <c r="L52" s="74"/>
      <c r="M52" s="74"/>
      <c r="N52" s="74"/>
      <c r="Q52" s="78"/>
      <c r="R52" s="78"/>
      <c r="S52" s="15" t="s">
        <v>1</v>
      </c>
      <c r="T52" s="16" t="s">
        <v>2</v>
      </c>
      <c r="V52" s="83" t="s">
        <v>5</v>
      </c>
      <c r="W52" s="83"/>
      <c r="X52" s="25">
        <v>119</v>
      </c>
      <c r="Y52" s="26"/>
      <c r="AA52" s="27"/>
      <c r="AB52" s="27"/>
      <c r="AC52" s="27"/>
      <c r="AD52" s="27"/>
      <c r="AF52" s="83" t="s">
        <v>5</v>
      </c>
      <c r="AG52" s="83"/>
      <c r="AH52" s="25">
        <v>128</v>
      </c>
      <c r="AI52" s="26"/>
      <c r="AK52" s="83" t="s">
        <v>5</v>
      </c>
      <c r="AL52" s="83"/>
      <c r="AM52" s="25">
        <v>133</v>
      </c>
      <c r="AN52" s="26"/>
      <c r="AP52" s="23" t="s">
        <v>6</v>
      </c>
      <c r="AQ52" s="23" t="s">
        <v>36</v>
      </c>
      <c r="AR52" s="21">
        <v>83</v>
      </c>
      <c r="AS52" s="24"/>
    </row>
    <row r="53" spans="1:45" ht="24.5" thickBot="1" x14ac:dyDescent="0.4">
      <c r="A53" s="68" t="s">
        <v>0</v>
      </c>
      <c r="B53" s="69"/>
      <c r="C53" s="1" t="s">
        <v>1</v>
      </c>
      <c r="D53" s="2" t="s">
        <v>2</v>
      </c>
      <c r="E53" cm="1">
        <f t="array" ref="E53:E57">B54:B58*C54:C58</f>
        <v>17</v>
      </c>
      <c r="F53" s="68" t="s">
        <v>0</v>
      </c>
      <c r="G53" s="69"/>
      <c r="H53" s="1" t="s">
        <v>1</v>
      </c>
      <c r="I53" s="2" t="s">
        <v>2</v>
      </c>
      <c r="K53" s="68" t="s">
        <v>0</v>
      </c>
      <c r="L53" s="69"/>
      <c r="M53" s="1" t="s">
        <v>1</v>
      </c>
      <c r="N53" s="2" t="s">
        <v>2</v>
      </c>
      <c r="O53" cm="1">
        <f t="array" ref="O53:O57">B54:B58*M54:M58</f>
        <v>19</v>
      </c>
      <c r="Q53" s="79" t="s">
        <v>3</v>
      </c>
      <c r="R53" s="17">
        <v>1</v>
      </c>
      <c r="S53" s="18">
        <v>10</v>
      </c>
      <c r="T53" s="19">
        <v>20</v>
      </c>
      <c r="U53" cm="1">
        <f t="array" ref="U53:U57">R53:R57*S53:S57</f>
        <v>10</v>
      </c>
      <c r="V53" s="27"/>
      <c r="W53" s="27"/>
      <c r="X53" s="27"/>
      <c r="Y53" s="27"/>
      <c r="AA53" s="77" t="s">
        <v>42</v>
      </c>
      <c r="AB53" s="77"/>
      <c r="AC53" s="77"/>
      <c r="AD53" s="77"/>
      <c r="AF53" s="27"/>
      <c r="AG53" s="27"/>
      <c r="AH53" s="27"/>
      <c r="AI53" s="27"/>
      <c r="AK53" s="27"/>
      <c r="AL53" s="27"/>
      <c r="AM53" s="27"/>
      <c r="AN53" s="27"/>
      <c r="AP53" s="83" t="s">
        <v>5</v>
      </c>
      <c r="AQ53" s="83"/>
      <c r="AR53" s="25">
        <v>113</v>
      </c>
      <c r="AS53" s="26"/>
    </row>
    <row r="54" spans="1:45" ht="24" x14ac:dyDescent="0.35">
      <c r="A54" s="70" t="s">
        <v>3</v>
      </c>
      <c r="B54" s="3">
        <v>1</v>
      </c>
      <c r="C54" s="4">
        <v>17</v>
      </c>
      <c r="D54" s="5">
        <v>29.3</v>
      </c>
      <c r="E54">
        <v>22</v>
      </c>
      <c r="F54" s="70" t="s">
        <v>3</v>
      </c>
      <c r="G54" s="3" t="s">
        <v>9</v>
      </c>
      <c r="H54" s="4">
        <v>7</v>
      </c>
      <c r="I54" s="5">
        <v>18.399999999999999</v>
      </c>
      <c r="J54" cm="1">
        <f t="array" ref="J54:J58">B54:B58*H54:H58</f>
        <v>7</v>
      </c>
      <c r="K54" s="70" t="s">
        <v>3</v>
      </c>
      <c r="L54" s="3" t="s">
        <v>24</v>
      </c>
      <c r="M54" s="4">
        <v>19</v>
      </c>
      <c r="N54" s="5">
        <v>30.6</v>
      </c>
      <c r="O54">
        <v>28</v>
      </c>
      <c r="Q54" s="80"/>
      <c r="R54" s="20">
        <v>2</v>
      </c>
      <c r="S54" s="21">
        <v>12</v>
      </c>
      <c r="T54" s="22">
        <v>24</v>
      </c>
      <c r="U54">
        <v>24</v>
      </c>
      <c r="V54" s="77" t="s">
        <v>42</v>
      </c>
      <c r="W54" s="77"/>
      <c r="X54" s="77"/>
      <c r="Y54" s="77"/>
      <c r="AA54" s="78"/>
      <c r="AB54" s="78"/>
      <c r="AC54" s="15" t="s">
        <v>1</v>
      </c>
      <c r="AD54" s="16" t="s">
        <v>2</v>
      </c>
      <c r="AE54" cm="1">
        <f t="array" ref="AE54:AE58">R53:R57*AC55:AC59</f>
        <v>5</v>
      </c>
      <c r="AF54" s="77" t="s">
        <v>42</v>
      </c>
      <c r="AG54" s="77"/>
      <c r="AH54" s="77"/>
      <c r="AI54" s="77"/>
      <c r="AK54" s="77" t="s">
        <v>42</v>
      </c>
      <c r="AL54" s="77"/>
      <c r="AM54" s="77"/>
      <c r="AN54" s="77"/>
      <c r="AP54" s="27"/>
      <c r="AQ54" s="27"/>
      <c r="AR54" s="27"/>
      <c r="AS54" s="27"/>
    </row>
    <row r="55" spans="1:45" ht="24" x14ac:dyDescent="0.35">
      <c r="A55" s="71"/>
      <c r="B55" s="6">
        <v>2</v>
      </c>
      <c r="C55" s="7">
        <v>11</v>
      </c>
      <c r="D55" s="8">
        <v>19</v>
      </c>
      <c r="E55">
        <v>48</v>
      </c>
      <c r="F55" s="71"/>
      <c r="G55" s="6">
        <v>2</v>
      </c>
      <c r="H55" s="7">
        <v>9</v>
      </c>
      <c r="I55" s="8">
        <v>23.7</v>
      </c>
      <c r="J55">
        <v>18</v>
      </c>
      <c r="K55" s="71"/>
      <c r="L55" s="6">
        <v>2</v>
      </c>
      <c r="M55" s="7">
        <v>14</v>
      </c>
      <c r="N55" s="8">
        <v>22.6</v>
      </c>
      <c r="O55">
        <v>54</v>
      </c>
      <c r="Q55" s="80"/>
      <c r="R55" s="20">
        <v>3</v>
      </c>
      <c r="S55" s="21">
        <v>15</v>
      </c>
      <c r="T55" s="22">
        <v>30</v>
      </c>
      <c r="U55">
        <v>45</v>
      </c>
      <c r="V55" s="78"/>
      <c r="W55" s="78"/>
      <c r="X55" s="15" t="s">
        <v>1</v>
      </c>
      <c r="Y55" s="16" t="s">
        <v>2</v>
      </c>
      <c r="Z55" cm="1">
        <f t="array" ref="Z55:Z59">R53:R57*X56:X60</f>
        <v>4</v>
      </c>
      <c r="AA55" s="79" t="s">
        <v>3</v>
      </c>
      <c r="AB55" s="17" t="s">
        <v>34</v>
      </c>
      <c r="AC55" s="18">
        <v>5</v>
      </c>
      <c r="AD55" s="19">
        <v>13.2</v>
      </c>
      <c r="AE55">
        <v>8</v>
      </c>
      <c r="AF55" s="78"/>
      <c r="AG55" s="78"/>
      <c r="AH55" s="15" t="s">
        <v>1</v>
      </c>
      <c r="AI55" s="16" t="s">
        <v>2</v>
      </c>
      <c r="AK55" s="78"/>
      <c r="AL55" s="78"/>
      <c r="AM55" s="15" t="s">
        <v>1</v>
      </c>
      <c r="AN55" s="16" t="s">
        <v>2</v>
      </c>
      <c r="AP55" s="77" t="s">
        <v>43</v>
      </c>
      <c r="AQ55" s="77"/>
      <c r="AR55" s="77"/>
      <c r="AS55" s="77"/>
    </row>
    <row r="56" spans="1:45" ht="24" x14ac:dyDescent="0.35">
      <c r="A56" s="71"/>
      <c r="B56" s="6">
        <v>3</v>
      </c>
      <c r="C56" s="7">
        <v>16</v>
      </c>
      <c r="D56" s="8">
        <v>27.6</v>
      </c>
      <c r="E56">
        <v>40</v>
      </c>
      <c r="F56" s="71"/>
      <c r="G56" s="6">
        <v>3</v>
      </c>
      <c r="H56" s="7">
        <v>7</v>
      </c>
      <c r="I56" s="8">
        <v>18.399999999999999</v>
      </c>
      <c r="J56">
        <v>21</v>
      </c>
      <c r="K56" s="71"/>
      <c r="L56" s="6">
        <v>3</v>
      </c>
      <c r="M56" s="7">
        <v>18</v>
      </c>
      <c r="N56" s="8">
        <v>29</v>
      </c>
      <c r="O56">
        <v>24</v>
      </c>
      <c r="Q56" s="80"/>
      <c r="R56" s="20">
        <v>4</v>
      </c>
      <c r="S56" s="21">
        <v>6</v>
      </c>
      <c r="T56" s="22">
        <v>12</v>
      </c>
      <c r="U56">
        <v>24</v>
      </c>
      <c r="V56" s="79" t="s">
        <v>3</v>
      </c>
      <c r="W56" s="17" t="s">
        <v>34</v>
      </c>
      <c r="X56" s="18">
        <v>4</v>
      </c>
      <c r="Y56" s="19">
        <v>22.2</v>
      </c>
      <c r="Z56">
        <v>6</v>
      </c>
      <c r="AA56" s="80"/>
      <c r="AB56" s="20">
        <v>2</v>
      </c>
      <c r="AC56" s="21">
        <v>4</v>
      </c>
      <c r="AD56" s="22">
        <v>10.5</v>
      </c>
      <c r="AE56">
        <v>42</v>
      </c>
      <c r="AF56" s="79" t="s">
        <v>3</v>
      </c>
      <c r="AG56" s="17" t="s">
        <v>34</v>
      </c>
      <c r="AH56" s="18">
        <v>11</v>
      </c>
      <c r="AI56" s="19">
        <v>16.399999999999999</v>
      </c>
      <c r="AK56" s="79" t="s">
        <v>3</v>
      </c>
      <c r="AL56" s="17" t="s">
        <v>34</v>
      </c>
      <c r="AM56" s="18">
        <v>6</v>
      </c>
      <c r="AN56" s="19">
        <v>20</v>
      </c>
      <c r="AP56" s="78"/>
      <c r="AQ56" s="78"/>
      <c r="AR56" s="15" t="s">
        <v>1</v>
      </c>
      <c r="AS56" s="16" t="s">
        <v>2</v>
      </c>
    </row>
    <row r="57" spans="1:45" ht="23" x14ac:dyDescent="0.35">
      <c r="A57" s="71"/>
      <c r="B57" s="6">
        <v>4</v>
      </c>
      <c r="C57" s="7">
        <v>10</v>
      </c>
      <c r="D57" s="8">
        <v>17.2</v>
      </c>
      <c r="E57">
        <v>20</v>
      </c>
      <c r="F57" s="71"/>
      <c r="G57" s="6">
        <v>4</v>
      </c>
      <c r="H57" s="7">
        <v>8</v>
      </c>
      <c r="I57" s="8">
        <v>21.1</v>
      </c>
      <c r="J57">
        <v>32</v>
      </c>
      <c r="K57" s="71"/>
      <c r="L57" s="6">
        <v>4</v>
      </c>
      <c r="M57" s="7">
        <v>6</v>
      </c>
      <c r="N57" s="8">
        <v>9.6999999999999993</v>
      </c>
      <c r="O57">
        <v>25</v>
      </c>
      <c r="Q57" s="80"/>
      <c r="R57" s="23">
        <v>5</v>
      </c>
      <c r="S57" s="21">
        <v>7</v>
      </c>
      <c r="T57" s="22">
        <v>14</v>
      </c>
      <c r="U57">
        <v>35</v>
      </c>
      <c r="V57" s="80"/>
      <c r="W57" s="20">
        <v>2</v>
      </c>
      <c r="X57" s="21">
        <v>3</v>
      </c>
      <c r="Y57" s="22">
        <v>16.7</v>
      </c>
      <c r="Z57">
        <v>12</v>
      </c>
      <c r="AA57" s="80"/>
      <c r="AB57" s="20">
        <v>3</v>
      </c>
      <c r="AC57" s="21">
        <v>14</v>
      </c>
      <c r="AD57" s="22">
        <v>36.799999999999997</v>
      </c>
      <c r="AE57">
        <v>32</v>
      </c>
      <c r="AF57" s="80"/>
      <c r="AG57" s="20">
        <v>2</v>
      </c>
      <c r="AH57" s="21">
        <v>18</v>
      </c>
      <c r="AI57" s="22">
        <v>26.9</v>
      </c>
      <c r="AK57" s="80"/>
      <c r="AL57" s="20">
        <v>2</v>
      </c>
      <c r="AM57" s="21">
        <v>6</v>
      </c>
      <c r="AN57" s="22">
        <v>20</v>
      </c>
      <c r="AP57" s="79" t="s">
        <v>3</v>
      </c>
      <c r="AQ57" s="17" t="s">
        <v>34</v>
      </c>
      <c r="AR57" s="18">
        <v>1</v>
      </c>
      <c r="AS57" s="19">
        <v>3.3</v>
      </c>
    </row>
    <row r="58" spans="1:45" ht="23" x14ac:dyDescent="0.35">
      <c r="A58" s="71"/>
      <c r="B58" s="6">
        <v>5</v>
      </c>
      <c r="C58" s="7">
        <v>4</v>
      </c>
      <c r="D58" s="8">
        <v>6.9</v>
      </c>
      <c r="E58">
        <f>SUM(_xlfn.ANCHORARRAY(E53))</f>
        <v>147</v>
      </c>
      <c r="F58" s="71"/>
      <c r="G58" s="6" t="s">
        <v>4</v>
      </c>
      <c r="H58" s="7">
        <v>7</v>
      </c>
      <c r="I58" s="8">
        <v>18.399999999999999</v>
      </c>
      <c r="J58">
        <v>35</v>
      </c>
      <c r="K58" s="71"/>
      <c r="L58" s="6" t="s">
        <v>4</v>
      </c>
      <c r="M58" s="7">
        <v>5</v>
      </c>
      <c r="N58" s="8">
        <v>8.1</v>
      </c>
      <c r="O58">
        <f>SUM(_xlfn.ANCHORARRAY(O53))</f>
        <v>150</v>
      </c>
      <c r="Q58" s="81"/>
      <c r="R58" s="23" t="s">
        <v>5</v>
      </c>
      <c r="S58" s="21">
        <v>50</v>
      </c>
      <c r="T58" s="22">
        <v>100</v>
      </c>
      <c r="U58">
        <f>SUM(_xlfn.ANCHORARRAY(U53))</f>
        <v>138</v>
      </c>
      <c r="V58" s="80"/>
      <c r="W58" s="20">
        <v>3</v>
      </c>
      <c r="X58" s="21">
        <v>4</v>
      </c>
      <c r="Y58" s="22">
        <v>22.2</v>
      </c>
      <c r="Z58">
        <v>8</v>
      </c>
      <c r="AA58" s="80"/>
      <c r="AB58" s="20">
        <v>4</v>
      </c>
      <c r="AC58" s="21">
        <v>8</v>
      </c>
      <c r="AD58" s="22">
        <v>21.1</v>
      </c>
      <c r="AE58">
        <v>35</v>
      </c>
      <c r="AF58" s="80"/>
      <c r="AG58" s="20">
        <v>3</v>
      </c>
      <c r="AH58" s="21">
        <v>17</v>
      </c>
      <c r="AI58" s="22">
        <v>25.4</v>
      </c>
      <c r="AK58" s="80"/>
      <c r="AL58" s="20">
        <v>3</v>
      </c>
      <c r="AM58" s="21">
        <v>10</v>
      </c>
      <c r="AN58" s="22">
        <v>33.299999999999997</v>
      </c>
      <c r="AP58" s="80"/>
      <c r="AQ58" s="20">
        <v>2</v>
      </c>
      <c r="AR58" s="21">
        <v>4</v>
      </c>
      <c r="AS58" s="22">
        <v>13.3</v>
      </c>
    </row>
    <row r="59" spans="1:45" ht="23" x14ac:dyDescent="0.35">
      <c r="A59" s="71"/>
      <c r="B59" s="6" t="s">
        <v>5</v>
      </c>
      <c r="C59" s="7">
        <v>58</v>
      </c>
      <c r="D59" s="8">
        <v>100</v>
      </c>
      <c r="E59">
        <f>E58/C59</f>
        <v>2.5344827586206895</v>
      </c>
      <c r="F59" s="71"/>
      <c r="G59" s="6" t="s">
        <v>5</v>
      </c>
      <c r="H59" s="7">
        <v>38</v>
      </c>
      <c r="I59" s="8">
        <v>100</v>
      </c>
      <c r="J59">
        <f>SUM(_xlfn.ANCHORARRAY(J54))</f>
        <v>113</v>
      </c>
      <c r="K59" s="71"/>
      <c r="L59" s="6" t="s">
        <v>5</v>
      </c>
      <c r="M59" s="7">
        <v>62</v>
      </c>
      <c r="N59" s="8">
        <v>100</v>
      </c>
      <c r="O59">
        <f>O58/M59</f>
        <v>2.4193548387096775</v>
      </c>
      <c r="Q59" s="82" t="s">
        <v>6</v>
      </c>
      <c r="R59" s="23" t="s">
        <v>36</v>
      </c>
      <c r="S59" s="21">
        <v>52</v>
      </c>
      <c r="T59" s="24"/>
      <c r="U59">
        <f>U58/S58</f>
        <v>2.76</v>
      </c>
      <c r="V59" s="80"/>
      <c r="W59" s="20">
        <v>4</v>
      </c>
      <c r="X59" s="21">
        <v>2</v>
      </c>
      <c r="Y59" s="22">
        <v>11.1</v>
      </c>
      <c r="Z59">
        <v>25</v>
      </c>
      <c r="AA59" s="80"/>
      <c r="AB59" s="23" t="s">
        <v>35</v>
      </c>
      <c r="AC59" s="21">
        <v>7</v>
      </c>
      <c r="AD59" s="22">
        <v>18.399999999999999</v>
      </c>
      <c r="AE59">
        <f>SUM(_xlfn.ANCHORARRAY(AE54))</f>
        <v>122</v>
      </c>
      <c r="AF59" s="80"/>
      <c r="AG59" s="20">
        <v>4</v>
      </c>
      <c r="AH59" s="21">
        <v>19</v>
      </c>
      <c r="AI59" s="22">
        <v>28.4</v>
      </c>
      <c r="AK59" s="80"/>
      <c r="AL59" s="20">
        <v>4</v>
      </c>
      <c r="AM59" s="21">
        <v>8</v>
      </c>
      <c r="AN59" s="22">
        <v>26.7</v>
      </c>
      <c r="AP59" s="80"/>
      <c r="AQ59" s="20">
        <v>3</v>
      </c>
      <c r="AR59" s="21">
        <v>5</v>
      </c>
      <c r="AS59" s="22">
        <v>16.7</v>
      </c>
    </row>
    <row r="60" spans="1:45" ht="23" x14ac:dyDescent="0.35">
      <c r="A60" s="71" t="s">
        <v>6</v>
      </c>
      <c r="B60" s="6">
        <v>8</v>
      </c>
      <c r="C60" s="7">
        <v>108</v>
      </c>
      <c r="D60" s="9"/>
      <c r="F60" s="71" t="s">
        <v>6</v>
      </c>
      <c r="G60" s="6">
        <v>8</v>
      </c>
      <c r="H60" s="7">
        <v>130</v>
      </c>
      <c r="I60" s="9"/>
      <c r="J60">
        <f>J59/H59</f>
        <v>2.9736842105263159</v>
      </c>
      <c r="K60" s="71" t="s">
        <v>6</v>
      </c>
      <c r="L60" s="6">
        <v>8</v>
      </c>
      <c r="M60" s="7">
        <v>137</v>
      </c>
      <c r="N60" s="9"/>
      <c r="Q60" s="80"/>
      <c r="R60" s="23" t="s">
        <v>37</v>
      </c>
      <c r="S60" s="21">
        <v>5</v>
      </c>
      <c r="T60" s="24"/>
      <c r="V60" s="80"/>
      <c r="W60" s="23" t="s">
        <v>35</v>
      </c>
      <c r="X60" s="21">
        <v>5</v>
      </c>
      <c r="Y60" s="22">
        <v>27.8</v>
      </c>
      <c r="Z60">
        <f>SUM(_xlfn.ANCHORARRAY(Z55))</f>
        <v>55</v>
      </c>
      <c r="AA60" s="81"/>
      <c r="AB60" s="23" t="s">
        <v>5</v>
      </c>
      <c r="AC60" s="21">
        <v>38</v>
      </c>
      <c r="AD60" s="22">
        <v>100</v>
      </c>
      <c r="AE60">
        <f>122/38</f>
        <v>3.2105263157894739</v>
      </c>
      <c r="AF60" s="80"/>
      <c r="AG60" s="23" t="s">
        <v>35</v>
      </c>
      <c r="AH60" s="21">
        <v>2</v>
      </c>
      <c r="AI60" s="22">
        <v>3</v>
      </c>
      <c r="AK60" s="81"/>
      <c r="AL60" s="23" t="s">
        <v>5</v>
      </c>
      <c r="AM60" s="21">
        <v>30</v>
      </c>
      <c r="AN60" s="22">
        <v>100</v>
      </c>
      <c r="AP60" s="80"/>
      <c r="AQ60" s="20">
        <v>4</v>
      </c>
      <c r="AR60" s="21">
        <v>6</v>
      </c>
      <c r="AS60" s="22">
        <v>20</v>
      </c>
    </row>
    <row r="61" spans="1:45" ht="23" x14ac:dyDescent="0.35">
      <c r="A61" s="71"/>
      <c r="B61" s="6">
        <v>9</v>
      </c>
      <c r="C61" s="7">
        <v>8</v>
      </c>
      <c r="D61" s="9"/>
      <c r="F61" s="71"/>
      <c r="G61" s="6">
        <v>9</v>
      </c>
      <c r="H61" s="7">
        <v>6</v>
      </c>
      <c r="I61" s="9"/>
      <c r="K61" s="71"/>
      <c r="L61" s="6">
        <v>9</v>
      </c>
      <c r="M61" s="7">
        <v>5</v>
      </c>
      <c r="N61" s="9"/>
      <c r="Q61" s="81"/>
      <c r="R61" s="23" t="s">
        <v>5</v>
      </c>
      <c r="S61" s="21">
        <v>57</v>
      </c>
      <c r="T61" s="24"/>
      <c r="V61" s="81"/>
      <c r="W61" s="23" t="s">
        <v>5</v>
      </c>
      <c r="X61" s="21">
        <v>18</v>
      </c>
      <c r="Y61" s="22">
        <v>100</v>
      </c>
      <c r="Z61">
        <f>55/18</f>
        <v>3.0555555555555554</v>
      </c>
      <c r="AA61" s="82" t="s">
        <v>6</v>
      </c>
      <c r="AB61" s="23" t="s">
        <v>36</v>
      </c>
      <c r="AC61" s="21">
        <v>73</v>
      </c>
      <c r="AD61" s="24"/>
      <c r="AF61" s="81"/>
      <c r="AG61" s="23" t="s">
        <v>5</v>
      </c>
      <c r="AH61" s="21">
        <v>67</v>
      </c>
      <c r="AI61" s="22">
        <v>100</v>
      </c>
      <c r="AK61" s="82" t="s">
        <v>6</v>
      </c>
      <c r="AL61" s="23" t="s">
        <v>36</v>
      </c>
      <c r="AM61" s="21">
        <v>99</v>
      </c>
      <c r="AN61" s="24"/>
      <c r="AP61" s="80"/>
      <c r="AQ61" s="23" t="s">
        <v>35</v>
      </c>
      <c r="AR61" s="21">
        <v>14</v>
      </c>
      <c r="AS61" s="22">
        <v>46.7</v>
      </c>
    </row>
    <row r="62" spans="1:45" ht="23" x14ac:dyDescent="0.35">
      <c r="A62" s="71"/>
      <c r="B62" s="6" t="s">
        <v>5</v>
      </c>
      <c r="C62" s="7">
        <v>116</v>
      </c>
      <c r="D62" s="9"/>
      <c r="F62" s="71"/>
      <c r="G62" s="6" t="s">
        <v>5</v>
      </c>
      <c r="H62" s="7">
        <v>136</v>
      </c>
      <c r="I62" s="9"/>
      <c r="K62" s="71"/>
      <c r="L62" s="6" t="s">
        <v>5</v>
      </c>
      <c r="M62" s="7">
        <v>142</v>
      </c>
      <c r="N62" s="9"/>
      <c r="Q62" s="83" t="s">
        <v>5</v>
      </c>
      <c r="R62" s="83"/>
      <c r="S62" s="25">
        <v>107</v>
      </c>
      <c r="T62" s="26"/>
      <c r="V62" s="82" t="s">
        <v>6</v>
      </c>
      <c r="W62" s="23" t="s">
        <v>36</v>
      </c>
      <c r="X62" s="21">
        <v>97</v>
      </c>
      <c r="Y62" s="24"/>
      <c r="AA62" s="80"/>
      <c r="AB62" s="23" t="s">
        <v>37</v>
      </c>
      <c r="AC62" s="21">
        <v>3</v>
      </c>
      <c r="AD62" s="24"/>
      <c r="AF62" s="82" t="s">
        <v>6</v>
      </c>
      <c r="AG62" s="23" t="s">
        <v>36</v>
      </c>
      <c r="AH62" s="21">
        <v>56</v>
      </c>
      <c r="AI62" s="24"/>
      <c r="AK62" s="80"/>
      <c r="AL62" s="23" t="s">
        <v>37</v>
      </c>
      <c r="AM62" s="21">
        <v>4</v>
      </c>
      <c r="AN62" s="24"/>
      <c r="AP62" s="81"/>
      <c r="AQ62" s="23" t="s">
        <v>5</v>
      </c>
      <c r="AR62" s="21">
        <v>30</v>
      </c>
      <c r="AS62" s="22">
        <v>100</v>
      </c>
    </row>
    <row r="63" spans="1:45" ht="23.5" thickBot="1" x14ac:dyDescent="0.4">
      <c r="A63" s="72" t="s">
        <v>5</v>
      </c>
      <c r="B63" s="73"/>
      <c r="C63" s="10">
        <v>174</v>
      </c>
      <c r="D63" s="11"/>
      <c r="F63" s="72" t="s">
        <v>5</v>
      </c>
      <c r="G63" s="73"/>
      <c r="H63" s="10">
        <v>174</v>
      </c>
      <c r="I63" s="11"/>
      <c r="K63" s="72" t="s">
        <v>5</v>
      </c>
      <c r="L63" s="73"/>
      <c r="M63" s="10">
        <v>204</v>
      </c>
      <c r="N63" s="11"/>
      <c r="Q63" s="27"/>
      <c r="R63" s="27"/>
      <c r="S63" s="27"/>
      <c r="T63" s="27"/>
      <c r="V63" s="80"/>
      <c r="W63" s="23" t="s">
        <v>37</v>
      </c>
      <c r="X63" s="21">
        <v>4</v>
      </c>
      <c r="Y63" s="24"/>
      <c r="AA63" s="81"/>
      <c r="AB63" s="23" t="s">
        <v>5</v>
      </c>
      <c r="AC63" s="21">
        <v>76</v>
      </c>
      <c r="AD63" s="24"/>
      <c r="AF63" s="80"/>
      <c r="AG63" s="23" t="s">
        <v>37</v>
      </c>
      <c r="AH63" s="21">
        <v>5</v>
      </c>
      <c r="AI63" s="24"/>
      <c r="AK63" s="81"/>
      <c r="AL63" s="23" t="s">
        <v>5</v>
      </c>
      <c r="AM63" s="21">
        <v>103</v>
      </c>
      <c r="AN63" s="24"/>
      <c r="AP63" s="23" t="s">
        <v>6</v>
      </c>
      <c r="AQ63" s="23" t="s">
        <v>36</v>
      </c>
      <c r="AR63" s="21">
        <v>83</v>
      </c>
      <c r="AS63" s="24"/>
    </row>
    <row r="64" spans="1:45" x14ac:dyDescent="0.35">
      <c r="Q64" s="77" t="s">
        <v>43</v>
      </c>
      <c r="R64" s="77"/>
      <c r="S64" s="77"/>
      <c r="T64" s="77"/>
      <c r="V64" s="81"/>
      <c r="W64" s="23" t="s">
        <v>5</v>
      </c>
      <c r="X64" s="21">
        <v>101</v>
      </c>
      <c r="Y64" s="24"/>
      <c r="AA64" s="83" t="s">
        <v>5</v>
      </c>
      <c r="AB64" s="83"/>
      <c r="AC64" s="25">
        <v>114</v>
      </c>
      <c r="AD64" s="26"/>
      <c r="AF64" s="81"/>
      <c r="AG64" s="23" t="s">
        <v>5</v>
      </c>
      <c r="AH64" s="21">
        <v>61</v>
      </c>
      <c r="AI64" s="24"/>
      <c r="AK64" s="83" t="s">
        <v>5</v>
      </c>
      <c r="AL64" s="83"/>
      <c r="AM64" s="25">
        <v>133</v>
      </c>
      <c r="AN64" s="26"/>
      <c r="AP64" s="83" t="s">
        <v>5</v>
      </c>
      <c r="AQ64" s="83"/>
      <c r="AR64" s="25">
        <v>113</v>
      </c>
      <c r="AS64" s="26"/>
    </row>
    <row r="65" spans="1:45" ht="15" customHeight="1" thickBot="1" x14ac:dyDescent="0.4">
      <c r="A65" s="74" t="s">
        <v>14</v>
      </c>
      <c r="B65" s="74"/>
      <c r="C65" s="74"/>
      <c r="D65" s="74"/>
      <c r="F65" s="74" t="s">
        <v>14</v>
      </c>
      <c r="G65" s="74"/>
      <c r="H65" s="74"/>
      <c r="I65" s="74"/>
      <c r="K65" s="74" t="s">
        <v>28</v>
      </c>
      <c r="L65" s="74"/>
      <c r="M65" s="74"/>
      <c r="N65" s="74"/>
      <c r="Q65" s="78"/>
      <c r="R65" s="78"/>
      <c r="S65" s="15" t="s">
        <v>1</v>
      </c>
      <c r="T65" s="16" t="s">
        <v>2</v>
      </c>
      <c r="V65" s="83" t="s">
        <v>5</v>
      </c>
      <c r="W65" s="83"/>
      <c r="X65" s="25">
        <v>119</v>
      </c>
      <c r="Y65" s="26"/>
      <c r="AA65" s="27"/>
      <c r="AB65" s="27"/>
      <c r="AC65" s="27"/>
      <c r="AD65" s="27"/>
      <c r="AF65" s="83" t="s">
        <v>5</v>
      </c>
      <c r="AG65" s="83"/>
      <c r="AH65" s="25">
        <v>128</v>
      </c>
      <c r="AI65" s="26"/>
      <c r="AK65" s="27"/>
      <c r="AL65" s="27"/>
      <c r="AM65" s="27"/>
      <c r="AN65" s="27"/>
      <c r="AP65" s="27"/>
      <c r="AQ65" s="27"/>
      <c r="AR65" s="27"/>
      <c r="AS65" s="27"/>
    </row>
    <row r="66" spans="1:45" ht="24.5" thickBot="1" x14ac:dyDescent="0.4">
      <c r="A66" s="68" t="s">
        <v>0</v>
      </c>
      <c r="B66" s="69"/>
      <c r="C66" s="1" t="s">
        <v>1</v>
      </c>
      <c r="D66" s="2" t="s">
        <v>2</v>
      </c>
      <c r="E66" cm="1">
        <f t="array" ref="E66:E70">B54:B58*C67:C71</f>
        <v>8</v>
      </c>
      <c r="F66" s="68" t="s">
        <v>0</v>
      </c>
      <c r="G66" s="69"/>
      <c r="H66" s="1" t="s">
        <v>1</v>
      </c>
      <c r="I66" s="2" t="s">
        <v>2</v>
      </c>
      <c r="J66" cm="1">
        <f t="array" ref="J66:J70">B54:B58*H67:H71</f>
        <v>1</v>
      </c>
      <c r="K66" s="68" t="s">
        <v>0</v>
      </c>
      <c r="L66" s="69"/>
      <c r="M66" s="1" t="s">
        <v>1</v>
      </c>
      <c r="N66" s="2" t="s">
        <v>2</v>
      </c>
      <c r="O66" cm="1">
        <f t="array" ref="O66:O70">B54:B58*M67:M71</f>
        <v>9</v>
      </c>
      <c r="Q66" s="79" t="s">
        <v>3</v>
      </c>
      <c r="R66" s="17">
        <v>1</v>
      </c>
      <c r="S66" s="18">
        <v>3</v>
      </c>
      <c r="T66" s="19">
        <v>5.8</v>
      </c>
      <c r="U66" cm="1">
        <f t="array" ref="U66:U70">R66:R70*S66:S70</f>
        <v>3</v>
      </c>
      <c r="V66" s="27"/>
      <c r="W66" s="27"/>
      <c r="X66" s="27"/>
      <c r="Y66" s="27"/>
      <c r="AA66" s="77" t="s">
        <v>43</v>
      </c>
      <c r="AB66" s="77"/>
      <c r="AC66" s="77"/>
      <c r="AD66" s="77"/>
      <c r="AF66" s="27"/>
      <c r="AG66" s="27"/>
      <c r="AH66" s="27"/>
      <c r="AI66" s="27"/>
      <c r="AK66" s="77" t="s">
        <v>43</v>
      </c>
      <c r="AL66" s="77"/>
      <c r="AM66" s="77"/>
      <c r="AN66" s="77"/>
      <c r="AP66" s="77" t="s">
        <v>44</v>
      </c>
      <c r="AQ66" s="77"/>
      <c r="AR66" s="77"/>
      <c r="AS66" s="77"/>
    </row>
    <row r="67" spans="1:45" ht="24" x14ac:dyDescent="0.35">
      <c r="A67" s="70" t="s">
        <v>3</v>
      </c>
      <c r="B67" s="3" t="s">
        <v>9</v>
      </c>
      <c r="C67" s="4">
        <v>8</v>
      </c>
      <c r="D67" s="5">
        <v>13.8</v>
      </c>
      <c r="E67">
        <v>14</v>
      </c>
      <c r="F67" s="70" t="s">
        <v>3</v>
      </c>
      <c r="G67" s="3" t="s">
        <v>9</v>
      </c>
      <c r="H67" s="4">
        <v>1</v>
      </c>
      <c r="I67" s="5">
        <v>2.7</v>
      </c>
      <c r="J67">
        <v>6</v>
      </c>
      <c r="K67" s="70" t="s">
        <v>3</v>
      </c>
      <c r="L67" s="3" t="s">
        <v>24</v>
      </c>
      <c r="M67" s="4">
        <v>9</v>
      </c>
      <c r="N67" s="5">
        <v>14.5</v>
      </c>
      <c r="O67">
        <v>14</v>
      </c>
      <c r="Q67" s="80"/>
      <c r="R67" s="20">
        <v>2</v>
      </c>
      <c r="S67" s="21">
        <v>4</v>
      </c>
      <c r="T67" s="22">
        <v>7.7</v>
      </c>
      <c r="U67">
        <v>8</v>
      </c>
      <c r="V67" s="77" t="s">
        <v>43</v>
      </c>
      <c r="W67" s="77"/>
      <c r="X67" s="77"/>
      <c r="Y67" s="77"/>
      <c r="AA67" s="78"/>
      <c r="AB67" s="78"/>
      <c r="AC67" s="15" t="s">
        <v>1</v>
      </c>
      <c r="AD67" s="16" t="s">
        <v>2</v>
      </c>
      <c r="AF67" s="77" t="s">
        <v>43</v>
      </c>
      <c r="AG67" s="77"/>
      <c r="AH67" s="77"/>
      <c r="AI67" s="77"/>
      <c r="AK67" s="78"/>
      <c r="AL67" s="78"/>
      <c r="AM67" s="15" t="s">
        <v>1</v>
      </c>
      <c r="AN67" s="16" t="s">
        <v>2</v>
      </c>
      <c r="AP67" s="78"/>
      <c r="AQ67" s="78"/>
      <c r="AR67" s="15" t="s">
        <v>1</v>
      </c>
      <c r="AS67" s="16" t="s">
        <v>2</v>
      </c>
    </row>
    <row r="68" spans="1:45" ht="24" x14ac:dyDescent="0.35">
      <c r="A68" s="71"/>
      <c r="B68" s="6">
        <v>2</v>
      </c>
      <c r="C68" s="7">
        <v>7</v>
      </c>
      <c r="D68" s="8">
        <v>12.1</v>
      </c>
      <c r="E68">
        <v>36</v>
      </c>
      <c r="F68" s="71"/>
      <c r="G68" s="6">
        <v>2</v>
      </c>
      <c r="H68" s="7">
        <v>3</v>
      </c>
      <c r="I68" s="8">
        <v>8.1</v>
      </c>
      <c r="J68">
        <v>18</v>
      </c>
      <c r="K68" s="71"/>
      <c r="L68" s="6">
        <v>2</v>
      </c>
      <c r="M68" s="7">
        <v>7</v>
      </c>
      <c r="N68" s="8">
        <v>11.3</v>
      </c>
      <c r="O68">
        <v>39</v>
      </c>
      <c r="Q68" s="80"/>
      <c r="R68" s="20">
        <v>3</v>
      </c>
      <c r="S68" s="21">
        <v>15</v>
      </c>
      <c r="T68" s="22">
        <v>28.8</v>
      </c>
      <c r="U68">
        <v>45</v>
      </c>
      <c r="V68" s="78"/>
      <c r="W68" s="78"/>
      <c r="X68" s="15" t="s">
        <v>1</v>
      </c>
      <c r="Y68" s="16" t="s">
        <v>2</v>
      </c>
      <c r="AA68" s="79" t="s">
        <v>3</v>
      </c>
      <c r="AB68" s="17" t="s">
        <v>34</v>
      </c>
      <c r="AC68" s="18">
        <v>1</v>
      </c>
      <c r="AD68" s="19">
        <v>2.4</v>
      </c>
      <c r="AE68" cm="1">
        <f t="array" ref="AE68:AE72">R66:R70*AC68:AC72</f>
        <v>1</v>
      </c>
      <c r="AF68" s="78"/>
      <c r="AG68" s="78"/>
      <c r="AH68" s="15" t="s">
        <v>1</v>
      </c>
      <c r="AI68" s="16" t="s">
        <v>2</v>
      </c>
      <c r="AK68" s="79" t="s">
        <v>3</v>
      </c>
      <c r="AL68" s="17" t="s">
        <v>34</v>
      </c>
      <c r="AM68" s="18">
        <v>1</v>
      </c>
      <c r="AN68" s="19">
        <v>3.2</v>
      </c>
      <c r="AP68" s="79" t="s">
        <v>3</v>
      </c>
      <c r="AQ68" s="17" t="s">
        <v>34</v>
      </c>
      <c r="AR68" s="18">
        <v>2</v>
      </c>
      <c r="AS68" s="19">
        <v>6.7</v>
      </c>
    </row>
    <row r="69" spans="1:45" ht="23" x14ac:dyDescent="0.35">
      <c r="A69" s="71"/>
      <c r="B69" s="6">
        <v>3</v>
      </c>
      <c r="C69" s="7">
        <v>12</v>
      </c>
      <c r="D69" s="8">
        <v>20.7</v>
      </c>
      <c r="E69">
        <v>76</v>
      </c>
      <c r="F69" s="71"/>
      <c r="G69" s="6">
        <v>3</v>
      </c>
      <c r="H69" s="7">
        <v>6</v>
      </c>
      <c r="I69" s="8">
        <v>16.2</v>
      </c>
      <c r="J69">
        <v>64</v>
      </c>
      <c r="K69" s="71"/>
      <c r="L69" s="6">
        <v>3</v>
      </c>
      <c r="M69" s="7">
        <v>13</v>
      </c>
      <c r="N69" s="8">
        <v>21</v>
      </c>
      <c r="O69">
        <v>76</v>
      </c>
      <c r="Q69" s="80"/>
      <c r="R69" s="20">
        <v>4</v>
      </c>
      <c r="S69" s="21">
        <v>16</v>
      </c>
      <c r="T69" s="22">
        <v>30.8</v>
      </c>
      <c r="U69">
        <v>64</v>
      </c>
      <c r="V69" s="79" t="s">
        <v>3</v>
      </c>
      <c r="W69" s="17" t="s">
        <v>34</v>
      </c>
      <c r="X69" s="18">
        <v>2</v>
      </c>
      <c r="Y69" s="19">
        <v>10.5</v>
      </c>
      <c r="Z69" cm="1">
        <f t="array" ref="Z69:Z73">R66:R70*X69:X73</f>
        <v>2</v>
      </c>
      <c r="AA69" s="80"/>
      <c r="AB69" s="20">
        <v>2</v>
      </c>
      <c r="AC69" s="21">
        <v>5</v>
      </c>
      <c r="AD69" s="22">
        <v>12.2</v>
      </c>
      <c r="AE69">
        <v>10</v>
      </c>
      <c r="AF69" s="79" t="s">
        <v>3</v>
      </c>
      <c r="AG69" s="17" t="s">
        <v>34</v>
      </c>
      <c r="AH69" s="18">
        <v>7</v>
      </c>
      <c r="AI69" s="19">
        <v>10.4</v>
      </c>
      <c r="AK69" s="80"/>
      <c r="AL69" s="20">
        <v>2</v>
      </c>
      <c r="AM69" s="21">
        <v>4</v>
      </c>
      <c r="AN69" s="22">
        <v>12.9</v>
      </c>
      <c r="AP69" s="80"/>
      <c r="AQ69" s="20">
        <v>2</v>
      </c>
      <c r="AR69" s="21">
        <v>3</v>
      </c>
      <c r="AS69" s="22">
        <v>10</v>
      </c>
    </row>
    <row r="70" spans="1:45" x14ac:dyDescent="0.35">
      <c r="A70" s="71"/>
      <c r="B70" s="6">
        <v>4</v>
      </c>
      <c r="C70" s="7">
        <v>19</v>
      </c>
      <c r="D70" s="8">
        <v>32.799999999999997</v>
      </c>
      <c r="E70">
        <v>60</v>
      </c>
      <c r="F70" s="71"/>
      <c r="G70" s="6">
        <v>4</v>
      </c>
      <c r="H70" s="7">
        <v>16</v>
      </c>
      <c r="I70" s="8">
        <v>43.2</v>
      </c>
      <c r="J70">
        <v>55</v>
      </c>
      <c r="K70" s="71"/>
      <c r="L70" s="6">
        <v>4</v>
      </c>
      <c r="M70" s="7">
        <v>19</v>
      </c>
      <c r="N70" s="8">
        <v>30.6</v>
      </c>
      <c r="O70">
        <v>70</v>
      </c>
      <c r="Q70" s="80"/>
      <c r="R70" s="23">
        <v>5</v>
      </c>
      <c r="S70" s="21">
        <v>14</v>
      </c>
      <c r="T70" s="22">
        <v>26.9</v>
      </c>
      <c r="U70">
        <v>70</v>
      </c>
      <c r="V70" s="80"/>
      <c r="W70" s="20">
        <v>2</v>
      </c>
      <c r="X70" s="21">
        <v>3</v>
      </c>
      <c r="Y70" s="22">
        <v>15.8</v>
      </c>
      <c r="Z70">
        <v>6</v>
      </c>
      <c r="AA70" s="80"/>
      <c r="AB70" s="20">
        <v>3</v>
      </c>
      <c r="AC70" s="21">
        <v>11</v>
      </c>
      <c r="AD70" s="22">
        <v>26.8</v>
      </c>
      <c r="AE70">
        <v>33</v>
      </c>
      <c r="AF70" s="80"/>
      <c r="AG70" s="20">
        <v>2</v>
      </c>
      <c r="AH70" s="21">
        <v>3</v>
      </c>
      <c r="AI70" s="22">
        <v>4.5</v>
      </c>
      <c r="AK70" s="80"/>
      <c r="AL70" s="20">
        <v>3</v>
      </c>
      <c r="AM70" s="21">
        <v>8</v>
      </c>
      <c r="AN70" s="22">
        <v>25.8</v>
      </c>
      <c r="AP70" s="80"/>
      <c r="AQ70" s="20">
        <v>3</v>
      </c>
      <c r="AR70" s="21">
        <v>9</v>
      </c>
      <c r="AS70" s="22">
        <v>30</v>
      </c>
    </row>
    <row r="71" spans="1:45" ht="23" x14ac:dyDescent="0.35">
      <c r="A71" s="71"/>
      <c r="B71" s="6" t="s">
        <v>4</v>
      </c>
      <c r="C71" s="7">
        <v>12</v>
      </c>
      <c r="D71" s="8">
        <v>20.7</v>
      </c>
      <c r="E71">
        <f>SUM(_xlfn.ANCHORARRAY(E66))</f>
        <v>194</v>
      </c>
      <c r="F71" s="71"/>
      <c r="G71" s="6" t="s">
        <v>4</v>
      </c>
      <c r="H71" s="7">
        <v>11</v>
      </c>
      <c r="I71" s="8">
        <v>29.7</v>
      </c>
      <c r="J71">
        <f>SUM(_xlfn.ANCHORARRAY(J66))</f>
        <v>144</v>
      </c>
      <c r="K71" s="71"/>
      <c r="L71" s="6" t="s">
        <v>4</v>
      </c>
      <c r="M71" s="7">
        <v>14</v>
      </c>
      <c r="N71" s="8">
        <v>22.6</v>
      </c>
      <c r="O71">
        <f>SUM(_xlfn.ANCHORARRAY(O66))</f>
        <v>208</v>
      </c>
      <c r="Q71" s="81"/>
      <c r="R71" s="23" t="s">
        <v>5</v>
      </c>
      <c r="S71" s="21">
        <v>52</v>
      </c>
      <c r="T71" s="22">
        <v>100</v>
      </c>
      <c r="U71">
        <f>SUM(_xlfn.ANCHORARRAY(U66))</f>
        <v>190</v>
      </c>
      <c r="V71" s="80"/>
      <c r="W71" s="20">
        <v>3</v>
      </c>
      <c r="X71" s="21">
        <v>5</v>
      </c>
      <c r="Y71" s="22">
        <v>26.3</v>
      </c>
      <c r="Z71">
        <v>15</v>
      </c>
      <c r="AA71" s="80"/>
      <c r="AB71" s="20">
        <v>4</v>
      </c>
      <c r="AC71" s="21">
        <v>6</v>
      </c>
      <c r="AD71" s="22">
        <v>14.6</v>
      </c>
      <c r="AE71">
        <v>24</v>
      </c>
      <c r="AF71" s="80"/>
      <c r="AG71" s="20">
        <v>3</v>
      </c>
      <c r="AH71" s="21">
        <v>22</v>
      </c>
      <c r="AI71" s="22">
        <v>32.799999999999997</v>
      </c>
      <c r="AK71" s="80"/>
      <c r="AL71" s="20">
        <v>4</v>
      </c>
      <c r="AM71" s="21">
        <v>11</v>
      </c>
      <c r="AN71" s="22">
        <v>35.5</v>
      </c>
      <c r="AP71" s="80"/>
      <c r="AQ71" s="20">
        <v>4</v>
      </c>
      <c r="AR71" s="21">
        <v>11</v>
      </c>
      <c r="AS71" s="22">
        <v>36.700000000000003</v>
      </c>
    </row>
    <row r="72" spans="1:45" ht="23" x14ac:dyDescent="0.35">
      <c r="A72" s="71"/>
      <c r="B72" s="6" t="s">
        <v>5</v>
      </c>
      <c r="C72" s="7">
        <v>58</v>
      </c>
      <c r="D72" s="8">
        <v>100</v>
      </c>
      <c r="E72">
        <f>E71/C72</f>
        <v>3.3448275862068964</v>
      </c>
      <c r="F72" s="71"/>
      <c r="G72" s="6" t="s">
        <v>5</v>
      </c>
      <c r="H72" s="7">
        <v>37</v>
      </c>
      <c r="I72" s="8">
        <v>100</v>
      </c>
      <c r="J72">
        <f>J71/37</f>
        <v>3.8918918918918921</v>
      </c>
      <c r="K72" s="71"/>
      <c r="L72" s="6" t="s">
        <v>5</v>
      </c>
      <c r="M72" s="7">
        <v>62</v>
      </c>
      <c r="N72" s="8">
        <v>100</v>
      </c>
      <c r="O72">
        <f>O71/M72</f>
        <v>3.3548387096774195</v>
      </c>
      <c r="Q72" s="82" t="s">
        <v>6</v>
      </c>
      <c r="R72" s="23" t="s">
        <v>36</v>
      </c>
      <c r="S72" s="21">
        <v>52</v>
      </c>
      <c r="T72" s="24"/>
      <c r="U72">
        <f>U71/52</f>
        <v>3.6538461538461537</v>
      </c>
      <c r="V72" s="80"/>
      <c r="W72" s="20">
        <v>4</v>
      </c>
      <c r="X72" s="21">
        <v>4</v>
      </c>
      <c r="Y72" s="22">
        <v>21.1</v>
      </c>
      <c r="Z72">
        <v>16</v>
      </c>
      <c r="AA72" s="80"/>
      <c r="AB72" s="23" t="s">
        <v>35</v>
      </c>
      <c r="AC72" s="21">
        <v>18</v>
      </c>
      <c r="AD72" s="22">
        <v>43.9</v>
      </c>
      <c r="AE72">
        <v>90</v>
      </c>
      <c r="AF72" s="80"/>
      <c r="AG72" s="20">
        <v>4</v>
      </c>
      <c r="AH72" s="21">
        <v>20</v>
      </c>
      <c r="AI72" s="22">
        <v>29.9</v>
      </c>
      <c r="AK72" s="80"/>
      <c r="AL72" s="23" t="s">
        <v>35</v>
      </c>
      <c r="AM72" s="21">
        <v>7</v>
      </c>
      <c r="AN72" s="22">
        <v>22.6</v>
      </c>
      <c r="AP72" s="80"/>
      <c r="AQ72" s="23" t="s">
        <v>35</v>
      </c>
      <c r="AR72" s="21">
        <v>5</v>
      </c>
      <c r="AS72" s="22">
        <v>16.7</v>
      </c>
    </row>
    <row r="73" spans="1:45" ht="23" x14ac:dyDescent="0.35">
      <c r="A73" s="71" t="s">
        <v>6</v>
      </c>
      <c r="B73" s="6">
        <v>8</v>
      </c>
      <c r="C73" s="7">
        <v>108</v>
      </c>
      <c r="D73" s="9"/>
      <c r="F73" s="71" t="s">
        <v>6</v>
      </c>
      <c r="G73" s="6">
        <v>8</v>
      </c>
      <c r="H73" s="7">
        <v>130</v>
      </c>
      <c r="I73" s="9"/>
      <c r="K73" s="71" t="s">
        <v>6</v>
      </c>
      <c r="L73" s="6">
        <v>8</v>
      </c>
      <c r="M73" s="7">
        <v>137</v>
      </c>
      <c r="N73" s="9"/>
      <c r="Q73" s="80"/>
      <c r="R73" s="23" t="s">
        <v>37</v>
      </c>
      <c r="S73" s="21">
        <v>3</v>
      </c>
      <c r="T73" s="24"/>
      <c r="V73" s="80"/>
      <c r="W73" s="23" t="s">
        <v>35</v>
      </c>
      <c r="X73" s="21">
        <v>5</v>
      </c>
      <c r="Y73" s="22">
        <v>26.3</v>
      </c>
      <c r="Z73">
        <v>25</v>
      </c>
      <c r="AA73" s="81"/>
      <c r="AB73" s="23" t="s">
        <v>5</v>
      </c>
      <c r="AC73" s="21">
        <v>41</v>
      </c>
      <c r="AD73" s="22">
        <v>100</v>
      </c>
      <c r="AE73">
        <f>SUM(_xlfn.ANCHORARRAY(AE68))</f>
        <v>158</v>
      </c>
      <c r="AF73" s="80"/>
      <c r="AG73" s="23" t="s">
        <v>35</v>
      </c>
      <c r="AH73" s="21">
        <v>15</v>
      </c>
      <c r="AI73" s="22">
        <v>22.4</v>
      </c>
      <c r="AK73" s="81"/>
      <c r="AL73" s="23" t="s">
        <v>5</v>
      </c>
      <c r="AM73" s="21">
        <v>31</v>
      </c>
      <c r="AN73" s="22">
        <v>100</v>
      </c>
      <c r="AP73" s="81"/>
      <c r="AQ73" s="23" t="s">
        <v>5</v>
      </c>
      <c r="AR73" s="21">
        <v>30</v>
      </c>
      <c r="AS73" s="22">
        <v>100</v>
      </c>
    </row>
    <row r="74" spans="1:45" x14ac:dyDescent="0.35">
      <c r="A74" s="71"/>
      <c r="B74" s="6">
        <v>9</v>
      </c>
      <c r="C74" s="7">
        <v>8</v>
      </c>
      <c r="D74" s="9"/>
      <c r="F74" s="71"/>
      <c r="G74" s="6">
        <v>9</v>
      </c>
      <c r="H74" s="7">
        <v>7</v>
      </c>
      <c r="I74" s="9"/>
      <c r="K74" s="71"/>
      <c r="L74" s="6">
        <v>9</v>
      </c>
      <c r="M74" s="7">
        <v>5</v>
      </c>
      <c r="N74" s="9"/>
      <c r="Q74" s="81"/>
      <c r="R74" s="23" t="s">
        <v>5</v>
      </c>
      <c r="S74" s="21">
        <v>55</v>
      </c>
      <c r="T74" s="24"/>
      <c r="V74" s="81"/>
      <c r="W74" s="23" t="s">
        <v>5</v>
      </c>
      <c r="X74" s="21">
        <v>19</v>
      </c>
      <c r="Y74" s="22">
        <v>100</v>
      </c>
      <c r="Z74">
        <f>SUM(_xlfn.ANCHORARRAY(Z69))</f>
        <v>64</v>
      </c>
      <c r="AA74" s="23" t="s">
        <v>6</v>
      </c>
      <c r="AB74" s="23" t="s">
        <v>36</v>
      </c>
      <c r="AC74" s="21">
        <v>73</v>
      </c>
      <c r="AD74" s="24"/>
      <c r="AE74">
        <f>158/41</f>
        <v>3.8536585365853657</v>
      </c>
      <c r="AF74" s="81"/>
      <c r="AG74" s="23" t="s">
        <v>5</v>
      </c>
      <c r="AH74" s="21">
        <v>67</v>
      </c>
      <c r="AI74" s="22">
        <v>100</v>
      </c>
      <c r="AK74" s="82" t="s">
        <v>6</v>
      </c>
      <c r="AL74" s="23" t="s">
        <v>36</v>
      </c>
      <c r="AM74" s="21">
        <v>99</v>
      </c>
      <c r="AN74" s="24"/>
      <c r="AP74" s="23" t="s">
        <v>6</v>
      </c>
      <c r="AQ74" s="23" t="s">
        <v>36</v>
      </c>
      <c r="AR74" s="21">
        <v>83</v>
      </c>
      <c r="AS74" s="24"/>
    </row>
    <row r="75" spans="1:45" ht="23" x14ac:dyDescent="0.35">
      <c r="A75" s="71"/>
      <c r="B75" s="6" t="s">
        <v>5</v>
      </c>
      <c r="C75" s="7">
        <v>116</v>
      </c>
      <c r="D75" s="9"/>
      <c r="F75" s="71"/>
      <c r="G75" s="6" t="s">
        <v>5</v>
      </c>
      <c r="H75" s="7">
        <v>137</v>
      </c>
      <c r="I75" s="9"/>
      <c r="K75" s="71"/>
      <c r="L75" s="6" t="s">
        <v>5</v>
      </c>
      <c r="M75" s="7">
        <v>142</v>
      </c>
      <c r="N75" s="9"/>
      <c r="Q75" s="83" t="s">
        <v>5</v>
      </c>
      <c r="R75" s="83"/>
      <c r="S75" s="25">
        <v>107</v>
      </c>
      <c r="T75" s="26"/>
      <c r="V75" s="82" t="s">
        <v>6</v>
      </c>
      <c r="W75" s="23" t="s">
        <v>36</v>
      </c>
      <c r="X75" s="21">
        <v>97</v>
      </c>
      <c r="Y75" s="24"/>
      <c r="Z75">
        <f>64/19</f>
        <v>3.3684210526315788</v>
      </c>
      <c r="AA75" s="83" t="s">
        <v>5</v>
      </c>
      <c r="AB75" s="83"/>
      <c r="AC75" s="25">
        <v>114</v>
      </c>
      <c r="AD75" s="26"/>
      <c r="AF75" s="82" t="s">
        <v>6</v>
      </c>
      <c r="AG75" s="23" t="s">
        <v>36</v>
      </c>
      <c r="AH75" s="21">
        <v>56</v>
      </c>
      <c r="AI75" s="24"/>
      <c r="AK75" s="80"/>
      <c r="AL75" s="23" t="s">
        <v>37</v>
      </c>
      <c r="AM75" s="21">
        <v>3</v>
      </c>
      <c r="AN75" s="24"/>
      <c r="AP75" s="83" t="s">
        <v>5</v>
      </c>
      <c r="AQ75" s="83"/>
      <c r="AR75" s="25">
        <v>113</v>
      </c>
      <c r="AS75" s="26"/>
    </row>
    <row r="76" spans="1:45" ht="23.5" thickBot="1" x14ac:dyDescent="0.4">
      <c r="A76" s="72" t="s">
        <v>5</v>
      </c>
      <c r="B76" s="73"/>
      <c r="C76" s="10">
        <v>174</v>
      </c>
      <c r="D76" s="11"/>
      <c r="F76" s="72" t="s">
        <v>5</v>
      </c>
      <c r="G76" s="73"/>
      <c r="H76" s="10">
        <v>174</v>
      </c>
      <c r="I76" s="11"/>
      <c r="K76" s="72" t="s">
        <v>5</v>
      </c>
      <c r="L76" s="73"/>
      <c r="M76" s="10">
        <v>204</v>
      </c>
      <c r="N76" s="11"/>
      <c r="Q76" s="27"/>
      <c r="R76" s="27"/>
      <c r="S76" s="27"/>
      <c r="T76" s="27"/>
      <c r="V76" s="80"/>
      <c r="W76" s="23" t="s">
        <v>37</v>
      </c>
      <c r="X76" s="21">
        <v>3</v>
      </c>
      <c r="Y76" s="24"/>
      <c r="AA76" s="27"/>
      <c r="AB76" s="27"/>
      <c r="AC76" s="27"/>
      <c r="AD76" s="27"/>
      <c r="AF76" s="80"/>
      <c r="AG76" s="23" t="s">
        <v>37</v>
      </c>
      <c r="AH76" s="21">
        <v>5</v>
      </c>
      <c r="AI76" s="24"/>
      <c r="AK76" s="81"/>
      <c r="AL76" s="23" t="s">
        <v>5</v>
      </c>
      <c r="AM76" s="21">
        <v>102</v>
      </c>
      <c r="AN76" s="24"/>
      <c r="AP76" s="27"/>
      <c r="AQ76" s="27"/>
      <c r="AR76" s="27"/>
      <c r="AS76" s="27"/>
    </row>
    <row r="77" spans="1:45" ht="28" customHeight="1" x14ac:dyDescent="0.35">
      <c r="Q77" s="77" t="s">
        <v>44</v>
      </c>
      <c r="R77" s="77"/>
      <c r="S77" s="77"/>
      <c r="T77" s="77"/>
      <c r="V77" s="81"/>
      <c r="W77" s="23" t="s">
        <v>5</v>
      </c>
      <c r="X77" s="21">
        <v>100</v>
      </c>
      <c r="Y77" s="24"/>
      <c r="AA77" s="77" t="s">
        <v>44</v>
      </c>
      <c r="AB77" s="77"/>
      <c r="AC77" s="77"/>
      <c r="AD77" s="77"/>
      <c r="AF77" s="81"/>
      <c r="AG77" s="23" t="s">
        <v>5</v>
      </c>
      <c r="AH77" s="21">
        <v>61</v>
      </c>
      <c r="AI77" s="24"/>
      <c r="AK77" s="83" t="s">
        <v>5</v>
      </c>
      <c r="AL77" s="83"/>
      <c r="AM77" s="25">
        <v>133</v>
      </c>
      <c r="AN77" s="26"/>
      <c r="AP77" s="77" t="s">
        <v>45</v>
      </c>
      <c r="AQ77" s="77"/>
      <c r="AR77" s="77"/>
      <c r="AS77" s="77"/>
    </row>
    <row r="78" spans="1:45" ht="24.5" thickBot="1" x14ac:dyDescent="0.4">
      <c r="A78" s="74" t="s">
        <v>15</v>
      </c>
      <c r="B78" s="74"/>
      <c r="C78" s="74"/>
      <c r="D78" s="74"/>
      <c r="Q78" s="78"/>
      <c r="R78" s="78"/>
      <c r="S78" s="15" t="s">
        <v>1</v>
      </c>
      <c r="T78" s="16" t="s">
        <v>2</v>
      </c>
      <c r="V78" s="83" t="s">
        <v>5</v>
      </c>
      <c r="W78" s="83"/>
      <c r="X78" s="25">
        <v>119</v>
      </c>
      <c r="Y78" s="26"/>
      <c r="AA78" s="78"/>
      <c r="AB78" s="78"/>
      <c r="AC78" s="15" t="s">
        <v>1</v>
      </c>
      <c r="AD78" s="16" t="s">
        <v>2</v>
      </c>
      <c r="AF78" s="83" t="s">
        <v>5</v>
      </c>
      <c r="AG78" s="83"/>
      <c r="AH78" s="25">
        <v>128</v>
      </c>
      <c r="AI78" s="26"/>
      <c r="AK78" s="27"/>
      <c r="AL78" s="27"/>
      <c r="AM78" s="27"/>
      <c r="AN78" s="27"/>
      <c r="AP78" s="78"/>
      <c r="AQ78" s="78"/>
      <c r="AR78" s="15" t="s">
        <v>1</v>
      </c>
      <c r="AS78" s="16" t="s">
        <v>2</v>
      </c>
    </row>
    <row r="79" spans="1:45" ht="24.5" thickBot="1" x14ac:dyDescent="0.4">
      <c r="A79" s="68" t="s">
        <v>0</v>
      </c>
      <c r="B79" s="69"/>
      <c r="C79" s="1" t="s">
        <v>1</v>
      </c>
      <c r="D79" s="2" t="s">
        <v>2</v>
      </c>
      <c r="Q79" s="79" t="s">
        <v>3</v>
      </c>
      <c r="R79" s="17" t="s">
        <v>34</v>
      </c>
      <c r="S79" s="18">
        <v>2</v>
      </c>
      <c r="T79" s="19">
        <v>3.8</v>
      </c>
      <c r="V79" s="27"/>
      <c r="W79" s="27"/>
      <c r="X79" s="27"/>
      <c r="Y79" s="27"/>
      <c r="AA79" s="79" t="s">
        <v>3</v>
      </c>
      <c r="AB79" s="17" t="s">
        <v>34</v>
      </c>
      <c r="AC79" s="18">
        <v>2</v>
      </c>
      <c r="AD79" s="19">
        <v>5.0999999999999996</v>
      </c>
      <c r="AF79" s="27"/>
      <c r="AG79" s="27"/>
      <c r="AH79" s="27"/>
      <c r="AI79" s="27"/>
      <c r="AK79" s="77" t="s">
        <v>44</v>
      </c>
      <c r="AL79" s="77"/>
      <c r="AM79" s="77"/>
      <c r="AN79" s="77"/>
      <c r="AP79" s="79" t="s">
        <v>3</v>
      </c>
      <c r="AQ79" s="17" t="s">
        <v>34</v>
      </c>
      <c r="AR79" s="18">
        <v>4</v>
      </c>
      <c r="AS79" s="19">
        <v>13.3</v>
      </c>
    </row>
    <row r="80" spans="1:45" ht="24" x14ac:dyDescent="0.35">
      <c r="A80" s="70" t="s">
        <v>3</v>
      </c>
      <c r="B80" s="3" t="s">
        <v>9</v>
      </c>
      <c r="C80" s="4">
        <v>7</v>
      </c>
      <c r="D80" s="5">
        <v>11.9</v>
      </c>
      <c r="Q80" s="80"/>
      <c r="R80" s="20">
        <v>2</v>
      </c>
      <c r="S80" s="21">
        <v>5</v>
      </c>
      <c r="T80" s="22">
        <v>9.6</v>
      </c>
      <c r="V80" s="77" t="s">
        <v>44</v>
      </c>
      <c r="W80" s="77"/>
      <c r="X80" s="77"/>
      <c r="Y80" s="77"/>
      <c r="AA80" s="80"/>
      <c r="AB80" s="20">
        <v>2</v>
      </c>
      <c r="AC80" s="21">
        <v>6</v>
      </c>
      <c r="AD80" s="22">
        <v>15.4</v>
      </c>
      <c r="AF80" s="77" t="s">
        <v>44</v>
      </c>
      <c r="AG80" s="77"/>
      <c r="AH80" s="77"/>
      <c r="AI80" s="77"/>
      <c r="AK80" s="78"/>
      <c r="AL80" s="78"/>
      <c r="AM80" s="15" t="s">
        <v>1</v>
      </c>
      <c r="AN80" s="16" t="s">
        <v>2</v>
      </c>
      <c r="AP80" s="80"/>
      <c r="AQ80" s="20">
        <v>2</v>
      </c>
      <c r="AR80" s="21">
        <v>8</v>
      </c>
      <c r="AS80" s="22">
        <v>26.7</v>
      </c>
    </row>
    <row r="81" spans="1:45" ht="24" x14ac:dyDescent="0.35">
      <c r="A81" s="71"/>
      <c r="B81" s="6">
        <v>2</v>
      </c>
      <c r="C81" s="7">
        <v>8</v>
      </c>
      <c r="D81" s="8">
        <v>13.6</v>
      </c>
      <c r="Q81" s="80"/>
      <c r="R81" s="20">
        <v>3</v>
      </c>
      <c r="S81" s="21">
        <v>16</v>
      </c>
      <c r="T81" s="22">
        <v>30.8</v>
      </c>
      <c r="V81" s="78"/>
      <c r="W81" s="78"/>
      <c r="X81" s="15" t="s">
        <v>1</v>
      </c>
      <c r="Y81" s="16" t="s">
        <v>2</v>
      </c>
      <c r="AA81" s="80"/>
      <c r="AB81" s="20">
        <v>3</v>
      </c>
      <c r="AC81" s="21">
        <v>14</v>
      </c>
      <c r="AD81" s="22">
        <v>35.9</v>
      </c>
      <c r="AF81" s="78"/>
      <c r="AG81" s="78"/>
      <c r="AH81" s="15" t="s">
        <v>1</v>
      </c>
      <c r="AI81" s="16" t="s">
        <v>2</v>
      </c>
      <c r="AK81" s="79" t="s">
        <v>3</v>
      </c>
      <c r="AL81" s="17" t="s">
        <v>34</v>
      </c>
      <c r="AM81" s="18">
        <v>4</v>
      </c>
      <c r="AN81" s="19">
        <v>13.3</v>
      </c>
      <c r="AP81" s="80"/>
      <c r="AQ81" s="20">
        <v>3</v>
      </c>
      <c r="AR81" s="21">
        <v>6</v>
      </c>
      <c r="AS81" s="22">
        <v>20</v>
      </c>
    </row>
    <row r="82" spans="1:45" ht="23" x14ac:dyDescent="0.35">
      <c r="A82" s="71"/>
      <c r="B82" s="6">
        <v>3</v>
      </c>
      <c r="C82" s="7">
        <v>16</v>
      </c>
      <c r="D82" s="8">
        <v>27.1</v>
      </c>
      <c r="Q82" s="80"/>
      <c r="R82" s="20">
        <v>4</v>
      </c>
      <c r="S82" s="21">
        <v>10</v>
      </c>
      <c r="T82" s="22">
        <v>19.2</v>
      </c>
      <c r="V82" s="79" t="s">
        <v>3</v>
      </c>
      <c r="W82" s="17" t="s">
        <v>34</v>
      </c>
      <c r="X82" s="18">
        <v>5</v>
      </c>
      <c r="Y82" s="19">
        <v>25</v>
      </c>
      <c r="AA82" s="80"/>
      <c r="AB82" s="20">
        <v>4</v>
      </c>
      <c r="AC82" s="21">
        <v>7</v>
      </c>
      <c r="AD82" s="22">
        <v>17.899999999999999</v>
      </c>
      <c r="AF82" s="79" t="s">
        <v>3</v>
      </c>
      <c r="AG82" s="17" t="s">
        <v>34</v>
      </c>
      <c r="AH82" s="18">
        <v>8</v>
      </c>
      <c r="AI82" s="19">
        <v>11.8</v>
      </c>
      <c r="AK82" s="80"/>
      <c r="AL82" s="20">
        <v>2</v>
      </c>
      <c r="AM82" s="21">
        <v>5</v>
      </c>
      <c r="AN82" s="22">
        <v>16.7</v>
      </c>
      <c r="AP82" s="80"/>
      <c r="AQ82" s="20">
        <v>4</v>
      </c>
      <c r="AR82" s="21">
        <v>7</v>
      </c>
      <c r="AS82" s="22">
        <v>23.3</v>
      </c>
    </row>
    <row r="83" spans="1:45" ht="23" x14ac:dyDescent="0.35">
      <c r="A83" s="71"/>
      <c r="B83" s="6">
        <v>4</v>
      </c>
      <c r="C83" s="7">
        <v>18</v>
      </c>
      <c r="D83" s="8">
        <v>30.5</v>
      </c>
      <c r="Q83" s="80"/>
      <c r="R83" s="23" t="s">
        <v>35</v>
      </c>
      <c r="S83" s="21">
        <v>19</v>
      </c>
      <c r="T83" s="22">
        <v>36.5</v>
      </c>
      <c r="V83" s="80"/>
      <c r="W83" s="20">
        <v>2</v>
      </c>
      <c r="X83" s="21">
        <v>7</v>
      </c>
      <c r="Y83" s="22">
        <v>35</v>
      </c>
      <c r="AA83" s="80"/>
      <c r="AB83" s="23" t="s">
        <v>35</v>
      </c>
      <c r="AC83" s="21">
        <v>10</v>
      </c>
      <c r="AD83" s="22">
        <v>25.6</v>
      </c>
      <c r="AF83" s="80"/>
      <c r="AG83" s="20">
        <v>2</v>
      </c>
      <c r="AH83" s="21">
        <v>9</v>
      </c>
      <c r="AI83" s="22">
        <v>13.2</v>
      </c>
      <c r="AK83" s="80"/>
      <c r="AL83" s="20">
        <v>3</v>
      </c>
      <c r="AM83" s="21">
        <v>10</v>
      </c>
      <c r="AN83" s="22">
        <v>33.299999999999997</v>
      </c>
      <c r="AP83" s="80"/>
      <c r="AQ83" s="23" t="s">
        <v>35</v>
      </c>
      <c r="AR83" s="21">
        <v>5</v>
      </c>
      <c r="AS83" s="22">
        <v>16.7</v>
      </c>
    </row>
    <row r="84" spans="1:45" ht="23" x14ac:dyDescent="0.35">
      <c r="A84" s="71"/>
      <c r="B84" s="6" t="s">
        <v>4</v>
      </c>
      <c r="C84" s="7">
        <v>10</v>
      </c>
      <c r="D84" s="8">
        <v>16.899999999999999</v>
      </c>
      <c r="Q84" s="81"/>
      <c r="R84" s="23" t="s">
        <v>5</v>
      </c>
      <c r="S84" s="21">
        <v>52</v>
      </c>
      <c r="T84" s="22">
        <v>100</v>
      </c>
      <c r="V84" s="80"/>
      <c r="W84" s="20">
        <v>3</v>
      </c>
      <c r="X84" s="21">
        <v>3</v>
      </c>
      <c r="Y84" s="22">
        <v>15</v>
      </c>
      <c r="AA84" s="81"/>
      <c r="AB84" s="23" t="s">
        <v>5</v>
      </c>
      <c r="AC84" s="21">
        <v>39</v>
      </c>
      <c r="AD84" s="22">
        <v>100</v>
      </c>
      <c r="AF84" s="80"/>
      <c r="AG84" s="20">
        <v>3</v>
      </c>
      <c r="AH84" s="21">
        <v>24</v>
      </c>
      <c r="AI84" s="22">
        <v>35.299999999999997</v>
      </c>
      <c r="AK84" s="80"/>
      <c r="AL84" s="20">
        <v>4</v>
      </c>
      <c r="AM84" s="21">
        <v>7</v>
      </c>
      <c r="AN84" s="22">
        <v>23.3</v>
      </c>
      <c r="AP84" s="81"/>
      <c r="AQ84" s="23" t="s">
        <v>5</v>
      </c>
      <c r="AR84" s="21">
        <v>30</v>
      </c>
      <c r="AS84" s="22">
        <v>100</v>
      </c>
    </row>
    <row r="85" spans="1:45" ht="23" x14ac:dyDescent="0.35">
      <c r="A85" s="71"/>
      <c r="B85" s="6" t="s">
        <v>5</v>
      </c>
      <c r="C85" s="7">
        <v>59</v>
      </c>
      <c r="D85" s="8">
        <v>100</v>
      </c>
      <c r="Q85" s="82" t="s">
        <v>6</v>
      </c>
      <c r="R85" s="23" t="s">
        <v>36</v>
      </c>
      <c r="S85" s="21">
        <v>52</v>
      </c>
      <c r="T85" s="24"/>
      <c r="V85" s="80"/>
      <c r="W85" s="20">
        <v>4</v>
      </c>
      <c r="X85" s="21">
        <v>2</v>
      </c>
      <c r="Y85" s="22">
        <v>10</v>
      </c>
      <c r="AA85" s="82" t="s">
        <v>6</v>
      </c>
      <c r="AB85" s="23" t="s">
        <v>36</v>
      </c>
      <c r="AC85" s="21">
        <v>73</v>
      </c>
      <c r="AD85" s="24"/>
      <c r="AF85" s="80"/>
      <c r="AG85" s="20">
        <v>4</v>
      </c>
      <c r="AH85" s="21">
        <v>19</v>
      </c>
      <c r="AI85" s="22">
        <v>27.9</v>
      </c>
      <c r="AK85" s="80"/>
      <c r="AL85" s="23" t="s">
        <v>35</v>
      </c>
      <c r="AM85" s="21">
        <v>4</v>
      </c>
      <c r="AN85" s="22">
        <v>13.3</v>
      </c>
      <c r="AP85" s="23" t="s">
        <v>6</v>
      </c>
      <c r="AQ85" s="23" t="s">
        <v>36</v>
      </c>
      <c r="AR85" s="21">
        <v>83</v>
      </c>
      <c r="AS85" s="24"/>
    </row>
    <row r="86" spans="1:45" ht="23" x14ac:dyDescent="0.35">
      <c r="A86" s="71" t="s">
        <v>6</v>
      </c>
      <c r="B86" s="6">
        <v>8</v>
      </c>
      <c r="C86" s="7">
        <v>108</v>
      </c>
      <c r="D86" s="9"/>
      <c r="Q86" s="80"/>
      <c r="R86" s="23" t="s">
        <v>37</v>
      </c>
      <c r="S86" s="21">
        <v>3</v>
      </c>
      <c r="T86" s="24"/>
      <c r="V86" s="80"/>
      <c r="W86" s="23" t="s">
        <v>35</v>
      </c>
      <c r="X86" s="21">
        <v>3</v>
      </c>
      <c r="Y86" s="22">
        <v>15</v>
      </c>
      <c r="AA86" s="80"/>
      <c r="AB86" s="23" t="s">
        <v>37</v>
      </c>
      <c r="AC86" s="21">
        <v>2</v>
      </c>
      <c r="AD86" s="24"/>
      <c r="AF86" s="80"/>
      <c r="AG86" s="23" t="s">
        <v>35</v>
      </c>
      <c r="AH86" s="21">
        <v>8</v>
      </c>
      <c r="AI86" s="22">
        <v>11.8</v>
      </c>
      <c r="AK86" s="81"/>
      <c r="AL86" s="23" t="s">
        <v>5</v>
      </c>
      <c r="AM86" s="21">
        <v>30</v>
      </c>
      <c r="AN86" s="22">
        <v>100</v>
      </c>
      <c r="AP86" s="83" t="s">
        <v>5</v>
      </c>
      <c r="AQ86" s="83"/>
      <c r="AR86" s="25">
        <v>113</v>
      </c>
      <c r="AS86" s="26"/>
    </row>
    <row r="87" spans="1:45" x14ac:dyDescent="0.35">
      <c r="A87" s="71"/>
      <c r="B87" s="6">
        <v>9</v>
      </c>
      <c r="C87" s="7">
        <v>7</v>
      </c>
      <c r="D87" s="9"/>
      <c r="Q87" s="81"/>
      <c r="R87" s="23" t="s">
        <v>5</v>
      </c>
      <c r="S87" s="21">
        <v>55</v>
      </c>
      <c r="T87" s="24"/>
      <c r="V87" s="81"/>
      <c r="W87" s="23" t="s">
        <v>5</v>
      </c>
      <c r="X87" s="21">
        <v>20</v>
      </c>
      <c r="Y87" s="22">
        <v>100</v>
      </c>
      <c r="AA87" s="81"/>
      <c r="AB87" s="23" t="s">
        <v>5</v>
      </c>
      <c r="AC87" s="21">
        <v>75</v>
      </c>
      <c r="AD87" s="24"/>
      <c r="AF87" s="81"/>
      <c r="AG87" s="23" t="s">
        <v>5</v>
      </c>
      <c r="AH87" s="21">
        <v>68</v>
      </c>
      <c r="AI87" s="22">
        <v>100</v>
      </c>
      <c r="AK87" s="82" t="s">
        <v>6</v>
      </c>
      <c r="AL87" s="23" t="s">
        <v>36</v>
      </c>
      <c r="AM87" s="21">
        <v>99</v>
      </c>
      <c r="AN87" s="24"/>
      <c r="AP87" s="27"/>
      <c r="AQ87" s="27"/>
      <c r="AR87" s="27"/>
      <c r="AS87" s="27"/>
    </row>
    <row r="88" spans="1:45" ht="23" x14ac:dyDescent="0.35">
      <c r="A88" s="71"/>
      <c r="B88" s="6" t="s">
        <v>5</v>
      </c>
      <c r="C88" s="7">
        <v>115</v>
      </c>
      <c r="D88" s="9"/>
      <c r="Q88" s="83" t="s">
        <v>5</v>
      </c>
      <c r="R88" s="83"/>
      <c r="S88" s="25">
        <v>107</v>
      </c>
      <c r="T88" s="26"/>
      <c r="V88" s="82" t="s">
        <v>6</v>
      </c>
      <c r="W88" s="23" t="s">
        <v>36</v>
      </c>
      <c r="X88" s="21">
        <v>97</v>
      </c>
      <c r="Y88" s="24"/>
      <c r="AA88" s="83" t="s">
        <v>5</v>
      </c>
      <c r="AB88" s="83"/>
      <c r="AC88" s="25">
        <v>114</v>
      </c>
      <c r="AD88" s="26"/>
      <c r="AF88" s="82" t="s">
        <v>6</v>
      </c>
      <c r="AG88" s="23" t="s">
        <v>36</v>
      </c>
      <c r="AH88" s="21">
        <v>56</v>
      </c>
      <c r="AI88" s="24"/>
      <c r="AK88" s="80"/>
      <c r="AL88" s="23" t="s">
        <v>37</v>
      </c>
      <c r="AM88" s="21">
        <v>4</v>
      </c>
      <c r="AN88" s="24"/>
      <c r="AP88" s="77" t="s">
        <v>46</v>
      </c>
      <c r="AQ88" s="77"/>
      <c r="AR88" s="77"/>
      <c r="AS88" s="77"/>
    </row>
    <row r="89" spans="1:45" ht="24.5" thickBot="1" x14ac:dyDescent="0.4">
      <c r="A89" s="72" t="s">
        <v>5</v>
      </c>
      <c r="B89" s="73"/>
      <c r="C89" s="10">
        <v>174</v>
      </c>
      <c r="D89" s="11"/>
      <c r="Q89" s="27"/>
      <c r="R89" s="27"/>
      <c r="S89" s="27"/>
      <c r="T89" s="27"/>
      <c r="V89" s="80"/>
      <c r="W89" s="23" t="s">
        <v>37</v>
      </c>
      <c r="X89" s="21">
        <v>2</v>
      </c>
      <c r="Y89" s="24"/>
      <c r="AA89" s="27"/>
      <c r="AB89" s="27"/>
      <c r="AC89" s="27"/>
      <c r="AD89" s="27"/>
      <c r="AF89" s="80"/>
      <c r="AG89" s="23" t="s">
        <v>37</v>
      </c>
      <c r="AH89" s="21">
        <v>4</v>
      </c>
      <c r="AI89" s="24"/>
      <c r="AK89" s="81"/>
      <c r="AL89" s="23" t="s">
        <v>5</v>
      </c>
      <c r="AM89" s="21">
        <v>103</v>
      </c>
      <c r="AN89" s="24"/>
      <c r="AP89" s="78"/>
      <c r="AQ89" s="78"/>
      <c r="AR89" s="15" t="s">
        <v>1</v>
      </c>
      <c r="AS89" s="16" t="s">
        <v>2</v>
      </c>
    </row>
    <row r="90" spans="1:45" ht="28" customHeight="1" x14ac:dyDescent="0.35">
      <c r="Q90" s="77" t="s">
        <v>45</v>
      </c>
      <c r="R90" s="77"/>
      <c r="S90" s="77"/>
      <c r="T90" s="77"/>
      <c r="V90" s="81"/>
      <c r="W90" s="23" t="s">
        <v>5</v>
      </c>
      <c r="X90" s="21">
        <v>99</v>
      </c>
      <c r="Y90" s="24"/>
      <c r="AA90" s="77" t="s">
        <v>45</v>
      </c>
      <c r="AB90" s="77"/>
      <c r="AC90" s="77"/>
      <c r="AD90" s="77"/>
      <c r="AF90" s="81"/>
      <c r="AG90" s="23" t="s">
        <v>5</v>
      </c>
      <c r="AH90" s="21">
        <v>60</v>
      </c>
      <c r="AI90" s="24"/>
      <c r="AK90" s="83" t="s">
        <v>5</v>
      </c>
      <c r="AL90" s="83"/>
      <c r="AM90" s="25">
        <v>133</v>
      </c>
      <c r="AN90" s="26"/>
      <c r="AP90" s="79" t="s">
        <v>3</v>
      </c>
      <c r="AQ90" s="17" t="s">
        <v>34</v>
      </c>
      <c r="AR90" s="18">
        <v>2</v>
      </c>
      <c r="AS90" s="19">
        <v>6.7</v>
      </c>
    </row>
    <row r="91" spans="1:45" ht="24.5" thickBot="1" x14ac:dyDescent="0.4">
      <c r="A91" s="74" t="s">
        <v>16</v>
      </c>
      <c r="B91" s="74"/>
      <c r="C91" s="74"/>
      <c r="D91" s="74"/>
      <c r="Q91" s="78"/>
      <c r="R91" s="78"/>
      <c r="S91" s="15" t="s">
        <v>1</v>
      </c>
      <c r="T91" s="16" t="s">
        <v>2</v>
      </c>
      <c r="V91" s="83" t="s">
        <v>5</v>
      </c>
      <c r="W91" s="83"/>
      <c r="X91" s="25">
        <v>119</v>
      </c>
      <c r="Y91" s="26"/>
      <c r="AA91" s="78"/>
      <c r="AB91" s="78"/>
      <c r="AC91" s="15" t="s">
        <v>1</v>
      </c>
      <c r="AD91" s="16" t="s">
        <v>2</v>
      </c>
      <c r="AF91" s="83" t="s">
        <v>5</v>
      </c>
      <c r="AG91" s="83"/>
      <c r="AH91" s="25">
        <v>128</v>
      </c>
      <c r="AI91" s="26"/>
      <c r="AK91" s="27"/>
      <c r="AL91" s="27"/>
      <c r="AM91" s="27"/>
      <c r="AN91" s="27"/>
      <c r="AP91" s="80"/>
      <c r="AQ91" s="20">
        <v>2</v>
      </c>
      <c r="AR91" s="21">
        <v>2</v>
      </c>
      <c r="AS91" s="22">
        <v>6.7</v>
      </c>
    </row>
    <row r="92" spans="1:45" ht="28" customHeight="1" thickBot="1" x14ac:dyDescent="0.4">
      <c r="A92" s="68" t="s">
        <v>0</v>
      </c>
      <c r="B92" s="69"/>
      <c r="C92" s="1" t="s">
        <v>1</v>
      </c>
      <c r="D92" s="2" t="s">
        <v>2</v>
      </c>
      <c r="Q92" s="79" t="s">
        <v>3</v>
      </c>
      <c r="R92" s="17" t="s">
        <v>34</v>
      </c>
      <c r="S92" s="18">
        <v>11</v>
      </c>
      <c r="T92" s="19">
        <v>21.6</v>
      </c>
      <c r="V92" s="27"/>
      <c r="W92" s="27"/>
      <c r="X92" s="27"/>
      <c r="Y92" s="27"/>
      <c r="AA92" s="79" t="s">
        <v>3</v>
      </c>
      <c r="AB92" s="17" t="s">
        <v>34</v>
      </c>
      <c r="AC92" s="18">
        <v>9</v>
      </c>
      <c r="AD92" s="19">
        <v>23.1</v>
      </c>
      <c r="AF92" s="27"/>
      <c r="AG92" s="27"/>
      <c r="AH92" s="27"/>
      <c r="AI92" s="27"/>
      <c r="AK92" s="77" t="s">
        <v>45</v>
      </c>
      <c r="AL92" s="77"/>
      <c r="AM92" s="77"/>
      <c r="AN92" s="77"/>
      <c r="AP92" s="80"/>
      <c r="AQ92" s="20">
        <v>3</v>
      </c>
      <c r="AR92" s="21">
        <v>5</v>
      </c>
      <c r="AS92" s="22">
        <v>16.7</v>
      </c>
    </row>
    <row r="93" spans="1:45" ht="28" customHeight="1" x14ac:dyDescent="0.35">
      <c r="A93" s="70" t="s">
        <v>3</v>
      </c>
      <c r="B93" s="3" t="s">
        <v>9</v>
      </c>
      <c r="C93" s="4">
        <v>17</v>
      </c>
      <c r="D93" s="5">
        <v>29.8</v>
      </c>
      <c r="Q93" s="80"/>
      <c r="R93" s="20">
        <v>2</v>
      </c>
      <c r="S93" s="21">
        <v>10</v>
      </c>
      <c r="T93" s="22">
        <v>19.600000000000001</v>
      </c>
      <c r="V93" s="77" t="s">
        <v>45</v>
      </c>
      <c r="W93" s="77"/>
      <c r="X93" s="77"/>
      <c r="Y93" s="77"/>
      <c r="AA93" s="80"/>
      <c r="AB93" s="20">
        <v>2</v>
      </c>
      <c r="AC93" s="21">
        <v>9</v>
      </c>
      <c r="AD93" s="22">
        <v>23.1</v>
      </c>
      <c r="AF93" s="77" t="s">
        <v>45</v>
      </c>
      <c r="AG93" s="77"/>
      <c r="AH93" s="77"/>
      <c r="AI93" s="77"/>
      <c r="AK93" s="78"/>
      <c r="AL93" s="78"/>
      <c r="AM93" s="15" t="s">
        <v>1</v>
      </c>
      <c r="AN93" s="16" t="s">
        <v>2</v>
      </c>
      <c r="AP93" s="80"/>
      <c r="AQ93" s="20">
        <v>4</v>
      </c>
      <c r="AR93" s="21">
        <v>14</v>
      </c>
      <c r="AS93" s="22">
        <v>46.7</v>
      </c>
    </row>
    <row r="94" spans="1:45" ht="24" x14ac:dyDescent="0.35">
      <c r="A94" s="71"/>
      <c r="B94" s="6">
        <v>2</v>
      </c>
      <c r="C94" s="7">
        <v>11</v>
      </c>
      <c r="D94" s="8">
        <v>19.3</v>
      </c>
      <c r="Q94" s="80"/>
      <c r="R94" s="20">
        <v>3</v>
      </c>
      <c r="S94" s="21">
        <v>17</v>
      </c>
      <c r="T94" s="22">
        <v>33.299999999999997</v>
      </c>
      <c r="V94" s="78"/>
      <c r="W94" s="78"/>
      <c r="X94" s="15" t="s">
        <v>1</v>
      </c>
      <c r="Y94" s="16" t="s">
        <v>2</v>
      </c>
      <c r="AA94" s="80"/>
      <c r="AB94" s="20">
        <v>3</v>
      </c>
      <c r="AC94" s="21">
        <v>11</v>
      </c>
      <c r="AD94" s="22">
        <v>28.2</v>
      </c>
      <c r="AF94" s="78"/>
      <c r="AG94" s="78"/>
      <c r="AH94" s="15" t="s">
        <v>1</v>
      </c>
      <c r="AI94" s="16" t="s">
        <v>2</v>
      </c>
      <c r="AK94" s="79" t="s">
        <v>3</v>
      </c>
      <c r="AL94" s="17" t="s">
        <v>34</v>
      </c>
      <c r="AM94" s="18">
        <v>3</v>
      </c>
      <c r="AN94" s="19">
        <v>10</v>
      </c>
      <c r="AP94" s="80"/>
      <c r="AQ94" s="23" t="s">
        <v>35</v>
      </c>
      <c r="AR94" s="21">
        <v>7</v>
      </c>
      <c r="AS94" s="22">
        <v>23.3</v>
      </c>
    </row>
    <row r="95" spans="1:45" ht="23" x14ac:dyDescent="0.35">
      <c r="A95" s="71"/>
      <c r="B95" s="6">
        <v>3</v>
      </c>
      <c r="C95" s="7">
        <v>18</v>
      </c>
      <c r="D95" s="8">
        <v>31.6</v>
      </c>
      <c r="Q95" s="80"/>
      <c r="R95" s="20">
        <v>4</v>
      </c>
      <c r="S95" s="21">
        <v>5</v>
      </c>
      <c r="T95" s="22">
        <v>9.8000000000000007</v>
      </c>
      <c r="V95" s="79" t="s">
        <v>3</v>
      </c>
      <c r="W95" s="17" t="s">
        <v>34</v>
      </c>
      <c r="X95" s="18">
        <v>4</v>
      </c>
      <c r="Y95" s="19">
        <v>20</v>
      </c>
      <c r="AA95" s="80"/>
      <c r="AB95" s="20">
        <v>4</v>
      </c>
      <c r="AC95" s="21">
        <v>6</v>
      </c>
      <c r="AD95" s="22">
        <v>15.4</v>
      </c>
      <c r="AF95" s="79" t="s">
        <v>3</v>
      </c>
      <c r="AG95" s="17" t="s">
        <v>34</v>
      </c>
      <c r="AH95" s="18">
        <v>16</v>
      </c>
      <c r="AI95" s="19">
        <v>23.9</v>
      </c>
      <c r="AK95" s="80"/>
      <c r="AL95" s="20">
        <v>2</v>
      </c>
      <c r="AM95" s="21">
        <v>7</v>
      </c>
      <c r="AN95" s="22">
        <v>23.3</v>
      </c>
      <c r="AP95" s="81"/>
      <c r="AQ95" s="23" t="s">
        <v>5</v>
      </c>
      <c r="AR95" s="21">
        <v>30</v>
      </c>
      <c r="AS95" s="22">
        <v>100</v>
      </c>
    </row>
    <row r="96" spans="1:45" ht="23" x14ac:dyDescent="0.35">
      <c r="A96" s="71"/>
      <c r="B96" s="6">
        <v>4</v>
      </c>
      <c r="C96" s="7">
        <v>6</v>
      </c>
      <c r="D96" s="8">
        <v>10.5</v>
      </c>
      <c r="Q96" s="80"/>
      <c r="R96" s="23" t="s">
        <v>35</v>
      </c>
      <c r="S96" s="21">
        <v>8</v>
      </c>
      <c r="T96" s="22">
        <v>15.7</v>
      </c>
      <c r="V96" s="80"/>
      <c r="W96" s="20">
        <v>2</v>
      </c>
      <c r="X96" s="21">
        <v>1</v>
      </c>
      <c r="Y96" s="22">
        <v>5</v>
      </c>
      <c r="AA96" s="80"/>
      <c r="AB96" s="23" t="s">
        <v>35</v>
      </c>
      <c r="AC96" s="21">
        <v>4</v>
      </c>
      <c r="AD96" s="22">
        <v>10.3</v>
      </c>
      <c r="AF96" s="80"/>
      <c r="AG96" s="20">
        <v>2</v>
      </c>
      <c r="AH96" s="21">
        <v>13</v>
      </c>
      <c r="AI96" s="22">
        <v>19.399999999999999</v>
      </c>
      <c r="AK96" s="80"/>
      <c r="AL96" s="20">
        <v>3</v>
      </c>
      <c r="AM96" s="21">
        <v>6</v>
      </c>
      <c r="AN96" s="22">
        <v>20</v>
      </c>
      <c r="AP96" s="23" t="s">
        <v>6</v>
      </c>
      <c r="AQ96" s="23" t="s">
        <v>36</v>
      </c>
      <c r="AR96" s="21">
        <v>83</v>
      </c>
      <c r="AS96" s="24"/>
    </row>
    <row r="97" spans="1:45" ht="23" x14ac:dyDescent="0.35">
      <c r="A97" s="71"/>
      <c r="B97" s="6" t="s">
        <v>4</v>
      </c>
      <c r="C97" s="7">
        <v>5</v>
      </c>
      <c r="D97" s="8">
        <v>8.8000000000000007</v>
      </c>
      <c r="Q97" s="81"/>
      <c r="R97" s="23" t="s">
        <v>5</v>
      </c>
      <c r="S97" s="21">
        <v>51</v>
      </c>
      <c r="T97" s="22">
        <v>100</v>
      </c>
      <c r="V97" s="80"/>
      <c r="W97" s="20">
        <v>3</v>
      </c>
      <c r="X97" s="21">
        <v>4</v>
      </c>
      <c r="Y97" s="22">
        <v>20</v>
      </c>
      <c r="AA97" s="81"/>
      <c r="AB97" s="23" t="s">
        <v>5</v>
      </c>
      <c r="AC97" s="21">
        <v>39</v>
      </c>
      <c r="AD97" s="22">
        <v>100</v>
      </c>
      <c r="AF97" s="80"/>
      <c r="AG97" s="20">
        <v>3</v>
      </c>
      <c r="AH97" s="21">
        <v>19</v>
      </c>
      <c r="AI97" s="22">
        <v>28.4</v>
      </c>
      <c r="AK97" s="80"/>
      <c r="AL97" s="20">
        <v>4</v>
      </c>
      <c r="AM97" s="21">
        <v>10</v>
      </c>
      <c r="AN97" s="22">
        <v>33.299999999999997</v>
      </c>
      <c r="AP97" s="83" t="s">
        <v>5</v>
      </c>
      <c r="AQ97" s="83"/>
      <c r="AR97" s="25">
        <v>113</v>
      </c>
      <c r="AS97" s="26"/>
    </row>
    <row r="98" spans="1:45" ht="23" x14ac:dyDescent="0.35">
      <c r="A98" s="71"/>
      <c r="B98" s="6" t="s">
        <v>5</v>
      </c>
      <c r="C98" s="7">
        <v>57</v>
      </c>
      <c r="D98" s="8">
        <v>100</v>
      </c>
      <c r="Q98" s="82" t="s">
        <v>6</v>
      </c>
      <c r="R98" s="23" t="s">
        <v>36</v>
      </c>
      <c r="S98" s="21">
        <v>52</v>
      </c>
      <c r="T98" s="24"/>
      <c r="V98" s="80"/>
      <c r="W98" s="20">
        <v>4</v>
      </c>
      <c r="X98" s="21">
        <v>6</v>
      </c>
      <c r="Y98" s="22">
        <v>30</v>
      </c>
      <c r="AA98" s="82" t="s">
        <v>6</v>
      </c>
      <c r="AB98" s="23" t="s">
        <v>36</v>
      </c>
      <c r="AC98" s="21">
        <v>73</v>
      </c>
      <c r="AD98" s="24"/>
      <c r="AF98" s="80"/>
      <c r="AG98" s="20">
        <v>4</v>
      </c>
      <c r="AH98" s="21">
        <v>11</v>
      </c>
      <c r="AI98" s="22">
        <v>16.399999999999999</v>
      </c>
      <c r="AK98" s="80"/>
      <c r="AL98" s="23" t="s">
        <v>35</v>
      </c>
      <c r="AM98" s="21">
        <v>4</v>
      </c>
      <c r="AN98" s="22">
        <v>13.3</v>
      </c>
      <c r="AP98" s="27"/>
      <c r="AQ98" s="27"/>
      <c r="AR98" s="27"/>
      <c r="AS98" s="27"/>
    </row>
    <row r="99" spans="1:45" ht="28" customHeight="1" x14ac:dyDescent="0.35">
      <c r="A99" s="71" t="s">
        <v>6</v>
      </c>
      <c r="B99" s="6">
        <v>8</v>
      </c>
      <c r="C99" s="7">
        <v>108</v>
      </c>
      <c r="D99" s="9"/>
      <c r="Q99" s="80"/>
      <c r="R99" s="23" t="s">
        <v>37</v>
      </c>
      <c r="S99" s="21">
        <v>4</v>
      </c>
      <c r="T99" s="24"/>
      <c r="V99" s="80"/>
      <c r="W99" s="23" t="s">
        <v>35</v>
      </c>
      <c r="X99" s="21">
        <v>5</v>
      </c>
      <c r="Y99" s="22">
        <v>25</v>
      </c>
      <c r="AA99" s="80"/>
      <c r="AB99" s="23" t="s">
        <v>37</v>
      </c>
      <c r="AC99" s="21">
        <v>2</v>
      </c>
      <c r="AD99" s="24"/>
      <c r="AF99" s="80"/>
      <c r="AG99" s="23" t="s">
        <v>35</v>
      </c>
      <c r="AH99" s="21">
        <v>8</v>
      </c>
      <c r="AI99" s="22">
        <v>11.9</v>
      </c>
      <c r="AK99" s="81"/>
      <c r="AL99" s="23" t="s">
        <v>5</v>
      </c>
      <c r="AM99" s="21">
        <v>30</v>
      </c>
      <c r="AN99" s="22">
        <v>100</v>
      </c>
      <c r="AP99" s="77" t="s">
        <v>47</v>
      </c>
      <c r="AQ99" s="77"/>
      <c r="AR99" s="77"/>
      <c r="AS99" s="77"/>
    </row>
    <row r="100" spans="1:45" ht="24" x14ac:dyDescent="0.35">
      <c r="A100" s="71"/>
      <c r="B100" s="6">
        <v>9</v>
      </c>
      <c r="C100" s="7">
        <v>9</v>
      </c>
      <c r="D100" s="9"/>
      <c r="Q100" s="81"/>
      <c r="R100" s="23" t="s">
        <v>5</v>
      </c>
      <c r="S100" s="21">
        <v>56</v>
      </c>
      <c r="T100" s="24"/>
      <c r="V100" s="81"/>
      <c r="W100" s="23" t="s">
        <v>5</v>
      </c>
      <c r="X100" s="21">
        <v>20</v>
      </c>
      <c r="Y100" s="22">
        <v>100</v>
      </c>
      <c r="AA100" s="81"/>
      <c r="AB100" s="23" t="s">
        <v>5</v>
      </c>
      <c r="AC100" s="21">
        <v>75</v>
      </c>
      <c r="AD100" s="24"/>
      <c r="AF100" s="81"/>
      <c r="AG100" s="23" t="s">
        <v>5</v>
      </c>
      <c r="AH100" s="21">
        <v>67</v>
      </c>
      <c r="AI100" s="22">
        <v>100</v>
      </c>
      <c r="AK100" s="82" t="s">
        <v>6</v>
      </c>
      <c r="AL100" s="23" t="s">
        <v>36</v>
      </c>
      <c r="AM100" s="21">
        <v>99</v>
      </c>
      <c r="AN100" s="24"/>
      <c r="AP100" s="78"/>
      <c r="AQ100" s="78"/>
      <c r="AR100" s="15" t="s">
        <v>1</v>
      </c>
      <c r="AS100" s="16" t="s">
        <v>2</v>
      </c>
    </row>
    <row r="101" spans="1:45" ht="23" x14ac:dyDescent="0.35">
      <c r="A101" s="71"/>
      <c r="B101" s="6" t="s">
        <v>5</v>
      </c>
      <c r="C101" s="7">
        <v>117</v>
      </c>
      <c r="D101" s="9"/>
      <c r="Q101" s="83" t="s">
        <v>5</v>
      </c>
      <c r="R101" s="83"/>
      <c r="S101" s="25">
        <v>107</v>
      </c>
      <c r="T101" s="26"/>
      <c r="V101" s="82" t="s">
        <v>6</v>
      </c>
      <c r="W101" s="23" t="s">
        <v>36</v>
      </c>
      <c r="X101" s="21">
        <v>97</v>
      </c>
      <c r="Y101" s="24"/>
      <c r="AA101" s="83" t="s">
        <v>5</v>
      </c>
      <c r="AB101" s="83"/>
      <c r="AC101" s="25">
        <v>114</v>
      </c>
      <c r="AD101" s="26"/>
      <c r="AF101" s="82" t="s">
        <v>6</v>
      </c>
      <c r="AG101" s="23" t="s">
        <v>36</v>
      </c>
      <c r="AH101" s="21">
        <v>56</v>
      </c>
      <c r="AI101" s="24"/>
      <c r="AK101" s="80"/>
      <c r="AL101" s="23" t="s">
        <v>37</v>
      </c>
      <c r="AM101" s="21">
        <v>4</v>
      </c>
      <c r="AN101" s="24"/>
      <c r="AP101" s="79" t="s">
        <v>3</v>
      </c>
      <c r="AQ101" s="17" t="s">
        <v>34</v>
      </c>
      <c r="AR101" s="18">
        <v>1</v>
      </c>
      <c r="AS101" s="19">
        <v>3.3</v>
      </c>
    </row>
    <row r="102" spans="1:45" ht="23.5" thickBot="1" x14ac:dyDescent="0.4">
      <c r="A102" s="72" t="s">
        <v>5</v>
      </c>
      <c r="B102" s="73"/>
      <c r="C102" s="10">
        <v>174</v>
      </c>
      <c r="D102" s="11"/>
      <c r="Q102" s="27"/>
      <c r="R102" s="27"/>
      <c r="S102" s="27"/>
      <c r="T102" s="27"/>
      <c r="V102" s="80"/>
      <c r="W102" s="23" t="s">
        <v>37</v>
      </c>
      <c r="X102" s="21">
        <v>2</v>
      </c>
      <c r="Y102" s="24"/>
      <c r="AA102" s="27"/>
      <c r="AB102" s="27"/>
      <c r="AC102" s="27"/>
      <c r="AD102" s="27"/>
      <c r="AF102" s="80"/>
      <c r="AG102" s="23" t="s">
        <v>37</v>
      </c>
      <c r="AH102" s="21">
        <v>5</v>
      </c>
      <c r="AI102" s="24"/>
      <c r="AK102" s="81"/>
      <c r="AL102" s="23" t="s">
        <v>5</v>
      </c>
      <c r="AM102" s="21">
        <v>103</v>
      </c>
      <c r="AN102" s="24"/>
      <c r="AP102" s="80"/>
      <c r="AQ102" s="20">
        <v>2</v>
      </c>
      <c r="AR102" s="21">
        <v>3</v>
      </c>
      <c r="AS102" s="22">
        <v>10</v>
      </c>
    </row>
    <row r="103" spans="1:45" x14ac:dyDescent="0.35">
      <c r="Q103" s="77" t="s">
        <v>46</v>
      </c>
      <c r="R103" s="77"/>
      <c r="S103" s="77"/>
      <c r="T103" s="77"/>
      <c r="V103" s="81"/>
      <c r="W103" s="23" t="s">
        <v>5</v>
      </c>
      <c r="X103" s="21">
        <v>99</v>
      </c>
      <c r="Y103" s="24"/>
      <c r="AA103" s="77" t="s">
        <v>46</v>
      </c>
      <c r="AB103" s="77"/>
      <c r="AC103" s="77"/>
      <c r="AD103" s="77"/>
      <c r="AF103" s="81"/>
      <c r="AG103" s="23" t="s">
        <v>5</v>
      </c>
      <c r="AH103" s="21">
        <v>61</v>
      </c>
      <c r="AI103" s="24"/>
      <c r="AK103" s="83" t="s">
        <v>5</v>
      </c>
      <c r="AL103" s="83"/>
      <c r="AM103" s="25">
        <v>133</v>
      </c>
      <c r="AN103" s="26"/>
      <c r="AP103" s="80"/>
      <c r="AQ103" s="20">
        <v>3</v>
      </c>
      <c r="AR103" s="21">
        <v>6</v>
      </c>
      <c r="AS103" s="22">
        <v>20</v>
      </c>
    </row>
    <row r="104" spans="1:45" ht="24.5" thickBot="1" x14ac:dyDescent="0.4">
      <c r="A104" s="74" t="s">
        <v>17</v>
      </c>
      <c r="B104" s="74"/>
      <c r="C104" s="74"/>
      <c r="D104" s="74"/>
      <c r="Q104" s="78"/>
      <c r="R104" s="78"/>
      <c r="S104" s="15" t="s">
        <v>1</v>
      </c>
      <c r="T104" s="16" t="s">
        <v>2</v>
      </c>
      <c r="V104" s="83" t="s">
        <v>5</v>
      </c>
      <c r="W104" s="83"/>
      <c r="X104" s="25">
        <v>119</v>
      </c>
      <c r="Y104" s="26"/>
      <c r="AA104" s="78"/>
      <c r="AB104" s="78"/>
      <c r="AC104" s="15" t="s">
        <v>1</v>
      </c>
      <c r="AD104" s="16" t="s">
        <v>2</v>
      </c>
      <c r="AF104" s="83" t="s">
        <v>5</v>
      </c>
      <c r="AG104" s="83"/>
      <c r="AH104" s="25">
        <v>128</v>
      </c>
      <c r="AI104" s="26"/>
      <c r="AK104" s="27"/>
      <c r="AL104" s="27"/>
      <c r="AM104" s="27"/>
      <c r="AN104" s="27"/>
      <c r="AP104" s="80"/>
      <c r="AQ104" s="20">
        <v>4</v>
      </c>
      <c r="AR104" s="21">
        <v>14</v>
      </c>
      <c r="AS104" s="22">
        <v>46.7</v>
      </c>
    </row>
    <row r="105" spans="1:45" ht="24.5" thickBot="1" x14ac:dyDescent="0.4">
      <c r="A105" s="68" t="s">
        <v>0</v>
      </c>
      <c r="B105" s="69"/>
      <c r="C105" s="1" t="s">
        <v>1</v>
      </c>
      <c r="D105" s="2" t="s">
        <v>2</v>
      </c>
      <c r="Q105" s="79" t="s">
        <v>3</v>
      </c>
      <c r="R105" s="17" t="s">
        <v>34</v>
      </c>
      <c r="S105" s="18">
        <v>3</v>
      </c>
      <c r="T105" s="19">
        <v>5.8</v>
      </c>
      <c r="V105" s="27"/>
      <c r="W105" s="27"/>
      <c r="X105" s="27"/>
      <c r="Y105" s="27"/>
      <c r="AA105" s="79" t="s">
        <v>3</v>
      </c>
      <c r="AB105" s="17" t="s">
        <v>34</v>
      </c>
      <c r="AC105" s="18">
        <v>1</v>
      </c>
      <c r="AD105" s="19">
        <v>2.5</v>
      </c>
      <c r="AF105" s="27"/>
      <c r="AG105" s="27"/>
      <c r="AH105" s="27"/>
      <c r="AI105" s="27"/>
      <c r="AK105" s="77" t="s">
        <v>46</v>
      </c>
      <c r="AL105" s="77"/>
      <c r="AM105" s="77"/>
      <c r="AN105" s="77"/>
      <c r="AP105" s="80"/>
      <c r="AQ105" s="23" t="s">
        <v>35</v>
      </c>
      <c r="AR105" s="21">
        <v>6</v>
      </c>
      <c r="AS105" s="22">
        <v>20</v>
      </c>
    </row>
    <row r="106" spans="1:45" ht="24" x14ac:dyDescent="0.35">
      <c r="A106" s="70" t="s">
        <v>3</v>
      </c>
      <c r="B106" s="3" t="s">
        <v>9</v>
      </c>
      <c r="C106" s="4">
        <v>2</v>
      </c>
      <c r="D106" s="5">
        <v>3.4</v>
      </c>
      <c r="Q106" s="80"/>
      <c r="R106" s="20">
        <v>2</v>
      </c>
      <c r="S106" s="21">
        <v>5</v>
      </c>
      <c r="T106" s="22">
        <v>9.6</v>
      </c>
      <c r="V106" s="77" t="s">
        <v>46</v>
      </c>
      <c r="W106" s="77"/>
      <c r="X106" s="77"/>
      <c r="Y106" s="77"/>
      <c r="AA106" s="80"/>
      <c r="AB106" s="20">
        <v>2</v>
      </c>
      <c r="AC106" s="21">
        <v>4</v>
      </c>
      <c r="AD106" s="22">
        <v>10</v>
      </c>
      <c r="AF106" s="77" t="s">
        <v>46</v>
      </c>
      <c r="AG106" s="77"/>
      <c r="AH106" s="77"/>
      <c r="AI106" s="77"/>
      <c r="AK106" s="78"/>
      <c r="AL106" s="78"/>
      <c r="AM106" s="15" t="s">
        <v>1</v>
      </c>
      <c r="AN106" s="16" t="s">
        <v>2</v>
      </c>
      <c r="AP106" s="81"/>
      <c r="AQ106" s="23" t="s">
        <v>5</v>
      </c>
      <c r="AR106" s="21">
        <v>30</v>
      </c>
      <c r="AS106" s="22">
        <v>100</v>
      </c>
    </row>
    <row r="107" spans="1:45" ht="24" x14ac:dyDescent="0.35">
      <c r="A107" s="71"/>
      <c r="B107" s="6">
        <v>2</v>
      </c>
      <c r="C107" s="7">
        <v>3</v>
      </c>
      <c r="D107" s="8">
        <v>5.0999999999999996</v>
      </c>
      <c r="Q107" s="80"/>
      <c r="R107" s="20">
        <v>3</v>
      </c>
      <c r="S107" s="21">
        <v>13</v>
      </c>
      <c r="T107" s="22">
        <v>25</v>
      </c>
      <c r="V107" s="78"/>
      <c r="W107" s="78"/>
      <c r="X107" s="15" t="s">
        <v>1</v>
      </c>
      <c r="Y107" s="16" t="s">
        <v>2</v>
      </c>
      <c r="AA107" s="80"/>
      <c r="AB107" s="20">
        <v>3</v>
      </c>
      <c r="AC107" s="21">
        <v>18</v>
      </c>
      <c r="AD107" s="22">
        <v>45</v>
      </c>
      <c r="AF107" s="78"/>
      <c r="AG107" s="78"/>
      <c r="AH107" s="15" t="s">
        <v>1</v>
      </c>
      <c r="AI107" s="16" t="s">
        <v>2</v>
      </c>
      <c r="AK107" s="79" t="s">
        <v>3</v>
      </c>
      <c r="AL107" s="17" t="s">
        <v>34</v>
      </c>
      <c r="AM107" s="18">
        <v>2</v>
      </c>
      <c r="AN107" s="19">
        <v>6.5</v>
      </c>
      <c r="AP107" s="23" t="s">
        <v>6</v>
      </c>
      <c r="AQ107" s="23" t="s">
        <v>36</v>
      </c>
      <c r="AR107" s="21">
        <v>83</v>
      </c>
      <c r="AS107" s="24"/>
    </row>
    <row r="108" spans="1:45" ht="23" x14ac:dyDescent="0.35">
      <c r="A108" s="71"/>
      <c r="B108" s="6">
        <v>3</v>
      </c>
      <c r="C108" s="7">
        <v>13</v>
      </c>
      <c r="D108" s="8">
        <v>22</v>
      </c>
      <c r="Q108" s="80"/>
      <c r="R108" s="20">
        <v>4</v>
      </c>
      <c r="S108" s="21">
        <v>17</v>
      </c>
      <c r="T108" s="22">
        <v>32.700000000000003</v>
      </c>
      <c r="V108" s="79" t="s">
        <v>3</v>
      </c>
      <c r="W108" s="28">
        <v>2</v>
      </c>
      <c r="X108" s="18">
        <v>1</v>
      </c>
      <c r="Y108" s="19">
        <v>5</v>
      </c>
      <c r="AA108" s="80"/>
      <c r="AB108" s="20">
        <v>4</v>
      </c>
      <c r="AC108" s="21">
        <v>8</v>
      </c>
      <c r="AD108" s="22">
        <v>20</v>
      </c>
      <c r="AF108" s="79" t="s">
        <v>3</v>
      </c>
      <c r="AG108" s="17" t="s">
        <v>34</v>
      </c>
      <c r="AH108" s="18">
        <v>3</v>
      </c>
      <c r="AI108" s="19">
        <v>4.3</v>
      </c>
      <c r="AK108" s="80"/>
      <c r="AL108" s="20">
        <v>2</v>
      </c>
      <c r="AM108" s="21">
        <v>2</v>
      </c>
      <c r="AN108" s="22">
        <v>6.5</v>
      </c>
      <c r="AP108" s="83" t="s">
        <v>5</v>
      </c>
      <c r="AQ108" s="83"/>
      <c r="AR108" s="25">
        <v>113</v>
      </c>
      <c r="AS108" s="26"/>
    </row>
    <row r="109" spans="1:45" ht="23" x14ac:dyDescent="0.35">
      <c r="A109" s="71"/>
      <c r="B109" s="6">
        <v>4</v>
      </c>
      <c r="C109" s="7">
        <v>24</v>
      </c>
      <c r="D109" s="8">
        <v>40.700000000000003</v>
      </c>
      <c r="Q109" s="80"/>
      <c r="R109" s="23" t="s">
        <v>35</v>
      </c>
      <c r="S109" s="21">
        <v>14</v>
      </c>
      <c r="T109" s="22">
        <v>26.9</v>
      </c>
      <c r="V109" s="80"/>
      <c r="W109" s="20">
        <v>3</v>
      </c>
      <c r="X109" s="21">
        <v>5</v>
      </c>
      <c r="Y109" s="22">
        <v>25</v>
      </c>
      <c r="AA109" s="80"/>
      <c r="AB109" s="23" t="s">
        <v>35</v>
      </c>
      <c r="AC109" s="21">
        <v>9</v>
      </c>
      <c r="AD109" s="22">
        <v>22.5</v>
      </c>
      <c r="AF109" s="80"/>
      <c r="AG109" s="20">
        <v>2</v>
      </c>
      <c r="AH109" s="21">
        <v>4</v>
      </c>
      <c r="AI109" s="22">
        <v>5.8</v>
      </c>
      <c r="AK109" s="80"/>
      <c r="AL109" s="20">
        <v>3</v>
      </c>
      <c r="AM109" s="21">
        <v>6</v>
      </c>
      <c r="AN109" s="22">
        <v>19.399999999999999</v>
      </c>
      <c r="AP109" s="27"/>
      <c r="AQ109" s="27"/>
      <c r="AR109" s="27"/>
      <c r="AS109" s="27"/>
    </row>
    <row r="110" spans="1:45" ht="23" x14ac:dyDescent="0.35">
      <c r="A110" s="71"/>
      <c r="B110" s="6" t="s">
        <v>4</v>
      </c>
      <c r="C110" s="7">
        <v>17</v>
      </c>
      <c r="D110" s="8">
        <v>28.8</v>
      </c>
      <c r="Q110" s="81"/>
      <c r="R110" s="23" t="s">
        <v>5</v>
      </c>
      <c r="S110" s="21">
        <v>52</v>
      </c>
      <c r="T110" s="22">
        <v>100</v>
      </c>
      <c r="V110" s="80"/>
      <c r="W110" s="20">
        <v>4</v>
      </c>
      <c r="X110" s="21">
        <v>3</v>
      </c>
      <c r="Y110" s="22">
        <v>15</v>
      </c>
      <c r="AA110" s="81"/>
      <c r="AB110" s="23" t="s">
        <v>5</v>
      </c>
      <c r="AC110" s="21">
        <v>40</v>
      </c>
      <c r="AD110" s="22">
        <v>100</v>
      </c>
      <c r="AF110" s="80"/>
      <c r="AG110" s="20">
        <v>3</v>
      </c>
      <c r="AH110" s="21">
        <v>8</v>
      </c>
      <c r="AI110" s="22">
        <v>11.6</v>
      </c>
      <c r="AK110" s="80"/>
      <c r="AL110" s="20">
        <v>4</v>
      </c>
      <c r="AM110" s="21">
        <v>13</v>
      </c>
      <c r="AN110" s="22">
        <v>41.9</v>
      </c>
      <c r="AP110" s="77" t="s">
        <v>48</v>
      </c>
      <c r="AQ110" s="77"/>
      <c r="AR110" s="77"/>
      <c r="AS110" s="77"/>
    </row>
    <row r="111" spans="1:45" ht="24" x14ac:dyDescent="0.35">
      <c r="A111" s="71"/>
      <c r="B111" s="6" t="s">
        <v>5</v>
      </c>
      <c r="C111" s="7">
        <v>59</v>
      </c>
      <c r="D111" s="8">
        <v>100</v>
      </c>
      <c r="Q111" s="82" t="s">
        <v>6</v>
      </c>
      <c r="R111" s="23" t="s">
        <v>36</v>
      </c>
      <c r="S111" s="21">
        <v>52</v>
      </c>
      <c r="T111" s="24"/>
      <c r="V111" s="80"/>
      <c r="W111" s="23" t="s">
        <v>35</v>
      </c>
      <c r="X111" s="21">
        <v>11</v>
      </c>
      <c r="Y111" s="22">
        <v>55</v>
      </c>
      <c r="AA111" s="82" t="s">
        <v>6</v>
      </c>
      <c r="AB111" s="23" t="s">
        <v>36</v>
      </c>
      <c r="AC111" s="21">
        <v>73</v>
      </c>
      <c r="AD111" s="24"/>
      <c r="AF111" s="80"/>
      <c r="AG111" s="20">
        <v>4</v>
      </c>
      <c r="AH111" s="21">
        <v>23</v>
      </c>
      <c r="AI111" s="22">
        <v>33.299999999999997</v>
      </c>
      <c r="AK111" s="80"/>
      <c r="AL111" s="23" t="s">
        <v>35</v>
      </c>
      <c r="AM111" s="21">
        <v>8</v>
      </c>
      <c r="AN111" s="22">
        <v>25.8</v>
      </c>
      <c r="AP111" s="78"/>
      <c r="AQ111" s="78"/>
      <c r="AR111" s="15" t="s">
        <v>1</v>
      </c>
      <c r="AS111" s="16" t="s">
        <v>2</v>
      </c>
    </row>
    <row r="112" spans="1:45" ht="23" x14ac:dyDescent="0.35">
      <c r="A112" s="71" t="s">
        <v>6</v>
      </c>
      <c r="B112" s="6">
        <v>8</v>
      </c>
      <c r="C112" s="7">
        <v>108</v>
      </c>
      <c r="D112" s="9"/>
      <c r="Q112" s="80"/>
      <c r="R112" s="23" t="s">
        <v>37</v>
      </c>
      <c r="S112" s="21">
        <v>3</v>
      </c>
      <c r="T112" s="24"/>
      <c r="V112" s="81"/>
      <c r="W112" s="23" t="s">
        <v>5</v>
      </c>
      <c r="X112" s="21">
        <v>20</v>
      </c>
      <c r="Y112" s="22">
        <v>100</v>
      </c>
      <c r="AA112" s="80"/>
      <c r="AB112" s="23" t="s">
        <v>37</v>
      </c>
      <c r="AC112" s="21">
        <v>1</v>
      </c>
      <c r="AD112" s="24"/>
      <c r="AF112" s="80"/>
      <c r="AG112" s="23" t="s">
        <v>35</v>
      </c>
      <c r="AH112" s="21">
        <v>31</v>
      </c>
      <c r="AI112" s="22">
        <v>44.9</v>
      </c>
      <c r="AK112" s="81"/>
      <c r="AL112" s="23" t="s">
        <v>5</v>
      </c>
      <c r="AM112" s="21">
        <v>31</v>
      </c>
      <c r="AN112" s="22">
        <v>100</v>
      </c>
      <c r="AP112" s="79" t="s">
        <v>3</v>
      </c>
      <c r="AQ112" s="28">
        <v>3</v>
      </c>
      <c r="AR112" s="18">
        <v>3</v>
      </c>
      <c r="AS112" s="19">
        <v>10</v>
      </c>
    </row>
    <row r="113" spans="1:45" x14ac:dyDescent="0.35">
      <c r="A113" s="71"/>
      <c r="B113" s="6">
        <v>9</v>
      </c>
      <c r="C113" s="7">
        <v>7</v>
      </c>
      <c r="D113" s="9"/>
      <c r="Q113" s="81"/>
      <c r="R113" s="23" t="s">
        <v>5</v>
      </c>
      <c r="S113" s="21">
        <v>55</v>
      </c>
      <c r="T113" s="24"/>
      <c r="V113" s="82" t="s">
        <v>6</v>
      </c>
      <c r="W113" s="23" t="s">
        <v>36</v>
      </c>
      <c r="X113" s="21">
        <v>97</v>
      </c>
      <c r="Y113" s="24"/>
      <c r="AA113" s="81"/>
      <c r="AB113" s="23" t="s">
        <v>5</v>
      </c>
      <c r="AC113" s="21">
        <v>74</v>
      </c>
      <c r="AD113" s="24"/>
      <c r="AF113" s="81"/>
      <c r="AG113" s="23" t="s">
        <v>5</v>
      </c>
      <c r="AH113" s="21">
        <v>69</v>
      </c>
      <c r="AI113" s="22">
        <v>100</v>
      </c>
      <c r="AK113" s="82" t="s">
        <v>6</v>
      </c>
      <c r="AL113" s="23" t="s">
        <v>36</v>
      </c>
      <c r="AM113" s="21">
        <v>99</v>
      </c>
      <c r="AN113" s="24"/>
      <c r="AP113" s="80"/>
      <c r="AQ113" s="20">
        <v>4</v>
      </c>
      <c r="AR113" s="21">
        <v>6</v>
      </c>
      <c r="AS113" s="22">
        <v>20</v>
      </c>
    </row>
    <row r="114" spans="1:45" ht="23" x14ac:dyDescent="0.35">
      <c r="A114" s="71"/>
      <c r="B114" s="6" t="s">
        <v>5</v>
      </c>
      <c r="C114" s="7">
        <v>115</v>
      </c>
      <c r="D114" s="9"/>
      <c r="Q114" s="83" t="s">
        <v>5</v>
      </c>
      <c r="R114" s="83"/>
      <c r="S114" s="25">
        <v>107</v>
      </c>
      <c r="T114" s="26"/>
      <c r="V114" s="80"/>
      <c r="W114" s="23" t="s">
        <v>37</v>
      </c>
      <c r="X114" s="21">
        <v>2</v>
      </c>
      <c r="Y114" s="24"/>
      <c r="AA114" s="83" t="s">
        <v>5</v>
      </c>
      <c r="AB114" s="83"/>
      <c r="AC114" s="25">
        <v>114</v>
      </c>
      <c r="AD114" s="26"/>
      <c r="AF114" s="82" t="s">
        <v>6</v>
      </c>
      <c r="AG114" s="23" t="s">
        <v>36</v>
      </c>
      <c r="AH114" s="21">
        <v>56</v>
      </c>
      <c r="AI114" s="24"/>
      <c r="AK114" s="80"/>
      <c r="AL114" s="23" t="s">
        <v>37</v>
      </c>
      <c r="AM114" s="21">
        <v>3</v>
      </c>
      <c r="AN114" s="24"/>
      <c r="AP114" s="80"/>
      <c r="AQ114" s="23" t="s">
        <v>35</v>
      </c>
      <c r="AR114" s="21">
        <v>21</v>
      </c>
      <c r="AS114" s="22">
        <v>70</v>
      </c>
    </row>
    <row r="115" spans="1:45" ht="23.5" thickBot="1" x14ac:dyDescent="0.4">
      <c r="A115" s="72" t="s">
        <v>5</v>
      </c>
      <c r="B115" s="73"/>
      <c r="C115" s="10">
        <v>174</v>
      </c>
      <c r="D115" s="11"/>
      <c r="Q115" s="27"/>
      <c r="R115" s="27"/>
      <c r="S115" s="27"/>
      <c r="T115" s="27"/>
      <c r="V115" s="81"/>
      <c r="W115" s="23" t="s">
        <v>5</v>
      </c>
      <c r="X115" s="21">
        <v>99</v>
      </c>
      <c r="Y115" s="24"/>
      <c r="AA115" s="27"/>
      <c r="AB115" s="27"/>
      <c r="AC115" s="27"/>
      <c r="AD115" s="27"/>
      <c r="AF115" s="80"/>
      <c r="AG115" s="23" t="s">
        <v>37</v>
      </c>
      <c r="AH115" s="21">
        <v>3</v>
      </c>
      <c r="AI115" s="24"/>
      <c r="AK115" s="81"/>
      <c r="AL115" s="23" t="s">
        <v>5</v>
      </c>
      <c r="AM115" s="21">
        <v>102</v>
      </c>
      <c r="AN115" s="24"/>
      <c r="AP115" s="81"/>
      <c r="AQ115" s="23" t="s">
        <v>5</v>
      </c>
      <c r="AR115" s="21">
        <v>30</v>
      </c>
      <c r="AS115" s="22">
        <v>100</v>
      </c>
    </row>
    <row r="116" spans="1:45" ht="28" customHeight="1" x14ac:dyDescent="0.35">
      <c r="Q116" s="77" t="s">
        <v>47</v>
      </c>
      <c r="R116" s="77"/>
      <c r="S116" s="77"/>
      <c r="T116" s="77"/>
      <c r="V116" s="83" t="s">
        <v>5</v>
      </c>
      <c r="W116" s="83"/>
      <c r="X116" s="25">
        <v>119</v>
      </c>
      <c r="Y116" s="26"/>
      <c r="AA116" s="77" t="s">
        <v>47</v>
      </c>
      <c r="AB116" s="77"/>
      <c r="AC116" s="77"/>
      <c r="AD116" s="77"/>
      <c r="AF116" s="81"/>
      <c r="AG116" s="23" t="s">
        <v>5</v>
      </c>
      <c r="AH116" s="21">
        <v>59</v>
      </c>
      <c r="AI116" s="24"/>
      <c r="AK116" s="83" t="s">
        <v>5</v>
      </c>
      <c r="AL116" s="83"/>
      <c r="AM116" s="25">
        <v>133</v>
      </c>
      <c r="AN116" s="26"/>
      <c r="AP116" s="23" t="s">
        <v>6</v>
      </c>
      <c r="AQ116" s="23" t="s">
        <v>36</v>
      </c>
      <c r="AR116" s="21">
        <v>83</v>
      </c>
      <c r="AS116" s="24"/>
    </row>
    <row r="117" spans="1:45" ht="24.5" thickBot="1" x14ac:dyDescent="0.4">
      <c r="A117" s="74" t="s">
        <v>18</v>
      </c>
      <c r="B117" s="74"/>
      <c r="C117" s="74"/>
      <c r="D117" s="74"/>
      <c r="Q117" s="78"/>
      <c r="R117" s="78"/>
      <c r="S117" s="15" t="s">
        <v>1</v>
      </c>
      <c r="T117" s="16" t="s">
        <v>2</v>
      </c>
      <c r="V117" s="27"/>
      <c r="W117" s="27"/>
      <c r="X117" s="27"/>
      <c r="Y117" s="27"/>
      <c r="AA117" s="78"/>
      <c r="AB117" s="78"/>
      <c r="AC117" s="15" t="s">
        <v>1</v>
      </c>
      <c r="AD117" s="16" t="s">
        <v>2</v>
      </c>
      <c r="AF117" s="83" t="s">
        <v>5</v>
      </c>
      <c r="AG117" s="83"/>
      <c r="AH117" s="25">
        <v>128</v>
      </c>
      <c r="AI117" s="26"/>
      <c r="AK117" s="27"/>
      <c r="AL117" s="27"/>
      <c r="AM117" s="27"/>
      <c r="AN117" s="27"/>
      <c r="AP117" s="83" t="s">
        <v>5</v>
      </c>
      <c r="AQ117" s="83"/>
      <c r="AR117" s="25">
        <v>113</v>
      </c>
      <c r="AS117" s="26"/>
    </row>
    <row r="118" spans="1:45" ht="28" customHeight="1" thickBot="1" x14ac:dyDescent="0.4">
      <c r="A118" s="68" t="s">
        <v>0</v>
      </c>
      <c r="B118" s="69"/>
      <c r="C118" s="1" t="s">
        <v>1</v>
      </c>
      <c r="D118" s="2" t="s">
        <v>2</v>
      </c>
      <c r="Q118" s="79" t="s">
        <v>3</v>
      </c>
      <c r="R118" s="17" t="s">
        <v>34</v>
      </c>
      <c r="S118" s="18">
        <v>2</v>
      </c>
      <c r="T118" s="19">
        <v>3.9</v>
      </c>
      <c r="V118" s="77" t="s">
        <v>47</v>
      </c>
      <c r="W118" s="77"/>
      <c r="X118" s="77"/>
      <c r="Y118" s="77"/>
      <c r="AA118" s="79" t="s">
        <v>3</v>
      </c>
      <c r="AB118" s="17" t="s">
        <v>34</v>
      </c>
      <c r="AC118" s="18">
        <v>3</v>
      </c>
      <c r="AD118" s="19">
        <v>7.7</v>
      </c>
      <c r="AF118" s="27"/>
      <c r="AG118" s="27"/>
      <c r="AH118" s="27"/>
      <c r="AI118" s="27"/>
      <c r="AK118" s="77" t="s">
        <v>47</v>
      </c>
      <c r="AL118" s="77"/>
      <c r="AM118" s="77"/>
      <c r="AN118" s="77"/>
      <c r="AP118" s="27"/>
      <c r="AQ118" s="27"/>
      <c r="AR118" s="27"/>
      <c r="AS118" s="27"/>
    </row>
    <row r="119" spans="1:45" ht="28" customHeight="1" x14ac:dyDescent="0.35">
      <c r="A119" s="70" t="s">
        <v>3</v>
      </c>
      <c r="B119" s="3" t="s">
        <v>9</v>
      </c>
      <c r="C119" s="4">
        <v>2</v>
      </c>
      <c r="D119" s="5">
        <v>3.4</v>
      </c>
      <c r="Q119" s="80"/>
      <c r="R119" s="20">
        <v>2</v>
      </c>
      <c r="S119" s="21">
        <v>7</v>
      </c>
      <c r="T119" s="22">
        <v>13.7</v>
      </c>
      <c r="V119" s="78"/>
      <c r="W119" s="78"/>
      <c r="X119" s="15" t="s">
        <v>1</v>
      </c>
      <c r="Y119" s="16" t="s">
        <v>2</v>
      </c>
      <c r="AA119" s="80"/>
      <c r="AB119" s="20">
        <v>2</v>
      </c>
      <c r="AC119" s="21">
        <v>3</v>
      </c>
      <c r="AD119" s="22">
        <v>7.7</v>
      </c>
      <c r="AF119" s="77" t="s">
        <v>47</v>
      </c>
      <c r="AG119" s="77"/>
      <c r="AH119" s="77"/>
      <c r="AI119" s="77"/>
      <c r="AK119" s="78"/>
      <c r="AL119" s="78"/>
      <c r="AM119" s="15" t="s">
        <v>1</v>
      </c>
      <c r="AN119" s="16" t="s">
        <v>2</v>
      </c>
      <c r="AP119" s="77" t="s">
        <v>49</v>
      </c>
      <c r="AQ119" s="77"/>
      <c r="AR119" s="77"/>
      <c r="AS119" s="77"/>
    </row>
    <row r="120" spans="1:45" ht="24" x14ac:dyDescent="0.35">
      <c r="A120" s="71"/>
      <c r="B120" s="6">
        <v>2</v>
      </c>
      <c r="C120" s="7">
        <v>3</v>
      </c>
      <c r="D120" s="8">
        <v>5.0999999999999996</v>
      </c>
      <c r="Q120" s="80"/>
      <c r="R120" s="20">
        <v>3</v>
      </c>
      <c r="S120" s="21">
        <v>13</v>
      </c>
      <c r="T120" s="22">
        <v>25.5</v>
      </c>
      <c r="V120" s="79" t="s">
        <v>3</v>
      </c>
      <c r="W120" s="28">
        <v>2</v>
      </c>
      <c r="X120" s="18">
        <v>1</v>
      </c>
      <c r="Y120" s="19">
        <v>5</v>
      </c>
      <c r="AA120" s="80"/>
      <c r="AB120" s="20">
        <v>3</v>
      </c>
      <c r="AC120" s="21">
        <v>13</v>
      </c>
      <c r="AD120" s="22">
        <v>33.299999999999997</v>
      </c>
      <c r="AF120" s="78"/>
      <c r="AG120" s="78"/>
      <c r="AH120" s="15" t="s">
        <v>1</v>
      </c>
      <c r="AI120" s="16" t="s">
        <v>2</v>
      </c>
      <c r="AK120" s="79" t="s">
        <v>3</v>
      </c>
      <c r="AL120" s="17" t="s">
        <v>34</v>
      </c>
      <c r="AM120" s="18">
        <v>3</v>
      </c>
      <c r="AN120" s="19">
        <v>10</v>
      </c>
      <c r="AP120" s="78"/>
      <c r="AQ120" s="78"/>
      <c r="AR120" s="15" t="s">
        <v>1</v>
      </c>
      <c r="AS120" s="16" t="s">
        <v>2</v>
      </c>
    </row>
    <row r="121" spans="1:45" ht="23" x14ac:dyDescent="0.35">
      <c r="A121" s="71"/>
      <c r="B121" s="6">
        <v>3</v>
      </c>
      <c r="C121" s="7">
        <v>13</v>
      </c>
      <c r="D121" s="8">
        <v>22</v>
      </c>
      <c r="Q121" s="80"/>
      <c r="R121" s="20">
        <v>4</v>
      </c>
      <c r="S121" s="21">
        <v>15</v>
      </c>
      <c r="T121" s="22">
        <v>29.4</v>
      </c>
      <c r="V121" s="80"/>
      <c r="W121" s="20">
        <v>3</v>
      </c>
      <c r="X121" s="21">
        <v>6</v>
      </c>
      <c r="Y121" s="22">
        <v>30</v>
      </c>
      <c r="AA121" s="80"/>
      <c r="AB121" s="20">
        <v>4</v>
      </c>
      <c r="AC121" s="21">
        <v>9</v>
      </c>
      <c r="AD121" s="22">
        <v>23.1</v>
      </c>
      <c r="AF121" s="79" t="s">
        <v>3</v>
      </c>
      <c r="AG121" s="17" t="s">
        <v>34</v>
      </c>
      <c r="AH121" s="18">
        <v>3</v>
      </c>
      <c r="AI121" s="19">
        <v>4.4000000000000004</v>
      </c>
      <c r="AK121" s="80"/>
      <c r="AL121" s="20">
        <v>2</v>
      </c>
      <c r="AM121" s="21">
        <v>3</v>
      </c>
      <c r="AN121" s="22">
        <v>10</v>
      </c>
      <c r="AP121" s="79" t="s">
        <v>3</v>
      </c>
      <c r="AQ121" s="17" t="s">
        <v>34</v>
      </c>
      <c r="AR121" s="18">
        <v>3</v>
      </c>
      <c r="AS121" s="19">
        <v>10</v>
      </c>
    </row>
    <row r="122" spans="1:45" ht="23" x14ac:dyDescent="0.35">
      <c r="A122" s="71"/>
      <c r="B122" s="6">
        <v>4</v>
      </c>
      <c r="C122" s="7">
        <v>22</v>
      </c>
      <c r="D122" s="8">
        <v>37.299999999999997</v>
      </c>
      <c r="Q122" s="80"/>
      <c r="R122" s="23" t="s">
        <v>35</v>
      </c>
      <c r="S122" s="21">
        <v>14</v>
      </c>
      <c r="T122" s="22">
        <v>27.5</v>
      </c>
      <c r="V122" s="80"/>
      <c r="W122" s="20">
        <v>4</v>
      </c>
      <c r="X122" s="21">
        <v>4</v>
      </c>
      <c r="Y122" s="22">
        <v>20</v>
      </c>
      <c r="AA122" s="80"/>
      <c r="AB122" s="23" t="s">
        <v>35</v>
      </c>
      <c r="AC122" s="21">
        <v>11</v>
      </c>
      <c r="AD122" s="22">
        <v>28.2</v>
      </c>
      <c r="AF122" s="80"/>
      <c r="AG122" s="20">
        <v>2</v>
      </c>
      <c r="AH122" s="21">
        <v>4</v>
      </c>
      <c r="AI122" s="22">
        <v>5.9</v>
      </c>
      <c r="AK122" s="80"/>
      <c r="AL122" s="20">
        <v>3</v>
      </c>
      <c r="AM122" s="21">
        <v>4</v>
      </c>
      <c r="AN122" s="22">
        <v>13.3</v>
      </c>
      <c r="AP122" s="80"/>
      <c r="AQ122" s="20">
        <v>2</v>
      </c>
      <c r="AR122" s="21">
        <v>8</v>
      </c>
      <c r="AS122" s="22">
        <v>26.7</v>
      </c>
    </row>
    <row r="123" spans="1:45" ht="23" x14ac:dyDescent="0.35">
      <c r="A123" s="71"/>
      <c r="B123" s="6" t="s">
        <v>4</v>
      </c>
      <c r="C123" s="7">
        <v>19</v>
      </c>
      <c r="D123" s="8">
        <v>32.200000000000003</v>
      </c>
      <c r="Q123" s="81"/>
      <c r="R123" s="23" t="s">
        <v>5</v>
      </c>
      <c r="S123" s="21">
        <v>51</v>
      </c>
      <c r="T123" s="22">
        <v>100</v>
      </c>
      <c r="V123" s="80"/>
      <c r="W123" s="23" t="s">
        <v>35</v>
      </c>
      <c r="X123" s="21">
        <v>9</v>
      </c>
      <c r="Y123" s="22">
        <v>45</v>
      </c>
      <c r="AA123" s="81"/>
      <c r="AB123" s="23" t="s">
        <v>5</v>
      </c>
      <c r="AC123" s="21">
        <v>39</v>
      </c>
      <c r="AD123" s="22">
        <v>100</v>
      </c>
      <c r="AF123" s="80"/>
      <c r="AG123" s="20">
        <v>3</v>
      </c>
      <c r="AH123" s="21">
        <v>14</v>
      </c>
      <c r="AI123" s="22">
        <v>20.6</v>
      </c>
      <c r="AK123" s="80"/>
      <c r="AL123" s="20">
        <v>4</v>
      </c>
      <c r="AM123" s="21">
        <v>15</v>
      </c>
      <c r="AN123" s="22">
        <v>50</v>
      </c>
      <c r="AP123" s="80"/>
      <c r="AQ123" s="20">
        <v>3</v>
      </c>
      <c r="AR123" s="21">
        <v>9</v>
      </c>
      <c r="AS123" s="22">
        <v>30</v>
      </c>
    </row>
    <row r="124" spans="1:45" ht="23" x14ac:dyDescent="0.35">
      <c r="A124" s="71"/>
      <c r="B124" s="6" t="s">
        <v>5</v>
      </c>
      <c r="C124" s="7">
        <v>59</v>
      </c>
      <c r="D124" s="8">
        <v>100</v>
      </c>
      <c r="Q124" s="82" t="s">
        <v>6</v>
      </c>
      <c r="R124" s="23" t="s">
        <v>36</v>
      </c>
      <c r="S124" s="21">
        <v>52</v>
      </c>
      <c r="T124" s="24"/>
      <c r="V124" s="81"/>
      <c r="W124" s="23" t="s">
        <v>5</v>
      </c>
      <c r="X124" s="21">
        <v>20</v>
      </c>
      <c r="Y124" s="22">
        <v>100</v>
      </c>
      <c r="AA124" s="82" t="s">
        <v>6</v>
      </c>
      <c r="AB124" s="23" t="s">
        <v>36</v>
      </c>
      <c r="AC124" s="21">
        <v>73</v>
      </c>
      <c r="AD124" s="24"/>
      <c r="AF124" s="80"/>
      <c r="AG124" s="20">
        <v>4</v>
      </c>
      <c r="AH124" s="21">
        <v>19</v>
      </c>
      <c r="AI124" s="22">
        <v>27.9</v>
      </c>
      <c r="AK124" s="80"/>
      <c r="AL124" s="23" t="s">
        <v>35</v>
      </c>
      <c r="AM124" s="21">
        <v>5</v>
      </c>
      <c r="AN124" s="22">
        <v>16.7</v>
      </c>
      <c r="AP124" s="80"/>
      <c r="AQ124" s="20">
        <v>4</v>
      </c>
      <c r="AR124" s="21">
        <v>6</v>
      </c>
      <c r="AS124" s="22">
        <v>20</v>
      </c>
    </row>
    <row r="125" spans="1:45" ht="23" x14ac:dyDescent="0.35">
      <c r="A125" s="71" t="s">
        <v>6</v>
      </c>
      <c r="B125" s="6">
        <v>8</v>
      </c>
      <c r="C125" s="7">
        <v>108</v>
      </c>
      <c r="D125" s="9"/>
      <c r="Q125" s="80"/>
      <c r="R125" s="23" t="s">
        <v>37</v>
      </c>
      <c r="S125" s="21">
        <v>4</v>
      </c>
      <c r="T125" s="24"/>
      <c r="V125" s="82" t="s">
        <v>6</v>
      </c>
      <c r="W125" s="23" t="s">
        <v>36</v>
      </c>
      <c r="X125" s="21">
        <v>97</v>
      </c>
      <c r="Y125" s="24"/>
      <c r="AA125" s="80"/>
      <c r="AB125" s="23" t="s">
        <v>37</v>
      </c>
      <c r="AC125" s="21">
        <v>2</v>
      </c>
      <c r="AD125" s="24"/>
      <c r="AF125" s="80"/>
      <c r="AG125" s="23" t="s">
        <v>35</v>
      </c>
      <c r="AH125" s="21">
        <v>28</v>
      </c>
      <c r="AI125" s="22">
        <v>41.2</v>
      </c>
      <c r="AK125" s="81"/>
      <c r="AL125" s="23" t="s">
        <v>5</v>
      </c>
      <c r="AM125" s="21">
        <v>30</v>
      </c>
      <c r="AN125" s="22">
        <v>100</v>
      </c>
      <c r="AP125" s="80"/>
      <c r="AQ125" s="23" t="s">
        <v>35</v>
      </c>
      <c r="AR125" s="21">
        <v>4</v>
      </c>
      <c r="AS125" s="22">
        <v>13.3</v>
      </c>
    </row>
    <row r="126" spans="1:45" ht="23" x14ac:dyDescent="0.35">
      <c r="A126" s="71"/>
      <c r="B126" s="6">
        <v>9</v>
      </c>
      <c r="C126" s="7">
        <v>7</v>
      </c>
      <c r="D126" s="9"/>
      <c r="Q126" s="81"/>
      <c r="R126" s="23" t="s">
        <v>5</v>
      </c>
      <c r="S126" s="21">
        <v>56</v>
      </c>
      <c r="T126" s="24"/>
      <c r="V126" s="80"/>
      <c r="W126" s="23" t="s">
        <v>37</v>
      </c>
      <c r="X126" s="21">
        <v>2</v>
      </c>
      <c r="Y126" s="24"/>
      <c r="AA126" s="81"/>
      <c r="AB126" s="23" t="s">
        <v>5</v>
      </c>
      <c r="AC126" s="21">
        <v>75</v>
      </c>
      <c r="AD126" s="24"/>
      <c r="AF126" s="81"/>
      <c r="AG126" s="23" t="s">
        <v>5</v>
      </c>
      <c r="AH126" s="21">
        <v>68</v>
      </c>
      <c r="AI126" s="22">
        <v>100</v>
      </c>
      <c r="AK126" s="82" t="s">
        <v>6</v>
      </c>
      <c r="AL126" s="23" t="s">
        <v>36</v>
      </c>
      <c r="AM126" s="21">
        <v>99</v>
      </c>
      <c r="AN126" s="24"/>
      <c r="AP126" s="81"/>
      <c r="AQ126" s="23" t="s">
        <v>5</v>
      </c>
      <c r="AR126" s="21">
        <v>30</v>
      </c>
      <c r="AS126" s="22">
        <v>100</v>
      </c>
    </row>
    <row r="127" spans="1:45" ht="23" x14ac:dyDescent="0.35">
      <c r="A127" s="71"/>
      <c r="B127" s="6" t="s">
        <v>5</v>
      </c>
      <c r="C127" s="7">
        <v>115</v>
      </c>
      <c r="D127" s="9"/>
      <c r="Q127" s="83" t="s">
        <v>5</v>
      </c>
      <c r="R127" s="83"/>
      <c r="S127" s="25">
        <v>107</v>
      </c>
      <c r="T127" s="26"/>
      <c r="V127" s="81"/>
      <c r="W127" s="23" t="s">
        <v>5</v>
      </c>
      <c r="X127" s="21">
        <v>99</v>
      </c>
      <c r="Y127" s="24"/>
      <c r="AA127" s="83" t="s">
        <v>5</v>
      </c>
      <c r="AB127" s="83"/>
      <c r="AC127" s="25">
        <v>114</v>
      </c>
      <c r="AD127" s="26"/>
      <c r="AF127" s="82" t="s">
        <v>6</v>
      </c>
      <c r="AG127" s="23" t="s">
        <v>36</v>
      </c>
      <c r="AH127" s="21">
        <v>56</v>
      </c>
      <c r="AI127" s="24"/>
      <c r="AK127" s="80"/>
      <c r="AL127" s="23" t="s">
        <v>37</v>
      </c>
      <c r="AM127" s="21">
        <v>4</v>
      </c>
      <c r="AN127" s="24"/>
      <c r="AP127" s="23" t="s">
        <v>6</v>
      </c>
      <c r="AQ127" s="23" t="s">
        <v>36</v>
      </c>
      <c r="AR127" s="21">
        <v>83</v>
      </c>
      <c r="AS127" s="24"/>
    </row>
    <row r="128" spans="1:45" ht="23.5" thickBot="1" x14ac:dyDescent="0.4">
      <c r="A128" s="72" t="s">
        <v>5</v>
      </c>
      <c r="B128" s="73"/>
      <c r="C128" s="10">
        <v>174</v>
      </c>
      <c r="D128" s="11"/>
      <c r="Q128" s="27"/>
      <c r="R128" s="27"/>
      <c r="S128" s="27"/>
      <c r="T128" s="27"/>
      <c r="V128" s="83" t="s">
        <v>5</v>
      </c>
      <c r="W128" s="83"/>
      <c r="X128" s="25">
        <v>119</v>
      </c>
      <c r="Y128" s="26"/>
      <c r="AA128" s="27"/>
      <c r="AB128" s="27"/>
      <c r="AC128" s="27"/>
      <c r="AD128" s="27"/>
      <c r="AF128" s="80"/>
      <c r="AG128" s="23" t="s">
        <v>37</v>
      </c>
      <c r="AH128" s="21">
        <v>4</v>
      </c>
      <c r="AI128" s="24"/>
      <c r="AK128" s="81"/>
      <c r="AL128" s="23" t="s">
        <v>5</v>
      </c>
      <c r="AM128" s="21">
        <v>103</v>
      </c>
      <c r="AN128" s="24"/>
      <c r="AP128" s="83" t="s">
        <v>5</v>
      </c>
      <c r="AQ128" s="83"/>
      <c r="AR128" s="25">
        <v>113</v>
      </c>
      <c r="AS128" s="26"/>
    </row>
    <row r="129" spans="1:45" x14ac:dyDescent="0.35">
      <c r="Q129" s="77" t="s">
        <v>48</v>
      </c>
      <c r="R129" s="77"/>
      <c r="S129" s="77"/>
      <c r="T129" s="77"/>
      <c r="V129" s="27"/>
      <c r="W129" s="27"/>
      <c r="X129" s="27"/>
      <c r="Y129" s="27"/>
      <c r="AA129" s="77" t="s">
        <v>48</v>
      </c>
      <c r="AB129" s="77"/>
      <c r="AC129" s="77"/>
      <c r="AD129" s="77"/>
      <c r="AF129" s="81"/>
      <c r="AG129" s="23" t="s">
        <v>5</v>
      </c>
      <c r="AH129" s="21">
        <v>60</v>
      </c>
      <c r="AI129" s="24"/>
      <c r="AK129" s="83" t="s">
        <v>5</v>
      </c>
      <c r="AL129" s="83"/>
      <c r="AM129" s="25">
        <v>133</v>
      </c>
      <c r="AN129" s="26"/>
      <c r="AP129" s="27"/>
      <c r="AQ129" s="27"/>
      <c r="AR129" s="27"/>
      <c r="AS129" s="27"/>
    </row>
    <row r="130" spans="1:45" ht="24.5" thickBot="1" x14ac:dyDescent="0.4">
      <c r="A130" s="74" t="s">
        <v>19</v>
      </c>
      <c r="B130" s="74"/>
      <c r="C130" s="74"/>
      <c r="D130" s="74"/>
      <c r="Q130" s="78"/>
      <c r="R130" s="78"/>
      <c r="S130" s="15" t="s">
        <v>1</v>
      </c>
      <c r="T130" s="16" t="s">
        <v>2</v>
      </c>
      <c r="V130" s="77" t="s">
        <v>48</v>
      </c>
      <c r="W130" s="77"/>
      <c r="X130" s="77"/>
      <c r="Y130" s="77"/>
      <c r="AA130" s="78"/>
      <c r="AB130" s="78"/>
      <c r="AC130" s="15" t="s">
        <v>1</v>
      </c>
      <c r="AD130" s="16" t="s">
        <v>2</v>
      </c>
      <c r="AF130" s="83" t="s">
        <v>5</v>
      </c>
      <c r="AG130" s="83"/>
      <c r="AH130" s="25">
        <v>128</v>
      </c>
      <c r="AI130" s="26"/>
      <c r="AK130" s="27"/>
      <c r="AL130" s="27"/>
      <c r="AM130" s="27"/>
      <c r="AN130" s="27"/>
      <c r="AP130" s="77" t="s">
        <v>50</v>
      </c>
      <c r="AQ130" s="77"/>
      <c r="AR130" s="77"/>
      <c r="AS130" s="77"/>
    </row>
    <row r="131" spans="1:45" ht="24.5" thickBot="1" x14ac:dyDescent="0.4">
      <c r="A131" s="68" t="s">
        <v>0</v>
      </c>
      <c r="B131" s="69"/>
      <c r="C131" s="1" t="s">
        <v>1</v>
      </c>
      <c r="D131" s="2" t="s">
        <v>2</v>
      </c>
      <c r="Q131" s="79" t="s">
        <v>3</v>
      </c>
      <c r="R131" s="28">
        <v>3</v>
      </c>
      <c r="S131" s="18">
        <v>6</v>
      </c>
      <c r="T131" s="19">
        <v>11.3</v>
      </c>
      <c r="V131" s="78"/>
      <c r="W131" s="78"/>
      <c r="X131" s="15" t="s">
        <v>1</v>
      </c>
      <c r="Y131" s="16" t="s">
        <v>2</v>
      </c>
      <c r="AA131" s="79" t="s">
        <v>3</v>
      </c>
      <c r="AB131" s="17" t="s">
        <v>34</v>
      </c>
      <c r="AC131" s="18">
        <v>1</v>
      </c>
      <c r="AD131" s="19">
        <v>2.4</v>
      </c>
      <c r="AF131" s="27"/>
      <c r="AG131" s="27"/>
      <c r="AH131" s="27"/>
      <c r="AI131" s="27"/>
      <c r="AK131" s="77" t="s">
        <v>48</v>
      </c>
      <c r="AL131" s="77"/>
      <c r="AM131" s="77"/>
      <c r="AN131" s="77"/>
      <c r="AP131" s="78"/>
      <c r="AQ131" s="78"/>
      <c r="AR131" s="15" t="s">
        <v>1</v>
      </c>
      <c r="AS131" s="16" t="s">
        <v>2</v>
      </c>
    </row>
    <row r="132" spans="1:45" ht="24" x14ac:dyDescent="0.35">
      <c r="A132" s="70" t="s">
        <v>3</v>
      </c>
      <c r="B132" s="3">
        <v>3</v>
      </c>
      <c r="C132" s="4">
        <v>3</v>
      </c>
      <c r="D132" s="5">
        <v>4.9000000000000004</v>
      </c>
      <c r="Q132" s="80"/>
      <c r="R132" s="20">
        <v>4</v>
      </c>
      <c r="S132" s="21">
        <v>17</v>
      </c>
      <c r="T132" s="22">
        <v>32.1</v>
      </c>
      <c r="V132" s="79" t="s">
        <v>3</v>
      </c>
      <c r="W132" s="17" t="s">
        <v>34</v>
      </c>
      <c r="X132" s="18">
        <v>1</v>
      </c>
      <c r="Y132" s="19">
        <v>5</v>
      </c>
      <c r="AA132" s="80"/>
      <c r="AB132" s="20">
        <v>3</v>
      </c>
      <c r="AC132" s="21">
        <v>4</v>
      </c>
      <c r="AD132" s="22">
        <v>9.8000000000000007</v>
      </c>
      <c r="AF132" s="77" t="s">
        <v>48</v>
      </c>
      <c r="AG132" s="77"/>
      <c r="AH132" s="77"/>
      <c r="AI132" s="77"/>
      <c r="AK132" s="78"/>
      <c r="AL132" s="78"/>
      <c r="AM132" s="15" t="s">
        <v>1</v>
      </c>
      <c r="AN132" s="16" t="s">
        <v>2</v>
      </c>
      <c r="AP132" s="79" t="s">
        <v>3</v>
      </c>
      <c r="AQ132" s="17" t="s">
        <v>34</v>
      </c>
      <c r="AR132" s="18">
        <v>1</v>
      </c>
      <c r="AS132" s="19">
        <v>3.3</v>
      </c>
    </row>
    <row r="133" spans="1:45" ht="24" x14ac:dyDescent="0.35">
      <c r="A133" s="71"/>
      <c r="B133" s="6">
        <v>4</v>
      </c>
      <c r="C133" s="7">
        <v>22</v>
      </c>
      <c r="D133" s="8">
        <v>36.1</v>
      </c>
      <c r="Q133" s="80"/>
      <c r="R133" s="23" t="s">
        <v>35</v>
      </c>
      <c r="S133" s="21">
        <v>30</v>
      </c>
      <c r="T133" s="22">
        <v>56.6</v>
      </c>
      <c r="V133" s="80"/>
      <c r="W133" s="20">
        <v>2</v>
      </c>
      <c r="X133" s="21">
        <v>1</v>
      </c>
      <c r="Y133" s="22">
        <v>5</v>
      </c>
      <c r="AA133" s="80"/>
      <c r="AB133" s="20">
        <v>4</v>
      </c>
      <c r="AC133" s="21">
        <v>10</v>
      </c>
      <c r="AD133" s="22">
        <v>24.4</v>
      </c>
      <c r="AF133" s="78"/>
      <c r="AG133" s="78"/>
      <c r="AH133" s="15" t="s">
        <v>1</v>
      </c>
      <c r="AI133" s="16" t="s">
        <v>2</v>
      </c>
      <c r="AK133" s="79" t="s">
        <v>3</v>
      </c>
      <c r="AL133" s="17" t="s">
        <v>34</v>
      </c>
      <c r="AM133" s="18">
        <v>2</v>
      </c>
      <c r="AN133" s="19">
        <v>6.5</v>
      </c>
      <c r="AP133" s="80"/>
      <c r="AQ133" s="20">
        <v>2</v>
      </c>
      <c r="AR133" s="21">
        <v>5</v>
      </c>
      <c r="AS133" s="22">
        <v>16.7</v>
      </c>
    </row>
    <row r="134" spans="1:45" ht="23" x14ac:dyDescent="0.35">
      <c r="A134" s="71"/>
      <c r="B134" s="6" t="s">
        <v>4</v>
      </c>
      <c r="C134" s="7">
        <v>36</v>
      </c>
      <c r="D134" s="8">
        <v>59</v>
      </c>
      <c r="Q134" s="81"/>
      <c r="R134" s="23" t="s">
        <v>5</v>
      </c>
      <c r="S134" s="21">
        <v>53</v>
      </c>
      <c r="T134" s="22">
        <v>100</v>
      </c>
      <c r="V134" s="80"/>
      <c r="W134" s="20">
        <v>3</v>
      </c>
      <c r="X134" s="21">
        <v>2</v>
      </c>
      <c r="Y134" s="22">
        <v>10</v>
      </c>
      <c r="AA134" s="80"/>
      <c r="AB134" s="23" t="s">
        <v>35</v>
      </c>
      <c r="AC134" s="21">
        <v>26</v>
      </c>
      <c r="AD134" s="22">
        <v>63.4</v>
      </c>
      <c r="AF134" s="79" t="s">
        <v>3</v>
      </c>
      <c r="AG134" s="17" t="s">
        <v>34</v>
      </c>
      <c r="AH134" s="18">
        <v>1</v>
      </c>
      <c r="AI134" s="19">
        <v>1.4</v>
      </c>
      <c r="AK134" s="80"/>
      <c r="AL134" s="20">
        <v>3</v>
      </c>
      <c r="AM134" s="21">
        <v>1</v>
      </c>
      <c r="AN134" s="22">
        <v>3.2</v>
      </c>
      <c r="AP134" s="80"/>
      <c r="AQ134" s="20">
        <v>3</v>
      </c>
      <c r="AR134" s="21">
        <v>6</v>
      </c>
      <c r="AS134" s="22">
        <v>20</v>
      </c>
    </row>
    <row r="135" spans="1:45" x14ac:dyDescent="0.35">
      <c r="A135" s="71"/>
      <c r="B135" s="6" t="s">
        <v>5</v>
      </c>
      <c r="C135" s="7">
        <v>61</v>
      </c>
      <c r="D135" s="8">
        <v>100</v>
      </c>
      <c r="Q135" s="82" t="s">
        <v>6</v>
      </c>
      <c r="R135" s="23" t="s">
        <v>36</v>
      </c>
      <c r="S135" s="21">
        <v>52</v>
      </c>
      <c r="T135" s="24"/>
      <c r="V135" s="80"/>
      <c r="W135" s="20">
        <v>4</v>
      </c>
      <c r="X135" s="21">
        <v>3</v>
      </c>
      <c r="Y135" s="22">
        <v>15</v>
      </c>
      <c r="AA135" s="81"/>
      <c r="AB135" s="23" t="s">
        <v>5</v>
      </c>
      <c r="AC135" s="21">
        <v>41</v>
      </c>
      <c r="AD135" s="22">
        <v>100</v>
      </c>
      <c r="AF135" s="80"/>
      <c r="AG135" s="20">
        <v>3</v>
      </c>
      <c r="AH135" s="21">
        <v>1</v>
      </c>
      <c r="AI135" s="22">
        <v>1.4</v>
      </c>
      <c r="AK135" s="80"/>
      <c r="AL135" s="20">
        <v>4</v>
      </c>
      <c r="AM135" s="21">
        <v>8</v>
      </c>
      <c r="AN135" s="22">
        <v>25.8</v>
      </c>
      <c r="AP135" s="80"/>
      <c r="AQ135" s="20">
        <v>4</v>
      </c>
      <c r="AR135" s="21">
        <v>11</v>
      </c>
      <c r="AS135" s="22">
        <v>36.700000000000003</v>
      </c>
    </row>
    <row r="136" spans="1:45" ht="23" x14ac:dyDescent="0.35">
      <c r="A136" s="71" t="s">
        <v>6</v>
      </c>
      <c r="B136" s="6">
        <v>8</v>
      </c>
      <c r="C136" s="7">
        <v>108</v>
      </c>
      <c r="D136" s="9"/>
      <c r="Q136" s="80"/>
      <c r="R136" s="23" t="s">
        <v>37</v>
      </c>
      <c r="S136" s="21">
        <v>2</v>
      </c>
      <c r="T136" s="24"/>
      <c r="V136" s="80"/>
      <c r="W136" s="23" t="s">
        <v>35</v>
      </c>
      <c r="X136" s="21">
        <v>13</v>
      </c>
      <c r="Y136" s="22">
        <v>65</v>
      </c>
      <c r="AA136" s="23" t="s">
        <v>6</v>
      </c>
      <c r="AB136" s="23" t="s">
        <v>36</v>
      </c>
      <c r="AC136" s="21">
        <v>73</v>
      </c>
      <c r="AD136" s="24"/>
      <c r="AF136" s="80"/>
      <c r="AG136" s="20">
        <v>4</v>
      </c>
      <c r="AH136" s="21">
        <v>17</v>
      </c>
      <c r="AI136" s="22">
        <v>23.9</v>
      </c>
      <c r="AK136" s="80"/>
      <c r="AL136" s="23" t="s">
        <v>35</v>
      </c>
      <c r="AM136" s="21">
        <v>20</v>
      </c>
      <c r="AN136" s="22">
        <v>64.5</v>
      </c>
      <c r="AP136" s="80"/>
      <c r="AQ136" s="23" t="s">
        <v>35</v>
      </c>
      <c r="AR136" s="21">
        <v>7</v>
      </c>
      <c r="AS136" s="22">
        <v>23.3</v>
      </c>
    </row>
    <row r="137" spans="1:45" ht="23" x14ac:dyDescent="0.35">
      <c r="A137" s="71"/>
      <c r="B137" s="6">
        <v>9</v>
      </c>
      <c r="C137" s="7">
        <v>5</v>
      </c>
      <c r="D137" s="9"/>
      <c r="Q137" s="81"/>
      <c r="R137" s="23" t="s">
        <v>5</v>
      </c>
      <c r="S137" s="21">
        <v>54</v>
      </c>
      <c r="T137" s="24"/>
      <c r="V137" s="81"/>
      <c r="W137" s="23" t="s">
        <v>5</v>
      </c>
      <c r="X137" s="21">
        <v>20</v>
      </c>
      <c r="Y137" s="22">
        <v>100</v>
      </c>
      <c r="AA137" s="83" t="s">
        <v>5</v>
      </c>
      <c r="AB137" s="83"/>
      <c r="AC137" s="25">
        <v>114</v>
      </c>
      <c r="AD137" s="26"/>
      <c r="AF137" s="80"/>
      <c r="AG137" s="23" t="s">
        <v>35</v>
      </c>
      <c r="AH137" s="21">
        <v>52</v>
      </c>
      <c r="AI137" s="22">
        <v>73.2</v>
      </c>
      <c r="AK137" s="81"/>
      <c r="AL137" s="23" t="s">
        <v>5</v>
      </c>
      <c r="AM137" s="21">
        <v>31</v>
      </c>
      <c r="AN137" s="22">
        <v>100</v>
      </c>
      <c r="AP137" s="81"/>
      <c r="AQ137" s="23" t="s">
        <v>5</v>
      </c>
      <c r="AR137" s="21">
        <v>30</v>
      </c>
      <c r="AS137" s="22">
        <v>100</v>
      </c>
    </row>
    <row r="138" spans="1:45" x14ac:dyDescent="0.35">
      <c r="A138" s="71"/>
      <c r="B138" s="6" t="s">
        <v>5</v>
      </c>
      <c r="C138" s="7">
        <v>113</v>
      </c>
      <c r="D138" s="9"/>
      <c r="Q138" s="83" t="s">
        <v>5</v>
      </c>
      <c r="R138" s="83"/>
      <c r="S138" s="25">
        <v>107</v>
      </c>
      <c r="T138" s="26"/>
      <c r="V138" s="82" t="s">
        <v>6</v>
      </c>
      <c r="W138" s="23" t="s">
        <v>36</v>
      </c>
      <c r="X138" s="21">
        <v>97</v>
      </c>
      <c r="Y138" s="24"/>
      <c r="AA138" s="27"/>
      <c r="AB138" s="27"/>
      <c r="AC138" s="27"/>
      <c r="AD138" s="27"/>
      <c r="AF138" s="81"/>
      <c r="AG138" s="23" t="s">
        <v>5</v>
      </c>
      <c r="AH138" s="21">
        <v>71</v>
      </c>
      <c r="AI138" s="22">
        <v>100</v>
      </c>
      <c r="AK138" s="82" t="s">
        <v>6</v>
      </c>
      <c r="AL138" s="23" t="s">
        <v>36</v>
      </c>
      <c r="AM138" s="21">
        <v>99</v>
      </c>
      <c r="AN138" s="24"/>
      <c r="AP138" s="23" t="s">
        <v>6</v>
      </c>
      <c r="AQ138" s="23" t="s">
        <v>36</v>
      </c>
      <c r="AR138" s="21">
        <v>83</v>
      </c>
      <c r="AS138" s="24"/>
    </row>
    <row r="139" spans="1:45" ht="23.5" thickBot="1" x14ac:dyDescent="0.4">
      <c r="A139" s="72" t="s">
        <v>5</v>
      </c>
      <c r="B139" s="73"/>
      <c r="C139" s="10">
        <v>174</v>
      </c>
      <c r="D139" s="11"/>
      <c r="Q139" s="27"/>
      <c r="R139" s="27"/>
      <c r="S139" s="27"/>
      <c r="T139" s="27"/>
      <c r="V139" s="80"/>
      <c r="W139" s="23" t="s">
        <v>37</v>
      </c>
      <c r="X139" s="21">
        <v>2</v>
      </c>
      <c r="Y139" s="24"/>
      <c r="AA139" s="77" t="s">
        <v>49</v>
      </c>
      <c r="AB139" s="77"/>
      <c r="AC139" s="77"/>
      <c r="AD139" s="77"/>
      <c r="AF139" s="82" t="s">
        <v>6</v>
      </c>
      <c r="AG139" s="23" t="s">
        <v>36</v>
      </c>
      <c r="AH139" s="21">
        <v>56</v>
      </c>
      <c r="AI139" s="24"/>
      <c r="AK139" s="80"/>
      <c r="AL139" s="23" t="s">
        <v>37</v>
      </c>
      <c r="AM139" s="21">
        <v>3</v>
      </c>
      <c r="AN139" s="24"/>
      <c r="AP139" s="83" t="s">
        <v>5</v>
      </c>
      <c r="AQ139" s="83"/>
      <c r="AR139" s="25">
        <v>113</v>
      </c>
      <c r="AS139" s="26"/>
    </row>
    <row r="140" spans="1:45" ht="24" x14ac:dyDescent="0.35">
      <c r="Q140" s="77" t="s">
        <v>49</v>
      </c>
      <c r="R140" s="77"/>
      <c r="S140" s="77"/>
      <c r="T140" s="77"/>
      <c r="V140" s="81"/>
      <c r="W140" s="23" t="s">
        <v>5</v>
      </c>
      <c r="X140" s="21">
        <v>99</v>
      </c>
      <c r="Y140" s="24"/>
      <c r="AA140" s="78"/>
      <c r="AB140" s="78"/>
      <c r="AC140" s="15" t="s">
        <v>1</v>
      </c>
      <c r="AD140" s="16" t="s">
        <v>2</v>
      </c>
      <c r="AF140" s="80"/>
      <c r="AG140" s="23" t="s">
        <v>37</v>
      </c>
      <c r="AH140" s="21">
        <v>1</v>
      </c>
      <c r="AI140" s="24"/>
      <c r="AK140" s="81"/>
      <c r="AL140" s="23" t="s">
        <v>5</v>
      </c>
      <c r="AM140" s="21">
        <v>102</v>
      </c>
      <c r="AN140" s="24"/>
      <c r="AP140" s="27"/>
      <c r="AQ140" s="27"/>
      <c r="AR140" s="27"/>
      <c r="AS140" s="27"/>
    </row>
    <row r="141" spans="1:45" ht="24.5" thickBot="1" x14ac:dyDescent="0.4">
      <c r="A141" s="74" t="s">
        <v>20</v>
      </c>
      <c r="B141" s="74"/>
      <c r="C141" s="74"/>
      <c r="D141" s="74"/>
      <c r="Q141" s="78"/>
      <c r="R141" s="78"/>
      <c r="S141" s="15" t="s">
        <v>1</v>
      </c>
      <c r="T141" s="16" t="s">
        <v>2</v>
      </c>
      <c r="V141" s="83" t="s">
        <v>5</v>
      </c>
      <c r="W141" s="83"/>
      <c r="X141" s="25">
        <v>119</v>
      </c>
      <c r="Y141" s="26"/>
      <c r="AA141" s="79" t="s">
        <v>3</v>
      </c>
      <c r="AB141" s="17" t="s">
        <v>34</v>
      </c>
      <c r="AC141" s="18">
        <v>2</v>
      </c>
      <c r="AD141" s="19">
        <v>5.0999999999999996</v>
      </c>
      <c r="AF141" s="81"/>
      <c r="AG141" s="23" t="s">
        <v>5</v>
      </c>
      <c r="AH141" s="21">
        <v>57</v>
      </c>
      <c r="AI141" s="24"/>
      <c r="AK141" s="83" t="s">
        <v>5</v>
      </c>
      <c r="AL141" s="83"/>
      <c r="AM141" s="25">
        <v>133</v>
      </c>
      <c r="AN141" s="26"/>
      <c r="AP141" s="77" t="s">
        <v>51</v>
      </c>
      <c r="AQ141" s="77"/>
      <c r="AR141" s="77"/>
      <c r="AS141" s="77"/>
    </row>
    <row r="142" spans="1:45" ht="24.5" thickBot="1" x14ac:dyDescent="0.4">
      <c r="A142" s="68" t="s">
        <v>0</v>
      </c>
      <c r="B142" s="69"/>
      <c r="C142" s="1" t="s">
        <v>1</v>
      </c>
      <c r="D142" s="2" t="s">
        <v>2</v>
      </c>
      <c r="Q142" s="79" t="s">
        <v>3</v>
      </c>
      <c r="R142" s="17" t="s">
        <v>34</v>
      </c>
      <c r="S142" s="18">
        <v>1</v>
      </c>
      <c r="T142" s="19">
        <v>2</v>
      </c>
      <c r="V142" s="27"/>
      <c r="W142" s="27"/>
      <c r="X142" s="27"/>
      <c r="Y142" s="27"/>
      <c r="AA142" s="80"/>
      <c r="AB142" s="20">
        <v>2</v>
      </c>
      <c r="AC142" s="21">
        <v>12</v>
      </c>
      <c r="AD142" s="22">
        <v>30.8</v>
      </c>
      <c r="AF142" s="83" t="s">
        <v>5</v>
      </c>
      <c r="AG142" s="83"/>
      <c r="AH142" s="25">
        <v>128</v>
      </c>
      <c r="AI142" s="26"/>
      <c r="AK142" s="27"/>
      <c r="AL142" s="27"/>
      <c r="AM142" s="27"/>
      <c r="AN142" s="27"/>
      <c r="AP142" s="78"/>
      <c r="AQ142" s="78"/>
      <c r="AR142" s="15" t="s">
        <v>1</v>
      </c>
      <c r="AS142" s="16" t="s">
        <v>2</v>
      </c>
    </row>
    <row r="143" spans="1:45" ht="23" x14ac:dyDescent="0.35">
      <c r="A143" s="70" t="s">
        <v>3</v>
      </c>
      <c r="B143" s="3" t="s">
        <v>9</v>
      </c>
      <c r="C143" s="4">
        <v>5</v>
      </c>
      <c r="D143" s="5">
        <v>8.6</v>
      </c>
      <c r="Q143" s="80"/>
      <c r="R143" s="20">
        <v>2</v>
      </c>
      <c r="S143" s="21">
        <v>7</v>
      </c>
      <c r="T143" s="22">
        <v>13.7</v>
      </c>
      <c r="V143" s="77" t="s">
        <v>49</v>
      </c>
      <c r="W143" s="77"/>
      <c r="X143" s="77"/>
      <c r="Y143" s="77"/>
      <c r="AA143" s="80"/>
      <c r="AB143" s="20">
        <v>3</v>
      </c>
      <c r="AC143" s="21">
        <v>16</v>
      </c>
      <c r="AD143" s="22">
        <v>41</v>
      </c>
      <c r="AF143" s="27"/>
      <c r="AG143" s="27"/>
      <c r="AH143" s="27"/>
      <c r="AI143" s="27"/>
      <c r="AK143" s="77" t="s">
        <v>49</v>
      </c>
      <c r="AL143" s="77"/>
      <c r="AM143" s="77"/>
      <c r="AN143" s="77"/>
      <c r="AP143" s="79" t="s">
        <v>3</v>
      </c>
      <c r="AQ143" s="17" t="s">
        <v>34</v>
      </c>
      <c r="AR143" s="18">
        <v>1</v>
      </c>
      <c r="AS143" s="19">
        <v>50</v>
      </c>
    </row>
    <row r="144" spans="1:45" ht="24" x14ac:dyDescent="0.35">
      <c r="A144" s="71"/>
      <c r="B144" s="6">
        <v>2</v>
      </c>
      <c r="C144" s="7">
        <v>5</v>
      </c>
      <c r="D144" s="8">
        <v>8.6</v>
      </c>
      <c r="Q144" s="80"/>
      <c r="R144" s="20">
        <v>3</v>
      </c>
      <c r="S144" s="21">
        <v>18</v>
      </c>
      <c r="T144" s="22">
        <v>35.299999999999997</v>
      </c>
      <c r="V144" s="78"/>
      <c r="W144" s="78"/>
      <c r="X144" s="15" t="s">
        <v>1</v>
      </c>
      <c r="Y144" s="16" t="s">
        <v>2</v>
      </c>
      <c r="AA144" s="80"/>
      <c r="AB144" s="20">
        <v>4</v>
      </c>
      <c r="AC144" s="21">
        <v>6</v>
      </c>
      <c r="AD144" s="22">
        <v>15.4</v>
      </c>
      <c r="AF144" s="77" t="s">
        <v>49</v>
      </c>
      <c r="AG144" s="77"/>
      <c r="AH144" s="77"/>
      <c r="AI144" s="77"/>
      <c r="AK144" s="78"/>
      <c r="AL144" s="78"/>
      <c r="AM144" s="15" t="s">
        <v>1</v>
      </c>
      <c r="AN144" s="16" t="s">
        <v>2</v>
      </c>
      <c r="AP144" s="80"/>
      <c r="AQ144" s="23" t="s">
        <v>35</v>
      </c>
      <c r="AR144" s="21">
        <v>1</v>
      </c>
      <c r="AS144" s="22">
        <v>50</v>
      </c>
    </row>
    <row r="145" spans="1:45" ht="24" x14ac:dyDescent="0.35">
      <c r="A145" s="71"/>
      <c r="B145" s="6">
        <v>3</v>
      </c>
      <c r="C145" s="7">
        <v>18</v>
      </c>
      <c r="D145" s="8">
        <v>31</v>
      </c>
      <c r="Q145" s="80"/>
      <c r="R145" s="20">
        <v>4</v>
      </c>
      <c r="S145" s="21">
        <v>11</v>
      </c>
      <c r="T145" s="22">
        <v>21.6</v>
      </c>
      <c r="V145" s="79" t="s">
        <v>3</v>
      </c>
      <c r="W145" s="17" t="s">
        <v>34</v>
      </c>
      <c r="X145" s="18">
        <v>2</v>
      </c>
      <c r="Y145" s="19">
        <v>10</v>
      </c>
      <c r="AA145" s="80"/>
      <c r="AB145" s="23" t="s">
        <v>35</v>
      </c>
      <c r="AC145" s="21">
        <v>3</v>
      </c>
      <c r="AD145" s="22">
        <v>7.7</v>
      </c>
      <c r="AF145" s="78"/>
      <c r="AG145" s="78"/>
      <c r="AH145" s="15" t="s">
        <v>1</v>
      </c>
      <c r="AI145" s="16" t="s">
        <v>2</v>
      </c>
      <c r="AK145" s="79" t="s">
        <v>3</v>
      </c>
      <c r="AL145" s="17" t="s">
        <v>34</v>
      </c>
      <c r="AM145" s="18">
        <v>5</v>
      </c>
      <c r="AN145" s="19">
        <v>17.2</v>
      </c>
      <c r="AP145" s="81"/>
      <c r="AQ145" s="23" t="s">
        <v>5</v>
      </c>
      <c r="AR145" s="21">
        <v>2</v>
      </c>
      <c r="AS145" s="22">
        <v>100</v>
      </c>
    </row>
    <row r="146" spans="1:45" ht="23" x14ac:dyDescent="0.35">
      <c r="A146" s="71"/>
      <c r="B146" s="6">
        <v>4</v>
      </c>
      <c r="C146" s="7">
        <v>18</v>
      </c>
      <c r="D146" s="8">
        <v>31</v>
      </c>
      <c r="Q146" s="80"/>
      <c r="R146" s="23" t="s">
        <v>35</v>
      </c>
      <c r="S146" s="21">
        <v>14</v>
      </c>
      <c r="T146" s="22">
        <v>27.5</v>
      </c>
      <c r="V146" s="80"/>
      <c r="W146" s="20">
        <v>2</v>
      </c>
      <c r="X146" s="21">
        <v>1</v>
      </c>
      <c r="Y146" s="22">
        <v>5</v>
      </c>
      <c r="AA146" s="81"/>
      <c r="AB146" s="23" t="s">
        <v>5</v>
      </c>
      <c r="AC146" s="21">
        <v>39</v>
      </c>
      <c r="AD146" s="22">
        <v>100</v>
      </c>
      <c r="AF146" s="79" t="s">
        <v>3</v>
      </c>
      <c r="AG146" s="17" t="s">
        <v>34</v>
      </c>
      <c r="AH146" s="18">
        <v>7</v>
      </c>
      <c r="AI146" s="19">
        <v>10.1</v>
      </c>
      <c r="AK146" s="80"/>
      <c r="AL146" s="20">
        <v>2</v>
      </c>
      <c r="AM146" s="21">
        <v>5</v>
      </c>
      <c r="AN146" s="22">
        <v>17.2</v>
      </c>
      <c r="AP146" s="82" t="s">
        <v>6</v>
      </c>
      <c r="AQ146" s="23" t="s">
        <v>36</v>
      </c>
      <c r="AR146" s="21">
        <v>83</v>
      </c>
      <c r="AS146" s="24"/>
    </row>
    <row r="147" spans="1:45" ht="23" x14ac:dyDescent="0.35">
      <c r="A147" s="71"/>
      <c r="B147" s="6" t="s">
        <v>4</v>
      </c>
      <c r="C147" s="7">
        <v>12</v>
      </c>
      <c r="D147" s="8">
        <v>20.7</v>
      </c>
      <c r="Q147" s="81"/>
      <c r="R147" s="23" t="s">
        <v>5</v>
      </c>
      <c r="S147" s="21">
        <v>51</v>
      </c>
      <c r="T147" s="22">
        <v>100</v>
      </c>
      <c r="V147" s="80"/>
      <c r="W147" s="20">
        <v>3</v>
      </c>
      <c r="X147" s="21">
        <v>6</v>
      </c>
      <c r="Y147" s="22">
        <v>30</v>
      </c>
      <c r="AA147" s="82" t="s">
        <v>6</v>
      </c>
      <c r="AB147" s="23" t="s">
        <v>36</v>
      </c>
      <c r="AC147" s="21">
        <v>73</v>
      </c>
      <c r="AD147" s="24"/>
      <c r="AF147" s="80"/>
      <c r="AG147" s="20">
        <v>2</v>
      </c>
      <c r="AH147" s="21">
        <v>13</v>
      </c>
      <c r="AI147" s="22">
        <v>18.8</v>
      </c>
      <c r="AK147" s="80"/>
      <c r="AL147" s="20">
        <v>3</v>
      </c>
      <c r="AM147" s="21">
        <v>6</v>
      </c>
      <c r="AN147" s="22">
        <v>20.7</v>
      </c>
      <c r="AP147" s="80"/>
      <c r="AQ147" s="23" t="s">
        <v>37</v>
      </c>
      <c r="AR147" s="21">
        <v>28</v>
      </c>
      <c r="AS147" s="24"/>
    </row>
    <row r="148" spans="1:45" ht="23" x14ac:dyDescent="0.35">
      <c r="A148" s="71"/>
      <c r="B148" s="6" t="s">
        <v>5</v>
      </c>
      <c r="C148" s="7">
        <v>58</v>
      </c>
      <c r="D148" s="8">
        <v>100</v>
      </c>
      <c r="Q148" s="82" t="s">
        <v>6</v>
      </c>
      <c r="R148" s="23" t="s">
        <v>36</v>
      </c>
      <c r="S148" s="21">
        <v>52</v>
      </c>
      <c r="T148" s="24"/>
      <c r="V148" s="80"/>
      <c r="W148" s="20">
        <v>4</v>
      </c>
      <c r="X148" s="21">
        <v>6</v>
      </c>
      <c r="Y148" s="22">
        <v>30</v>
      </c>
      <c r="AA148" s="80"/>
      <c r="AB148" s="23" t="s">
        <v>37</v>
      </c>
      <c r="AC148" s="21">
        <v>2</v>
      </c>
      <c r="AD148" s="24"/>
      <c r="AF148" s="80"/>
      <c r="AG148" s="20">
        <v>3</v>
      </c>
      <c r="AH148" s="21">
        <v>17</v>
      </c>
      <c r="AI148" s="22">
        <v>24.6</v>
      </c>
      <c r="AK148" s="80"/>
      <c r="AL148" s="20">
        <v>4</v>
      </c>
      <c r="AM148" s="21">
        <v>9</v>
      </c>
      <c r="AN148" s="22">
        <v>31</v>
      </c>
      <c r="AP148" s="81"/>
      <c r="AQ148" s="23" t="s">
        <v>5</v>
      </c>
      <c r="AR148" s="21">
        <v>111</v>
      </c>
      <c r="AS148" s="24"/>
    </row>
    <row r="149" spans="1:45" ht="23" x14ac:dyDescent="0.35">
      <c r="A149" s="71" t="s">
        <v>6</v>
      </c>
      <c r="B149" s="6">
        <v>8</v>
      </c>
      <c r="C149" s="7">
        <v>108</v>
      </c>
      <c r="D149" s="9"/>
      <c r="Q149" s="80"/>
      <c r="R149" s="23" t="s">
        <v>37</v>
      </c>
      <c r="S149" s="21">
        <v>4</v>
      </c>
      <c r="T149" s="24"/>
      <c r="V149" s="80"/>
      <c r="W149" s="23" t="s">
        <v>35</v>
      </c>
      <c r="X149" s="21">
        <v>5</v>
      </c>
      <c r="Y149" s="22">
        <v>25</v>
      </c>
      <c r="AA149" s="81"/>
      <c r="AB149" s="23" t="s">
        <v>5</v>
      </c>
      <c r="AC149" s="21">
        <v>75</v>
      </c>
      <c r="AD149" s="24"/>
      <c r="AF149" s="80"/>
      <c r="AG149" s="20">
        <v>4</v>
      </c>
      <c r="AH149" s="21">
        <v>16</v>
      </c>
      <c r="AI149" s="22">
        <v>23.2</v>
      </c>
      <c r="AK149" s="80"/>
      <c r="AL149" s="23" t="s">
        <v>35</v>
      </c>
      <c r="AM149" s="21">
        <v>4</v>
      </c>
      <c r="AN149" s="22">
        <v>13.8</v>
      </c>
      <c r="AP149" s="83" t="s">
        <v>5</v>
      </c>
      <c r="AQ149" s="83"/>
      <c r="AR149" s="25">
        <v>113</v>
      </c>
      <c r="AS149" s="26"/>
    </row>
    <row r="150" spans="1:45" ht="23" x14ac:dyDescent="0.35">
      <c r="A150" s="71"/>
      <c r="B150" s="6">
        <v>9</v>
      </c>
      <c r="C150" s="7">
        <v>8</v>
      </c>
      <c r="D150" s="9"/>
      <c r="Q150" s="81"/>
      <c r="R150" s="23" t="s">
        <v>5</v>
      </c>
      <c r="S150" s="21">
        <v>56</v>
      </c>
      <c r="T150" s="24"/>
      <c r="V150" s="81"/>
      <c r="W150" s="23" t="s">
        <v>5</v>
      </c>
      <c r="X150" s="21">
        <v>20</v>
      </c>
      <c r="Y150" s="22">
        <v>100</v>
      </c>
      <c r="AA150" s="83" t="s">
        <v>5</v>
      </c>
      <c r="AB150" s="83"/>
      <c r="AC150" s="25">
        <v>114</v>
      </c>
      <c r="AD150" s="26"/>
      <c r="AF150" s="80"/>
      <c r="AG150" s="23" t="s">
        <v>35</v>
      </c>
      <c r="AH150" s="21">
        <v>16</v>
      </c>
      <c r="AI150" s="22">
        <v>23.2</v>
      </c>
      <c r="AK150" s="81"/>
      <c r="AL150" s="23" t="s">
        <v>5</v>
      </c>
      <c r="AM150" s="21">
        <v>29</v>
      </c>
      <c r="AN150" s="22">
        <v>100</v>
      </c>
    </row>
    <row r="151" spans="1:45" x14ac:dyDescent="0.35">
      <c r="A151" s="71"/>
      <c r="B151" s="6" t="s">
        <v>5</v>
      </c>
      <c r="C151" s="7">
        <v>116</v>
      </c>
      <c r="D151" s="9"/>
      <c r="Q151" s="83" t="s">
        <v>5</v>
      </c>
      <c r="R151" s="83"/>
      <c r="S151" s="25">
        <v>107</v>
      </c>
      <c r="T151" s="26"/>
      <c r="V151" s="82" t="s">
        <v>6</v>
      </c>
      <c r="W151" s="23" t="s">
        <v>36</v>
      </c>
      <c r="X151" s="21">
        <v>97</v>
      </c>
      <c r="Y151" s="24"/>
      <c r="AA151" s="27"/>
      <c r="AB151" s="27"/>
      <c r="AC151" s="27"/>
      <c r="AD151" s="27"/>
      <c r="AF151" s="81"/>
      <c r="AG151" s="23" t="s">
        <v>5</v>
      </c>
      <c r="AH151" s="21">
        <v>69</v>
      </c>
      <c r="AI151" s="22">
        <v>100</v>
      </c>
      <c r="AK151" s="82" t="s">
        <v>6</v>
      </c>
      <c r="AL151" s="23" t="s">
        <v>36</v>
      </c>
      <c r="AM151" s="21">
        <v>99</v>
      </c>
      <c r="AN151" s="24"/>
    </row>
    <row r="152" spans="1:45" ht="23.5" thickBot="1" x14ac:dyDescent="0.4">
      <c r="A152" s="72" t="s">
        <v>5</v>
      </c>
      <c r="B152" s="73"/>
      <c r="C152" s="10">
        <v>174</v>
      </c>
      <c r="D152" s="11"/>
      <c r="Q152" s="27"/>
      <c r="R152" s="27"/>
      <c r="S152" s="27"/>
      <c r="T152" s="27"/>
      <c r="V152" s="80"/>
      <c r="W152" s="23" t="s">
        <v>37</v>
      </c>
      <c r="X152" s="21">
        <v>2</v>
      </c>
      <c r="Y152" s="24"/>
      <c r="AA152" s="77" t="s">
        <v>50</v>
      </c>
      <c r="AB152" s="77"/>
      <c r="AC152" s="77"/>
      <c r="AD152" s="77"/>
      <c r="AF152" s="82" t="s">
        <v>6</v>
      </c>
      <c r="AG152" s="23" t="s">
        <v>36</v>
      </c>
      <c r="AH152" s="21">
        <v>56</v>
      </c>
      <c r="AI152" s="24"/>
      <c r="AK152" s="80"/>
      <c r="AL152" s="23" t="s">
        <v>37</v>
      </c>
      <c r="AM152" s="21">
        <v>5</v>
      </c>
      <c r="AN152" s="24"/>
    </row>
    <row r="153" spans="1:45" ht="24" x14ac:dyDescent="0.35">
      <c r="Q153" s="77" t="s">
        <v>50</v>
      </c>
      <c r="R153" s="77"/>
      <c r="S153" s="77"/>
      <c r="T153" s="77"/>
      <c r="V153" s="81"/>
      <c r="W153" s="23" t="s">
        <v>5</v>
      </c>
      <c r="X153" s="21">
        <v>99</v>
      </c>
      <c r="Y153" s="24"/>
      <c r="AA153" s="78"/>
      <c r="AB153" s="78"/>
      <c r="AC153" s="15" t="s">
        <v>1</v>
      </c>
      <c r="AD153" s="16" t="s">
        <v>2</v>
      </c>
      <c r="AF153" s="80"/>
      <c r="AG153" s="23" t="s">
        <v>37</v>
      </c>
      <c r="AH153" s="21">
        <v>3</v>
      </c>
      <c r="AI153" s="24"/>
      <c r="AK153" s="81"/>
      <c r="AL153" s="23" t="s">
        <v>5</v>
      </c>
      <c r="AM153" s="21">
        <v>104</v>
      </c>
      <c r="AN153" s="24"/>
    </row>
    <row r="154" spans="1:45" ht="24.5" thickBot="1" x14ac:dyDescent="0.4">
      <c r="A154" s="74" t="s">
        <v>21</v>
      </c>
      <c r="B154" s="74"/>
      <c r="C154" s="74"/>
      <c r="D154" s="74"/>
      <c r="Q154" s="78"/>
      <c r="R154" s="78"/>
      <c r="S154" s="15" t="s">
        <v>1</v>
      </c>
      <c r="T154" s="16" t="s">
        <v>2</v>
      </c>
      <c r="V154" s="83" t="s">
        <v>5</v>
      </c>
      <c r="W154" s="83"/>
      <c r="X154" s="25">
        <v>119</v>
      </c>
      <c r="Y154" s="26"/>
      <c r="AA154" s="79" t="s">
        <v>3</v>
      </c>
      <c r="AB154" s="17" t="s">
        <v>34</v>
      </c>
      <c r="AC154" s="18">
        <v>2</v>
      </c>
      <c r="AD154" s="19">
        <v>5.0999999999999996</v>
      </c>
      <c r="AF154" s="81"/>
      <c r="AG154" s="23" t="s">
        <v>5</v>
      </c>
      <c r="AH154" s="21">
        <v>59</v>
      </c>
      <c r="AI154" s="24"/>
      <c r="AK154" s="83" t="s">
        <v>5</v>
      </c>
      <c r="AL154" s="83"/>
      <c r="AM154" s="25">
        <v>133</v>
      </c>
      <c r="AN154" s="26"/>
    </row>
    <row r="155" spans="1:45" ht="24.5" thickBot="1" x14ac:dyDescent="0.4">
      <c r="A155" s="68" t="s">
        <v>0</v>
      </c>
      <c r="B155" s="69"/>
      <c r="C155" s="1" t="s">
        <v>1</v>
      </c>
      <c r="D155" s="2" t="s">
        <v>2</v>
      </c>
      <c r="Q155" s="79" t="s">
        <v>3</v>
      </c>
      <c r="R155" s="17" t="s">
        <v>34</v>
      </c>
      <c r="S155" s="18">
        <v>2</v>
      </c>
      <c r="T155" s="19">
        <v>3.8</v>
      </c>
      <c r="V155" s="27"/>
      <c r="W155" s="27"/>
      <c r="X155" s="27"/>
      <c r="Y155" s="27"/>
      <c r="AA155" s="80"/>
      <c r="AB155" s="20">
        <v>2</v>
      </c>
      <c r="AC155" s="21">
        <v>6</v>
      </c>
      <c r="AD155" s="22">
        <v>15.4</v>
      </c>
      <c r="AF155" s="83" t="s">
        <v>5</v>
      </c>
      <c r="AG155" s="83"/>
      <c r="AH155" s="25">
        <v>128</v>
      </c>
      <c r="AI155" s="26"/>
      <c r="AK155" s="27"/>
      <c r="AL155" s="27"/>
      <c r="AM155" s="27"/>
      <c r="AN155" s="27"/>
    </row>
    <row r="156" spans="1:45" ht="23" x14ac:dyDescent="0.35">
      <c r="A156" s="70" t="s">
        <v>3</v>
      </c>
      <c r="B156" s="3" t="s">
        <v>9</v>
      </c>
      <c r="C156" s="4">
        <v>2</v>
      </c>
      <c r="D156" s="5">
        <v>3.4</v>
      </c>
      <c r="Q156" s="80"/>
      <c r="R156" s="20">
        <v>2</v>
      </c>
      <c r="S156" s="21">
        <v>3</v>
      </c>
      <c r="T156" s="22">
        <v>5.8</v>
      </c>
      <c r="V156" s="77" t="s">
        <v>50</v>
      </c>
      <c r="W156" s="77"/>
      <c r="X156" s="77"/>
      <c r="Y156" s="77"/>
      <c r="AA156" s="80"/>
      <c r="AB156" s="20">
        <v>3</v>
      </c>
      <c r="AC156" s="21">
        <v>13</v>
      </c>
      <c r="AD156" s="22">
        <v>33.299999999999997</v>
      </c>
      <c r="AF156" s="27"/>
      <c r="AG156" s="27"/>
      <c r="AH156" s="27"/>
      <c r="AI156" s="27"/>
      <c r="AK156" s="77" t="s">
        <v>50</v>
      </c>
      <c r="AL156" s="77"/>
      <c r="AM156" s="77"/>
      <c r="AN156" s="77"/>
    </row>
    <row r="157" spans="1:45" ht="24" x14ac:dyDescent="0.35">
      <c r="A157" s="71"/>
      <c r="B157" s="6">
        <v>2</v>
      </c>
      <c r="C157" s="7">
        <v>3</v>
      </c>
      <c r="D157" s="8">
        <v>5.0999999999999996</v>
      </c>
      <c r="Q157" s="80"/>
      <c r="R157" s="20">
        <v>3</v>
      </c>
      <c r="S157" s="21">
        <v>13</v>
      </c>
      <c r="T157" s="22">
        <v>25</v>
      </c>
      <c r="V157" s="78"/>
      <c r="W157" s="78"/>
      <c r="X157" s="15" t="s">
        <v>1</v>
      </c>
      <c r="Y157" s="16" t="s">
        <v>2</v>
      </c>
      <c r="AA157" s="80"/>
      <c r="AB157" s="20">
        <v>4</v>
      </c>
      <c r="AC157" s="21">
        <v>10</v>
      </c>
      <c r="AD157" s="22">
        <v>25.6</v>
      </c>
      <c r="AF157" s="77" t="s">
        <v>50</v>
      </c>
      <c r="AG157" s="77"/>
      <c r="AH157" s="77"/>
      <c r="AI157" s="77"/>
      <c r="AK157" s="78"/>
      <c r="AL157" s="78"/>
      <c r="AM157" s="15" t="s">
        <v>1</v>
      </c>
      <c r="AN157" s="16" t="s">
        <v>2</v>
      </c>
    </row>
    <row r="158" spans="1:45" ht="24" x14ac:dyDescent="0.35">
      <c r="A158" s="71"/>
      <c r="B158" s="6">
        <v>3</v>
      </c>
      <c r="C158" s="7">
        <v>11</v>
      </c>
      <c r="D158" s="8">
        <v>18.600000000000001</v>
      </c>
      <c r="Q158" s="80"/>
      <c r="R158" s="20">
        <v>4</v>
      </c>
      <c r="S158" s="21">
        <v>20</v>
      </c>
      <c r="T158" s="22">
        <v>38.5</v>
      </c>
      <c r="V158" s="79" t="s">
        <v>3</v>
      </c>
      <c r="W158" s="28">
        <v>2</v>
      </c>
      <c r="X158" s="18">
        <v>2</v>
      </c>
      <c r="Y158" s="19">
        <v>10.5</v>
      </c>
      <c r="AA158" s="80"/>
      <c r="AB158" s="23" t="s">
        <v>35</v>
      </c>
      <c r="AC158" s="21">
        <v>8</v>
      </c>
      <c r="AD158" s="22">
        <v>20.5</v>
      </c>
      <c r="AF158" s="78"/>
      <c r="AG158" s="78"/>
      <c r="AH158" s="15" t="s">
        <v>1</v>
      </c>
      <c r="AI158" s="16" t="s">
        <v>2</v>
      </c>
      <c r="AK158" s="79" t="s">
        <v>3</v>
      </c>
      <c r="AL158" s="17" t="s">
        <v>34</v>
      </c>
      <c r="AM158" s="18">
        <v>2</v>
      </c>
      <c r="AN158" s="19">
        <v>6.5</v>
      </c>
    </row>
    <row r="159" spans="1:45" ht="23" x14ac:dyDescent="0.35">
      <c r="A159" s="71"/>
      <c r="B159" s="6">
        <v>4</v>
      </c>
      <c r="C159" s="7">
        <v>24</v>
      </c>
      <c r="D159" s="8">
        <v>40.700000000000003</v>
      </c>
      <c r="Q159" s="80"/>
      <c r="R159" s="23" t="s">
        <v>35</v>
      </c>
      <c r="S159" s="21">
        <v>14</v>
      </c>
      <c r="T159" s="22">
        <v>26.9</v>
      </c>
      <c r="V159" s="80"/>
      <c r="W159" s="20">
        <v>3</v>
      </c>
      <c r="X159" s="21">
        <v>5</v>
      </c>
      <c r="Y159" s="22">
        <v>26.3</v>
      </c>
      <c r="AA159" s="81"/>
      <c r="AB159" s="23" t="s">
        <v>5</v>
      </c>
      <c r="AC159" s="21">
        <v>39</v>
      </c>
      <c r="AD159" s="22">
        <v>100</v>
      </c>
      <c r="AF159" s="79" t="s">
        <v>3</v>
      </c>
      <c r="AG159" s="17" t="s">
        <v>34</v>
      </c>
      <c r="AH159" s="18">
        <v>2</v>
      </c>
      <c r="AI159" s="19">
        <v>2.9</v>
      </c>
      <c r="AK159" s="80"/>
      <c r="AL159" s="20">
        <v>2</v>
      </c>
      <c r="AM159" s="21">
        <v>1</v>
      </c>
      <c r="AN159" s="22">
        <v>3.2</v>
      </c>
    </row>
    <row r="160" spans="1:45" ht="23" x14ac:dyDescent="0.35">
      <c r="A160" s="71"/>
      <c r="B160" s="6" t="s">
        <v>4</v>
      </c>
      <c r="C160" s="7">
        <v>19</v>
      </c>
      <c r="D160" s="8">
        <v>32.200000000000003</v>
      </c>
      <c r="Q160" s="81"/>
      <c r="R160" s="23" t="s">
        <v>5</v>
      </c>
      <c r="S160" s="21">
        <v>52</v>
      </c>
      <c r="T160" s="22">
        <v>100</v>
      </c>
      <c r="V160" s="80"/>
      <c r="W160" s="20">
        <v>4</v>
      </c>
      <c r="X160" s="21">
        <v>5</v>
      </c>
      <c r="Y160" s="22">
        <v>26.3</v>
      </c>
      <c r="AA160" s="82" t="s">
        <v>6</v>
      </c>
      <c r="AB160" s="23" t="s">
        <v>36</v>
      </c>
      <c r="AC160" s="21">
        <v>73</v>
      </c>
      <c r="AD160" s="24"/>
      <c r="AF160" s="80"/>
      <c r="AG160" s="20">
        <v>2</v>
      </c>
      <c r="AH160" s="21">
        <v>3</v>
      </c>
      <c r="AI160" s="22">
        <v>4.3</v>
      </c>
      <c r="AK160" s="80"/>
      <c r="AL160" s="20">
        <v>3</v>
      </c>
      <c r="AM160" s="21">
        <v>10</v>
      </c>
      <c r="AN160" s="22">
        <v>32.299999999999997</v>
      </c>
    </row>
    <row r="161" spans="1:40" ht="23" x14ac:dyDescent="0.35">
      <c r="A161" s="71"/>
      <c r="B161" s="6" t="s">
        <v>5</v>
      </c>
      <c r="C161" s="7">
        <v>59</v>
      </c>
      <c r="D161" s="8">
        <v>100</v>
      </c>
      <c r="Q161" s="82" t="s">
        <v>6</v>
      </c>
      <c r="R161" s="23" t="s">
        <v>36</v>
      </c>
      <c r="S161" s="21">
        <v>52</v>
      </c>
      <c r="T161" s="24"/>
      <c r="V161" s="80"/>
      <c r="W161" s="23" t="s">
        <v>35</v>
      </c>
      <c r="X161" s="21">
        <v>7</v>
      </c>
      <c r="Y161" s="22">
        <v>36.799999999999997</v>
      </c>
      <c r="AA161" s="80"/>
      <c r="AB161" s="23" t="s">
        <v>37</v>
      </c>
      <c r="AC161" s="21">
        <v>2</v>
      </c>
      <c r="AD161" s="24"/>
      <c r="AF161" s="80"/>
      <c r="AG161" s="20">
        <v>3</v>
      </c>
      <c r="AH161" s="21">
        <v>14</v>
      </c>
      <c r="AI161" s="22">
        <v>20.3</v>
      </c>
      <c r="AK161" s="80"/>
      <c r="AL161" s="20">
        <v>4</v>
      </c>
      <c r="AM161" s="21">
        <v>9</v>
      </c>
      <c r="AN161" s="22">
        <v>29</v>
      </c>
    </row>
    <row r="162" spans="1:40" ht="23" x14ac:dyDescent="0.35">
      <c r="A162" s="71" t="s">
        <v>6</v>
      </c>
      <c r="B162" s="6">
        <v>8</v>
      </c>
      <c r="C162" s="7">
        <v>108</v>
      </c>
      <c r="D162" s="9"/>
      <c r="Q162" s="80"/>
      <c r="R162" s="23" t="s">
        <v>37</v>
      </c>
      <c r="S162" s="21">
        <v>3</v>
      </c>
      <c r="T162" s="24"/>
      <c r="V162" s="81"/>
      <c r="W162" s="23" t="s">
        <v>5</v>
      </c>
      <c r="X162" s="21">
        <v>19</v>
      </c>
      <c r="Y162" s="22">
        <v>100</v>
      </c>
      <c r="AA162" s="81"/>
      <c r="AB162" s="23" t="s">
        <v>5</v>
      </c>
      <c r="AC162" s="21">
        <v>75</v>
      </c>
      <c r="AD162" s="24"/>
      <c r="AF162" s="80"/>
      <c r="AG162" s="20">
        <v>4</v>
      </c>
      <c r="AH162" s="21">
        <v>28</v>
      </c>
      <c r="AI162" s="22">
        <v>40.6</v>
      </c>
      <c r="AK162" s="80"/>
      <c r="AL162" s="23" t="s">
        <v>35</v>
      </c>
      <c r="AM162" s="21">
        <v>9</v>
      </c>
      <c r="AN162" s="22">
        <v>29</v>
      </c>
    </row>
    <row r="163" spans="1:40" ht="23" x14ac:dyDescent="0.35">
      <c r="A163" s="71"/>
      <c r="B163" s="6">
        <v>9</v>
      </c>
      <c r="C163" s="7">
        <v>7</v>
      </c>
      <c r="D163" s="9"/>
      <c r="Q163" s="81"/>
      <c r="R163" s="23" t="s">
        <v>5</v>
      </c>
      <c r="S163" s="21">
        <v>55</v>
      </c>
      <c r="T163" s="24"/>
      <c r="V163" s="82" t="s">
        <v>6</v>
      </c>
      <c r="W163" s="23" t="s">
        <v>36</v>
      </c>
      <c r="X163" s="21">
        <v>97</v>
      </c>
      <c r="Y163" s="24"/>
      <c r="AA163" s="83" t="s">
        <v>5</v>
      </c>
      <c r="AB163" s="83"/>
      <c r="AC163" s="25">
        <v>114</v>
      </c>
      <c r="AD163" s="26"/>
      <c r="AF163" s="80"/>
      <c r="AG163" s="23" t="s">
        <v>35</v>
      </c>
      <c r="AH163" s="21">
        <v>22</v>
      </c>
      <c r="AI163" s="22">
        <v>31.9</v>
      </c>
      <c r="AK163" s="81"/>
      <c r="AL163" s="23" t="s">
        <v>5</v>
      </c>
      <c r="AM163" s="21">
        <v>31</v>
      </c>
      <c r="AN163" s="22">
        <v>100</v>
      </c>
    </row>
    <row r="164" spans="1:40" ht="23" x14ac:dyDescent="0.35">
      <c r="A164" s="71"/>
      <c r="B164" s="6" t="s">
        <v>5</v>
      </c>
      <c r="C164" s="7">
        <v>115</v>
      </c>
      <c r="D164" s="9"/>
      <c r="Q164" s="83" t="s">
        <v>5</v>
      </c>
      <c r="R164" s="83"/>
      <c r="S164" s="25">
        <v>107</v>
      </c>
      <c r="T164" s="26"/>
      <c r="V164" s="80"/>
      <c r="W164" s="23" t="s">
        <v>37</v>
      </c>
      <c r="X164" s="21">
        <v>3</v>
      </c>
      <c r="Y164" s="24"/>
      <c r="AA164" s="27"/>
      <c r="AB164" s="27"/>
      <c r="AC164" s="27"/>
      <c r="AD164" s="27"/>
      <c r="AF164" s="81"/>
      <c r="AG164" s="23" t="s">
        <v>5</v>
      </c>
      <c r="AH164" s="21">
        <v>69</v>
      </c>
      <c r="AI164" s="22">
        <v>100</v>
      </c>
      <c r="AK164" s="82" t="s">
        <v>6</v>
      </c>
      <c r="AL164" s="23" t="s">
        <v>36</v>
      </c>
      <c r="AM164" s="21">
        <v>99</v>
      </c>
      <c r="AN164" s="24"/>
    </row>
    <row r="165" spans="1:40" ht="23.5" thickBot="1" x14ac:dyDescent="0.4">
      <c r="A165" s="72" t="s">
        <v>5</v>
      </c>
      <c r="B165" s="73"/>
      <c r="C165" s="10">
        <v>174</v>
      </c>
      <c r="D165" s="11"/>
      <c r="Q165" s="27"/>
      <c r="R165" s="27"/>
      <c r="S165" s="27"/>
      <c r="T165" s="27"/>
      <c r="V165" s="81"/>
      <c r="W165" s="23" t="s">
        <v>5</v>
      </c>
      <c r="X165" s="21">
        <v>100</v>
      </c>
      <c r="Y165" s="24"/>
      <c r="AA165" s="77" t="s">
        <v>51</v>
      </c>
      <c r="AB165" s="77"/>
      <c r="AC165" s="77"/>
      <c r="AD165" s="77"/>
      <c r="AF165" s="82" t="s">
        <v>6</v>
      </c>
      <c r="AG165" s="23" t="s">
        <v>36</v>
      </c>
      <c r="AH165" s="21">
        <v>56</v>
      </c>
      <c r="AI165" s="24"/>
      <c r="AK165" s="80"/>
      <c r="AL165" s="23" t="s">
        <v>37</v>
      </c>
      <c r="AM165" s="21">
        <v>3</v>
      </c>
      <c r="AN165" s="24"/>
    </row>
    <row r="166" spans="1:40" ht="24" x14ac:dyDescent="0.35">
      <c r="Q166" s="77" t="s">
        <v>51</v>
      </c>
      <c r="R166" s="77"/>
      <c r="S166" s="77"/>
      <c r="T166" s="77"/>
      <c r="V166" s="83" t="s">
        <v>5</v>
      </c>
      <c r="W166" s="83"/>
      <c r="X166" s="25">
        <v>119</v>
      </c>
      <c r="Y166" s="26"/>
      <c r="AA166" s="78"/>
      <c r="AB166" s="78"/>
      <c r="AC166" s="15" t="s">
        <v>1</v>
      </c>
      <c r="AD166" s="16" t="s">
        <v>2</v>
      </c>
      <c r="AF166" s="80"/>
      <c r="AG166" s="23" t="s">
        <v>37</v>
      </c>
      <c r="AH166" s="21">
        <v>3</v>
      </c>
      <c r="AI166" s="24"/>
      <c r="AK166" s="81"/>
      <c r="AL166" s="23" t="s">
        <v>5</v>
      </c>
      <c r="AM166" s="21">
        <v>102</v>
      </c>
      <c r="AN166" s="24"/>
    </row>
    <row r="167" spans="1:40" ht="24.5" thickBot="1" x14ac:dyDescent="0.4">
      <c r="A167" s="74" t="s">
        <v>22</v>
      </c>
      <c r="B167" s="74"/>
      <c r="C167" s="74"/>
      <c r="D167" s="74"/>
      <c r="Q167" s="78"/>
      <c r="R167" s="78"/>
      <c r="S167" s="15" t="s">
        <v>1</v>
      </c>
      <c r="T167" s="16" t="s">
        <v>2</v>
      </c>
      <c r="V167" s="27"/>
      <c r="W167" s="27"/>
      <c r="X167" s="27"/>
      <c r="Y167" s="27"/>
      <c r="AA167" s="79" t="s">
        <v>3</v>
      </c>
      <c r="AB167" s="28">
        <v>3</v>
      </c>
      <c r="AC167" s="18">
        <v>1</v>
      </c>
      <c r="AD167" s="19">
        <v>50</v>
      </c>
      <c r="AF167" s="81"/>
      <c r="AG167" s="23" t="s">
        <v>5</v>
      </c>
      <c r="AH167" s="21">
        <v>59</v>
      </c>
      <c r="AI167" s="24"/>
      <c r="AK167" s="83" t="s">
        <v>5</v>
      </c>
      <c r="AL167" s="83"/>
      <c r="AM167" s="25">
        <v>133</v>
      </c>
      <c r="AN167" s="26"/>
    </row>
    <row r="168" spans="1:40" ht="24.5" thickBot="1" x14ac:dyDescent="0.4">
      <c r="A168" s="68" t="s">
        <v>0</v>
      </c>
      <c r="B168" s="69"/>
      <c r="C168" s="1" t="s">
        <v>1</v>
      </c>
      <c r="D168" s="2" t="s">
        <v>2</v>
      </c>
      <c r="Q168" s="79" t="s">
        <v>3</v>
      </c>
      <c r="R168" s="17" t="s">
        <v>34</v>
      </c>
      <c r="S168" s="18">
        <v>2</v>
      </c>
      <c r="T168" s="19">
        <v>40</v>
      </c>
      <c r="V168" s="77" t="s">
        <v>51</v>
      </c>
      <c r="W168" s="77"/>
      <c r="X168" s="77"/>
      <c r="Y168" s="77"/>
      <c r="AA168" s="80"/>
      <c r="AB168" s="23" t="s">
        <v>35</v>
      </c>
      <c r="AC168" s="21">
        <v>1</v>
      </c>
      <c r="AD168" s="22">
        <v>50</v>
      </c>
      <c r="AF168" s="83" t="s">
        <v>5</v>
      </c>
      <c r="AG168" s="83"/>
      <c r="AH168" s="25">
        <v>128</v>
      </c>
      <c r="AI168" s="26"/>
      <c r="AK168" s="27"/>
      <c r="AL168" s="27"/>
      <c r="AM168" s="27"/>
      <c r="AN168" s="27"/>
    </row>
    <row r="169" spans="1:40" ht="24" x14ac:dyDescent="0.35">
      <c r="A169" s="70" t="s">
        <v>3</v>
      </c>
      <c r="B169" s="3" t="s">
        <v>9</v>
      </c>
      <c r="C169" s="4">
        <v>3</v>
      </c>
      <c r="D169" s="5">
        <v>37.5</v>
      </c>
      <c r="Q169" s="80"/>
      <c r="R169" s="20">
        <v>3</v>
      </c>
      <c r="S169" s="21">
        <v>1</v>
      </c>
      <c r="T169" s="22">
        <v>20</v>
      </c>
      <c r="V169" s="78"/>
      <c r="W169" s="78"/>
      <c r="X169" s="15" t="s">
        <v>1</v>
      </c>
      <c r="Y169" s="16" t="s">
        <v>2</v>
      </c>
      <c r="AA169" s="81"/>
      <c r="AB169" s="23" t="s">
        <v>5</v>
      </c>
      <c r="AC169" s="21">
        <v>2</v>
      </c>
      <c r="AD169" s="22">
        <v>100</v>
      </c>
      <c r="AF169" s="27"/>
      <c r="AG169" s="27"/>
      <c r="AH169" s="27"/>
      <c r="AI169" s="27"/>
      <c r="AK169" s="77" t="s">
        <v>51</v>
      </c>
      <c r="AL169" s="77"/>
      <c r="AM169" s="77"/>
      <c r="AN169" s="77"/>
    </row>
    <row r="170" spans="1:40" ht="24" x14ac:dyDescent="0.35">
      <c r="A170" s="71"/>
      <c r="B170" s="6">
        <v>3</v>
      </c>
      <c r="C170" s="7">
        <v>3</v>
      </c>
      <c r="D170" s="8">
        <v>37.5</v>
      </c>
      <c r="Q170" s="80"/>
      <c r="R170" s="23" t="s">
        <v>35</v>
      </c>
      <c r="S170" s="21">
        <v>2</v>
      </c>
      <c r="T170" s="22">
        <v>40</v>
      </c>
      <c r="V170" s="17" t="s">
        <v>3</v>
      </c>
      <c r="W170" s="17" t="s">
        <v>35</v>
      </c>
      <c r="X170" s="18">
        <v>4</v>
      </c>
      <c r="Y170" s="19">
        <v>100</v>
      </c>
      <c r="AA170" s="82" t="s">
        <v>6</v>
      </c>
      <c r="AB170" s="23" t="s">
        <v>36</v>
      </c>
      <c r="AC170" s="21">
        <v>73</v>
      </c>
      <c r="AD170" s="24"/>
      <c r="AF170" s="77" t="s">
        <v>51</v>
      </c>
      <c r="AG170" s="77"/>
      <c r="AH170" s="77"/>
      <c r="AI170" s="77"/>
      <c r="AK170" s="78"/>
      <c r="AL170" s="78"/>
      <c r="AM170" s="15" t="s">
        <v>1</v>
      </c>
      <c r="AN170" s="16" t="s">
        <v>2</v>
      </c>
    </row>
    <row r="171" spans="1:40" ht="24" x14ac:dyDescent="0.35">
      <c r="A171" s="71"/>
      <c r="B171" s="6" t="s">
        <v>4</v>
      </c>
      <c r="C171" s="7">
        <v>2</v>
      </c>
      <c r="D171" s="8">
        <v>25</v>
      </c>
      <c r="Q171" s="81"/>
      <c r="R171" s="23" t="s">
        <v>5</v>
      </c>
      <c r="S171" s="21">
        <v>5</v>
      </c>
      <c r="T171" s="22">
        <v>100</v>
      </c>
      <c r="V171" s="82" t="s">
        <v>6</v>
      </c>
      <c r="W171" s="23" t="s">
        <v>36</v>
      </c>
      <c r="X171" s="21">
        <v>97</v>
      </c>
      <c r="Y171" s="24"/>
      <c r="AA171" s="80"/>
      <c r="AB171" s="23" t="s">
        <v>37</v>
      </c>
      <c r="AC171" s="21">
        <v>39</v>
      </c>
      <c r="AD171" s="24"/>
      <c r="AF171" s="78"/>
      <c r="AG171" s="78"/>
      <c r="AH171" s="15" t="s">
        <v>1</v>
      </c>
      <c r="AI171" s="16" t="s">
        <v>2</v>
      </c>
      <c r="AK171" s="79" t="s">
        <v>3</v>
      </c>
      <c r="AL171" s="17" t="s">
        <v>34</v>
      </c>
      <c r="AM171" s="18">
        <v>1</v>
      </c>
      <c r="AN171" s="19">
        <v>33.299999999999997</v>
      </c>
    </row>
    <row r="172" spans="1:40" ht="23" x14ac:dyDescent="0.35">
      <c r="A172" s="71"/>
      <c r="B172" s="6" t="s">
        <v>5</v>
      </c>
      <c r="C172" s="7">
        <v>8</v>
      </c>
      <c r="D172" s="8">
        <v>100</v>
      </c>
      <c r="Q172" s="82" t="s">
        <v>6</v>
      </c>
      <c r="R172" s="23" t="s">
        <v>36</v>
      </c>
      <c r="S172" s="21">
        <v>52</v>
      </c>
      <c r="T172" s="24"/>
      <c r="V172" s="80"/>
      <c r="W172" s="23" t="s">
        <v>37</v>
      </c>
      <c r="X172" s="21">
        <v>18</v>
      </c>
      <c r="Y172" s="24"/>
      <c r="AA172" s="81"/>
      <c r="AB172" s="23" t="s">
        <v>5</v>
      </c>
      <c r="AC172" s="21">
        <v>112</v>
      </c>
      <c r="AD172" s="24"/>
      <c r="AF172" s="79" t="s">
        <v>3</v>
      </c>
      <c r="AG172" s="28">
        <v>4</v>
      </c>
      <c r="AH172" s="18">
        <v>1</v>
      </c>
      <c r="AI172" s="19">
        <v>25</v>
      </c>
      <c r="AK172" s="80"/>
      <c r="AL172" s="23" t="s">
        <v>35</v>
      </c>
      <c r="AM172" s="21">
        <v>2</v>
      </c>
      <c r="AN172" s="22">
        <v>66.7</v>
      </c>
    </row>
    <row r="173" spans="1:40" ht="23" x14ac:dyDescent="0.35">
      <c r="A173" s="71" t="s">
        <v>6</v>
      </c>
      <c r="B173" s="6">
        <v>8</v>
      </c>
      <c r="C173" s="7">
        <v>108</v>
      </c>
      <c r="D173" s="9"/>
      <c r="Q173" s="80"/>
      <c r="R173" s="23" t="s">
        <v>37</v>
      </c>
      <c r="S173" s="21">
        <v>50</v>
      </c>
      <c r="T173" s="24"/>
      <c r="V173" s="81"/>
      <c r="W173" s="23" t="s">
        <v>5</v>
      </c>
      <c r="X173" s="21">
        <v>115</v>
      </c>
      <c r="Y173" s="24"/>
      <c r="AA173" s="83" t="s">
        <v>5</v>
      </c>
      <c r="AB173" s="83"/>
      <c r="AC173" s="25">
        <v>114</v>
      </c>
      <c r="AD173" s="26"/>
      <c r="AF173" s="80"/>
      <c r="AG173" s="23" t="s">
        <v>35</v>
      </c>
      <c r="AH173" s="21">
        <v>3</v>
      </c>
      <c r="AI173" s="22">
        <v>75</v>
      </c>
      <c r="AK173" s="81"/>
      <c r="AL173" s="23" t="s">
        <v>5</v>
      </c>
      <c r="AM173" s="21">
        <v>3</v>
      </c>
      <c r="AN173" s="22">
        <v>100</v>
      </c>
    </row>
    <row r="174" spans="1:40" x14ac:dyDescent="0.35">
      <c r="A174" s="71"/>
      <c r="B174" s="6">
        <v>9</v>
      </c>
      <c r="C174" s="7">
        <v>58</v>
      </c>
      <c r="D174" s="9"/>
      <c r="Q174" s="81"/>
      <c r="R174" s="23" t="s">
        <v>5</v>
      </c>
      <c r="S174" s="21">
        <v>102</v>
      </c>
      <c r="T174" s="24"/>
      <c r="V174" s="83" t="s">
        <v>5</v>
      </c>
      <c r="W174" s="83"/>
      <c r="X174" s="25">
        <v>119</v>
      </c>
      <c r="Y174" s="26"/>
      <c r="AF174" s="81"/>
      <c r="AG174" s="23" t="s">
        <v>5</v>
      </c>
      <c r="AH174" s="21">
        <v>4</v>
      </c>
      <c r="AI174" s="22">
        <v>100</v>
      </c>
      <c r="AK174" s="82" t="s">
        <v>6</v>
      </c>
      <c r="AL174" s="23" t="s">
        <v>36</v>
      </c>
      <c r="AM174" s="21">
        <v>99</v>
      </c>
      <c r="AN174" s="24"/>
    </row>
    <row r="175" spans="1:40" ht="23" x14ac:dyDescent="0.35">
      <c r="A175" s="71"/>
      <c r="B175" s="6" t="s">
        <v>5</v>
      </c>
      <c r="C175" s="7">
        <v>166</v>
      </c>
      <c r="D175" s="9"/>
      <c r="Q175" s="83" t="s">
        <v>5</v>
      </c>
      <c r="R175" s="83"/>
      <c r="S175" s="25">
        <v>107</v>
      </c>
      <c r="T175" s="26"/>
      <c r="AF175" s="82" t="s">
        <v>6</v>
      </c>
      <c r="AG175" s="23" t="s">
        <v>36</v>
      </c>
      <c r="AH175" s="21">
        <v>56</v>
      </c>
      <c r="AI175" s="24"/>
      <c r="AK175" s="80"/>
      <c r="AL175" s="23" t="s">
        <v>37</v>
      </c>
      <c r="AM175" s="21">
        <v>31</v>
      </c>
      <c r="AN175" s="24"/>
    </row>
    <row r="176" spans="1:40" ht="23.5" thickBot="1" x14ac:dyDescent="0.4">
      <c r="A176" s="72" t="s">
        <v>5</v>
      </c>
      <c r="B176" s="73"/>
      <c r="C176" s="10">
        <v>174</v>
      </c>
      <c r="D176" s="11"/>
      <c r="Q176" s="27"/>
      <c r="R176" s="27"/>
      <c r="S176" s="27"/>
      <c r="T176" s="27"/>
      <c r="AF176" s="80"/>
      <c r="AG176" s="23" t="s">
        <v>37</v>
      </c>
      <c r="AH176" s="21">
        <v>68</v>
      </c>
      <c r="AI176" s="24"/>
      <c r="AK176" s="81"/>
      <c r="AL176" s="23" t="s">
        <v>5</v>
      </c>
      <c r="AM176" s="21">
        <v>130</v>
      </c>
      <c r="AN176" s="24"/>
    </row>
    <row r="177" spans="17:40" x14ac:dyDescent="0.35">
      <c r="Q177" s="77" t="s">
        <v>52</v>
      </c>
      <c r="R177" s="77"/>
      <c r="S177" s="77"/>
      <c r="T177" s="77"/>
      <c r="AF177" s="81"/>
      <c r="AG177" s="23" t="s">
        <v>5</v>
      </c>
      <c r="AH177" s="21">
        <v>124</v>
      </c>
      <c r="AI177" s="24"/>
      <c r="AK177" s="83" t="s">
        <v>5</v>
      </c>
      <c r="AL177" s="83"/>
      <c r="AM177" s="25">
        <v>133</v>
      </c>
      <c r="AN177" s="26"/>
    </row>
    <row r="178" spans="17:40" ht="24" x14ac:dyDescent="0.35">
      <c r="Q178" s="78"/>
      <c r="R178" s="78"/>
      <c r="S178" s="15" t="s">
        <v>1</v>
      </c>
      <c r="T178" s="16" t="s">
        <v>2</v>
      </c>
      <c r="AF178" s="83" t="s">
        <v>5</v>
      </c>
      <c r="AG178" s="83"/>
      <c r="AH178" s="25">
        <v>128</v>
      </c>
      <c r="AI178" s="26"/>
      <c r="AK178" s="27"/>
      <c r="AL178" s="27"/>
      <c r="AM178" s="27"/>
      <c r="AN178" s="27"/>
    </row>
    <row r="179" spans="17:40" x14ac:dyDescent="0.35">
      <c r="Q179" s="79" t="s">
        <v>3</v>
      </c>
      <c r="R179" s="17" t="s">
        <v>53</v>
      </c>
      <c r="S179" s="18">
        <v>3</v>
      </c>
      <c r="T179" s="19">
        <v>5.7</v>
      </c>
    </row>
    <row r="180" spans="17:40" x14ac:dyDescent="0.35">
      <c r="Q180" s="80"/>
      <c r="R180" s="23" t="s">
        <v>54</v>
      </c>
      <c r="S180" s="21">
        <v>50</v>
      </c>
      <c r="T180" s="22">
        <v>94.3</v>
      </c>
    </row>
    <row r="181" spans="17:40" x14ac:dyDescent="0.35">
      <c r="Q181" s="81"/>
      <c r="R181" s="23" t="s">
        <v>5</v>
      </c>
      <c r="S181" s="21">
        <v>53</v>
      </c>
      <c r="T181" s="22">
        <v>100</v>
      </c>
    </row>
    <row r="182" spans="17:40" x14ac:dyDescent="0.35">
      <c r="Q182" s="82" t="s">
        <v>6</v>
      </c>
      <c r="R182" s="23" t="s">
        <v>36</v>
      </c>
      <c r="S182" s="21">
        <v>52</v>
      </c>
      <c r="T182" s="24"/>
    </row>
    <row r="183" spans="17:40" x14ac:dyDescent="0.35">
      <c r="Q183" s="80"/>
      <c r="R183" s="20">
        <v>9</v>
      </c>
      <c r="S183" s="21">
        <v>2</v>
      </c>
      <c r="T183" s="24"/>
    </row>
    <row r="184" spans="17:40" x14ac:dyDescent="0.35">
      <c r="Q184" s="81"/>
      <c r="R184" s="23" t="s">
        <v>5</v>
      </c>
      <c r="S184" s="21">
        <v>54</v>
      </c>
      <c r="T184" s="24"/>
    </row>
    <row r="185" spans="17:40" x14ac:dyDescent="0.35">
      <c r="Q185" s="83" t="s">
        <v>5</v>
      </c>
      <c r="R185" s="83"/>
      <c r="S185" s="25">
        <v>107</v>
      </c>
      <c r="T185" s="26"/>
    </row>
  </sheetData>
  <mergeCells count="541">
    <mergeCell ref="AP142:AQ142"/>
    <mergeCell ref="AP143:AP145"/>
    <mergeCell ref="AP146:AP148"/>
    <mergeCell ref="AP149:AQ149"/>
    <mergeCell ref="AP1:AS1"/>
    <mergeCell ref="AP119:AS119"/>
    <mergeCell ref="AP120:AQ120"/>
    <mergeCell ref="AP121:AP126"/>
    <mergeCell ref="AP128:AQ128"/>
    <mergeCell ref="AP130:AS130"/>
    <mergeCell ref="AP131:AQ131"/>
    <mergeCell ref="AP132:AP137"/>
    <mergeCell ref="AP139:AQ139"/>
    <mergeCell ref="AP141:AS141"/>
    <mergeCell ref="AP97:AQ97"/>
    <mergeCell ref="AP99:AS99"/>
    <mergeCell ref="AP100:AQ100"/>
    <mergeCell ref="AP101:AP106"/>
    <mergeCell ref="AP108:AQ108"/>
    <mergeCell ref="AP110:AS110"/>
    <mergeCell ref="AP111:AQ111"/>
    <mergeCell ref="AP112:AP115"/>
    <mergeCell ref="AP117:AQ117"/>
    <mergeCell ref="AP68:AP73"/>
    <mergeCell ref="AP75:AQ75"/>
    <mergeCell ref="AP77:AS77"/>
    <mergeCell ref="AP78:AQ78"/>
    <mergeCell ref="AP79:AP84"/>
    <mergeCell ref="AP86:AQ86"/>
    <mergeCell ref="AP88:AS88"/>
    <mergeCell ref="AP89:AQ89"/>
    <mergeCell ref="AP90:AP95"/>
    <mergeCell ref="AP45:AQ45"/>
    <mergeCell ref="AP46:AP51"/>
    <mergeCell ref="AP53:AQ53"/>
    <mergeCell ref="AP55:AS55"/>
    <mergeCell ref="AP56:AQ56"/>
    <mergeCell ref="AP57:AP62"/>
    <mergeCell ref="AP64:AQ64"/>
    <mergeCell ref="AP66:AS66"/>
    <mergeCell ref="AP67:AQ67"/>
    <mergeCell ref="AP23:AS23"/>
    <mergeCell ref="AP24:AQ24"/>
    <mergeCell ref="AP25:AP30"/>
    <mergeCell ref="AP32:AQ32"/>
    <mergeCell ref="AP34:AS34"/>
    <mergeCell ref="AP35:AQ35"/>
    <mergeCell ref="AP36:AP40"/>
    <mergeCell ref="AP42:AQ42"/>
    <mergeCell ref="AP44:AS44"/>
    <mergeCell ref="AK1:AN1"/>
    <mergeCell ref="AP2:AS2"/>
    <mergeCell ref="AP3:AQ3"/>
    <mergeCell ref="AP4:AP8"/>
    <mergeCell ref="AP10:AQ10"/>
    <mergeCell ref="AP12:AS12"/>
    <mergeCell ref="AP13:AQ13"/>
    <mergeCell ref="AP14:AP19"/>
    <mergeCell ref="AP21:AQ21"/>
    <mergeCell ref="AK157:AL157"/>
    <mergeCell ref="AK158:AK163"/>
    <mergeCell ref="AK164:AK166"/>
    <mergeCell ref="AK167:AL167"/>
    <mergeCell ref="AK169:AN169"/>
    <mergeCell ref="AK170:AL170"/>
    <mergeCell ref="AK171:AK173"/>
    <mergeCell ref="AK174:AK176"/>
    <mergeCell ref="AK177:AL177"/>
    <mergeCell ref="AK133:AK137"/>
    <mergeCell ref="AK138:AK140"/>
    <mergeCell ref="AK141:AL141"/>
    <mergeCell ref="AK143:AN143"/>
    <mergeCell ref="AK144:AL144"/>
    <mergeCell ref="AK145:AK150"/>
    <mergeCell ref="AK151:AK153"/>
    <mergeCell ref="AK154:AL154"/>
    <mergeCell ref="AK156:AN156"/>
    <mergeCell ref="AK113:AK115"/>
    <mergeCell ref="AK116:AL116"/>
    <mergeCell ref="AK118:AN118"/>
    <mergeCell ref="AK119:AL119"/>
    <mergeCell ref="AK120:AK125"/>
    <mergeCell ref="AK126:AK128"/>
    <mergeCell ref="AK129:AL129"/>
    <mergeCell ref="AK131:AN131"/>
    <mergeCell ref="AK132:AL132"/>
    <mergeCell ref="AK90:AL90"/>
    <mergeCell ref="AK92:AN92"/>
    <mergeCell ref="AK93:AL93"/>
    <mergeCell ref="AK94:AK99"/>
    <mergeCell ref="AK100:AK102"/>
    <mergeCell ref="AK103:AL103"/>
    <mergeCell ref="AK105:AN105"/>
    <mergeCell ref="AK106:AL106"/>
    <mergeCell ref="AK107:AK112"/>
    <mergeCell ref="AK66:AN66"/>
    <mergeCell ref="AK67:AL67"/>
    <mergeCell ref="AK68:AK73"/>
    <mergeCell ref="AK74:AK76"/>
    <mergeCell ref="AK77:AL77"/>
    <mergeCell ref="AK79:AN79"/>
    <mergeCell ref="AK80:AL80"/>
    <mergeCell ref="AK81:AK86"/>
    <mergeCell ref="AK87:AK89"/>
    <mergeCell ref="AK42:AL42"/>
    <mergeCell ref="AK43:AK48"/>
    <mergeCell ref="AK49:AK51"/>
    <mergeCell ref="AK52:AL52"/>
    <mergeCell ref="AK54:AN54"/>
    <mergeCell ref="AK55:AL55"/>
    <mergeCell ref="AK56:AK60"/>
    <mergeCell ref="AK61:AK63"/>
    <mergeCell ref="AK64:AL64"/>
    <mergeCell ref="AF165:AF167"/>
    <mergeCell ref="AF168:AG168"/>
    <mergeCell ref="AF170:AI170"/>
    <mergeCell ref="AF171:AG171"/>
    <mergeCell ref="AF172:AF174"/>
    <mergeCell ref="AF175:AF177"/>
    <mergeCell ref="AF178:AG178"/>
    <mergeCell ref="AF1:AI1"/>
    <mergeCell ref="AK2:AN2"/>
    <mergeCell ref="AK3:AL3"/>
    <mergeCell ref="AK4:AK9"/>
    <mergeCell ref="AK10:AK12"/>
    <mergeCell ref="AK13:AL13"/>
    <mergeCell ref="AK15:AN15"/>
    <mergeCell ref="AK16:AL16"/>
    <mergeCell ref="AK17:AK22"/>
    <mergeCell ref="AK23:AK25"/>
    <mergeCell ref="AK26:AL26"/>
    <mergeCell ref="AK28:AN28"/>
    <mergeCell ref="AK29:AL29"/>
    <mergeCell ref="AK30:AK35"/>
    <mergeCell ref="AK36:AK38"/>
    <mergeCell ref="AK39:AL39"/>
    <mergeCell ref="AK41:AN41"/>
    <mergeCell ref="AF142:AG142"/>
    <mergeCell ref="AF144:AI144"/>
    <mergeCell ref="AF145:AG145"/>
    <mergeCell ref="AF146:AF151"/>
    <mergeCell ref="AF152:AF154"/>
    <mergeCell ref="AF155:AG155"/>
    <mergeCell ref="AF157:AI157"/>
    <mergeCell ref="AF158:AG158"/>
    <mergeCell ref="AF159:AF164"/>
    <mergeCell ref="AF119:AI119"/>
    <mergeCell ref="AF120:AG120"/>
    <mergeCell ref="AF121:AF126"/>
    <mergeCell ref="AF127:AF129"/>
    <mergeCell ref="AF130:AG130"/>
    <mergeCell ref="AF132:AI132"/>
    <mergeCell ref="AF133:AG133"/>
    <mergeCell ref="AF134:AF138"/>
    <mergeCell ref="AF139:AF141"/>
    <mergeCell ref="AF94:AG94"/>
    <mergeCell ref="AF95:AF100"/>
    <mergeCell ref="AF101:AF103"/>
    <mergeCell ref="AF104:AG104"/>
    <mergeCell ref="AF106:AI106"/>
    <mergeCell ref="AF107:AG107"/>
    <mergeCell ref="AF108:AF113"/>
    <mergeCell ref="AF114:AF116"/>
    <mergeCell ref="AF117:AG117"/>
    <mergeCell ref="AF69:AF74"/>
    <mergeCell ref="AF75:AF77"/>
    <mergeCell ref="AF78:AG78"/>
    <mergeCell ref="AF80:AI80"/>
    <mergeCell ref="AF81:AG81"/>
    <mergeCell ref="AF82:AF87"/>
    <mergeCell ref="AF88:AF90"/>
    <mergeCell ref="AF91:AG91"/>
    <mergeCell ref="AF93:AI93"/>
    <mergeCell ref="AF49:AF51"/>
    <mergeCell ref="AF52:AG52"/>
    <mergeCell ref="AF54:AI54"/>
    <mergeCell ref="AF55:AG55"/>
    <mergeCell ref="AF56:AF61"/>
    <mergeCell ref="AF62:AF64"/>
    <mergeCell ref="AF65:AG65"/>
    <mergeCell ref="AF67:AI67"/>
    <mergeCell ref="AF68:AG68"/>
    <mergeCell ref="AA165:AD165"/>
    <mergeCell ref="AA166:AB166"/>
    <mergeCell ref="AA167:AA169"/>
    <mergeCell ref="AA170:AA172"/>
    <mergeCell ref="AA173:AB173"/>
    <mergeCell ref="AA1:AD1"/>
    <mergeCell ref="AF2:AI2"/>
    <mergeCell ref="AF3:AG3"/>
    <mergeCell ref="AF4:AF9"/>
    <mergeCell ref="AF10:AF12"/>
    <mergeCell ref="AF13:AG13"/>
    <mergeCell ref="AF15:AI15"/>
    <mergeCell ref="AF16:AG16"/>
    <mergeCell ref="AF17:AF22"/>
    <mergeCell ref="AF23:AF25"/>
    <mergeCell ref="AF26:AG26"/>
    <mergeCell ref="AF28:AI28"/>
    <mergeCell ref="AF29:AG29"/>
    <mergeCell ref="AF30:AF35"/>
    <mergeCell ref="AF36:AF38"/>
    <mergeCell ref="AF39:AG39"/>
    <mergeCell ref="AF41:AI41"/>
    <mergeCell ref="AF42:AG42"/>
    <mergeCell ref="AF43:AF48"/>
    <mergeCell ref="AA140:AB140"/>
    <mergeCell ref="AA141:AA146"/>
    <mergeCell ref="AA147:AA149"/>
    <mergeCell ref="AA150:AB150"/>
    <mergeCell ref="AA152:AD152"/>
    <mergeCell ref="AA153:AB153"/>
    <mergeCell ref="AA154:AA159"/>
    <mergeCell ref="AA160:AA162"/>
    <mergeCell ref="AA163:AB163"/>
    <mergeCell ref="AA117:AB117"/>
    <mergeCell ref="AA118:AA123"/>
    <mergeCell ref="AA124:AA126"/>
    <mergeCell ref="AA127:AB127"/>
    <mergeCell ref="AA129:AD129"/>
    <mergeCell ref="AA130:AB130"/>
    <mergeCell ref="AA131:AA135"/>
    <mergeCell ref="AA137:AB137"/>
    <mergeCell ref="AA139:AD139"/>
    <mergeCell ref="AA92:AA97"/>
    <mergeCell ref="AA98:AA100"/>
    <mergeCell ref="AA101:AB101"/>
    <mergeCell ref="AA103:AD103"/>
    <mergeCell ref="AA104:AB104"/>
    <mergeCell ref="AA105:AA110"/>
    <mergeCell ref="AA111:AA113"/>
    <mergeCell ref="AA114:AB114"/>
    <mergeCell ref="AA116:AD116"/>
    <mergeCell ref="AA68:AA73"/>
    <mergeCell ref="AA75:AB75"/>
    <mergeCell ref="AA77:AD77"/>
    <mergeCell ref="AA78:AB78"/>
    <mergeCell ref="AA79:AA84"/>
    <mergeCell ref="AA85:AA87"/>
    <mergeCell ref="AA88:AB88"/>
    <mergeCell ref="AA90:AD90"/>
    <mergeCell ref="AA91:AB91"/>
    <mergeCell ref="AA48:AA50"/>
    <mergeCell ref="AA51:AB51"/>
    <mergeCell ref="AA53:AD53"/>
    <mergeCell ref="AA54:AB54"/>
    <mergeCell ref="AA55:AA60"/>
    <mergeCell ref="AA61:AA63"/>
    <mergeCell ref="AA64:AB64"/>
    <mergeCell ref="AA66:AD66"/>
    <mergeCell ref="AA67:AB67"/>
    <mergeCell ref="V163:V165"/>
    <mergeCell ref="V166:W166"/>
    <mergeCell ref="V168:Y168"/>
    <mergeCell ref="V169:W169"/>
    <mergeCell ref="V171:V173"/>
    <mergeCell ref="V174:W174"/>
    <mergeCell ref="AA2:AD2"/>
    <mergeCell ref="AA3:AB3"/>
    <mergeCell ref="AA4:AA9"/>
    <mergeCell ref="AA10:AA12"/>
    <mergeCell ref="AA13:AB13"/>
    <mergeCell ref="AA15:AD15"/>
    <mergeCell ref="AA16:AB16"/>
    <mergeCell ref="AA17:AA22"/>
    <mergeCell ref="AA23:AA25"/>
    <mergeCell ref="AA26:AB26"/>
    <mergeCell ref="AA28:AD28"/>
    <mergeCell ref="AA29:AB29"/>
    <mergeCell ref="AA30:AA35"/>
    <mergeCell ref="AA36:AA38"/>
    <mergeCell ref="AA39:AB39"/>
    <mergeCell ref="AA41:AD41"/>
    <mergeCell ref="AA42:AB42"/>
    <mergeCell ref="AA43:AA47"/>
    <mergeCell ref="V95:V100"/>
    <mergeCell ref="V101:V103"/>
    <mergeCell ref="V104:W104"/>
    <mergeCell ref="V106:Y106"/>
    <mergeCell ref="V107:W107"/>
    <mergeCell ref="V108:V112"/>
    <mergeCell ref="V113:V115"/>
    <mergeCell ref="V116:W116"/>
    <mergeCell ref="V118:Y118"/>
    <mergeCell ref="V119:W119"/>
    <mergeCell ref="V120:V124"/>
    <mergeCell ref="V145:V150"/>
    <mergeCell ref="V151:V153"/>
    <mergeCell ref="V154:W154"/>
    <mergeCell ref="V156:Y156"/>
    <mergeCell ref="V157:W157"/>
    <mergeCell ref="V158:V162"/>
    <mergeCell ref="V141:W141"/>
    <mergeCell ref="V143:Y143"/>
    <mergeCell ref="V144:W144"/>
    <mergeCell ref="V125:V127"/>
    <mergeCell ref="V128:W128"/>
    <mergeCell ref="V130:Y130"/>
    <mergeCell ref="V131:W131"/>
    <mergeCell ref="V132:V137"/>
    <mergeCell ref="V138:V140"/>
    <mergeCell ref="V94:W94"/>
    <mergeCell ref="V69:V74"/>
    <mergeCell ref="V75:V77"/>
    <mergeCell ref="V78:W78"/>
    <mergeCell ref="V80:Y80"/>
    <mergeCell ref="V81:W81"/>
    <mergeCell ref="V82:V87"/>
    <mergeCell ref="V88:V90"/>
    <mergeCell ref="V91:W91"/>
    <mergeCell ref="V93:Y93"/>
    <mergeCell ref="V49:V51"/>
    <mergeCell ref="V52:W52"/>
    <mergeCell ref="V54:Y54"/>
    <mergeCell ref="V55:W55"/>
    <mergeCell ref="V56:V61"/>
    <mergeCell ref="V62:V64"/>
    <mergeCell ref="V65:W65"/>
    <mergeCell ref="V67:Y67"/>
    <mergeCell ref="V68:W68"/>
    <mergeCell ref="Q177:T177"/>
    <mergeCell ref="Q178:R178"/>
    <mergeCell ref="Q179:Q181"/>
    <mergeCell ref="Q182:Q184"/>
    <mergeCell ref="Q185:R185"/>
    <mergeCell ref="V1:Y1"/>
    <mergeCell ref="V2:Y2"/>
    <mergeCell ref="V3:W3"/>
    <mergeCell ref="V4:V9"/>
    <mergeCell ref="V10:V12"/>
    <mergeCell ref="V13:W13"/>
    <mergeCell ref="V15:Y15"/>
    <mergeCell ref="V16:W16"/>
    <mergeCell ref="V17:V22"/>
    <mergeCell ref="V23:V25"/>
    <mergeCell ref="V26:W26"/>
    <mergeCell ref="V28:Y28"/>
    <mergeCell ref="V29:W29"/>
    <mergeCell ref="V30:V35"/>
    <mergeCell ref="V36:V38"/>
    <mergeCell ref="V39:W39"/>
    <mergeCell ref="V41:Y41"/>
    <mergeCell ref="V42:W42"/>
    <mergeCell ref="V43:V48"/>
    <mergeCell ref="Q154:R154"/>
    <mergeCell ref="Q155:Q160"/>
    <mergeCell ref="Q161:Q163"/>
    <mergeCell ref="Q164:R164"/>
    <mergeCell ref="Q166:T166"/>
    <mergeCell ref="Q167:R167"/>
    <mergeCell ref="Q168:Q171"/>
    <mergeCell ref="Q172:Q174"/>
    <mergeCell ref="Q175:R175"/>
    <mergeCell ref="Q131:Q134"/>
    <mergeCell ref="Q135:Q137"/>
    <mergeCell ref="Q138:R138"/>
    <mergeCell ref="Q140:T140"/>
    <mergeCell ref="Q141:R141"/>
    <mergeCell ref="Q142:Q147"/>
    <mergeCell ref="Q148:Q150"/>
    <mergeCell ref="Q151:R151"/>
    <mergeCell ref="Q153:T153"/>
    <mergeCell ref="Q111:Q113"/>
    <mergeCell ref="Q114:R114"/>
    <mergeCell ref="Q116:T116"/>
    <mergeCell ref="Q117:R117"/>
    <mergeCell ref="Q118:Q123"/>
    <mergeCell ref="Q124:Q126"/>
    <mergeCell ref="Q127:R127"/>
    <mergeCell ref="Q129:T129"/>
    <mergeCell ref="Q130:R130"/>
    <mergeCell ref="Q88:R88"/>
    <mergeCell ref="Q90:T90"/>
    <mergeCell ref="Q91:R91"/>
    <mergeCell ref="Q92:Q97"/>
    <mergeCell ref="Q98:Q100"/>
    <mergeCell ref="Q101:R101"/>
    <mergeCell ref="Q103:T103"/>
    <mergeCell ref="Q104:R104"/>
    <mergeCell ref="Q105:Q110"/>
    <mergeCell ref="Q64:T64"/>
    <mergeCell ref="Q65:R65"/>
    <mergeCell ref="Q66:Q71"/>
    <mergeCell ref="Q72:Q74"/>
    <mergeCell ref="Q75:R75"/>
    <mergeCell ref="Q77:T77"/>
    <mergeCell ref="Q78:R78"/>
    <mergeCell ref="Q79:Q84"/>
    <mergeCell ref="Q85:Q87"/>
    <mergeCell ref="Q40:R40"/>
    <mergeCell ref="Q41:Q45"/>
    <mergeCell ref="Q46:Q48"/>
    <mergeCell ref="Q49:R49"/>
    <mergeCell ref="Q51:T51"/>
    <mergeCell ref="Q52:R52"/>
    <mergeCell ref="Q53:Q58"/>
    <mergeCell ref="Q59:Q61"/>
    <mergeCell ref="Q62:R62"/>
    <mergeCell ref="Q15:R15"/>
    <mergeCell ref="Q16:Q21"/>
    <mergeCell ref="Q22:Q24"/>
    <mergeCell ref="Q26:T26"/>
    <mergeCell ref="Q27:R27"/>
    <mergeCell ref="Q28:Q33"/>
    <mergeCell ref="Q34:Q36"/>
    <mergeCell ref="Q37:R37"/>
    <mergeCell ref="Q39:T39"/>
    <mergeCell ref="A1:D1"/>
    <mergeCell ref="A14:D14"/>
    <mergeCell ref="Q2:T2"/>
    <mergeCell ref="Q3:R3"/>
    <mergeCell ref="Q4:Q9"/>
    <mergeCell ref="Q10:Q12"/>
    <mergeCell ref="Q13:R13"/>
    <mergeCell ref="Q1:T1"/>
    <mergeCell ref="Q14:T14"/>
    <mergeCell ref="K1:N1"/>
    <mergeCell ref="K3:L3"/>
    <mergeCell ref="K14:N14"/>
    <mergeCell ref="A15:B15"/>
    <mergeCell ref="A16:A21"/>
    <mergeCell ref="A22:A24"/>
    <mergeCell ref="A26:D26"/>
    <mergeCell ref="A27:B27"/>
    <mergeCell ref="A28:A33"/>
    <mergeCell ref="A3:B3"/>
    <mergeCell ref="A4:A8"/>
    <mergeCell ref="A9:A11"/>
    <mergeCell ref="A12:B12"/>
    <mergeCell ref="A80:A85"/>
    <mergeCell ref="A86:A88"/>
    <mergeCell ref="A89:B89"/>
    <mergeCell ref="A34:A36"/>
    <mergeCell ref="A37:B37"/>
    <mergeCell ref="A39:D39"/>
    <mergeCell ref="A40:B40"/>
    <mergeCell ref="A41:A46"/>
    <mergeCell ref="A47:A49"/>
    <mergeCell ref="A76:B76"/>
    <mergeCell ref="A78:D78"/>
    <mergeCell ref="A50:B50"/>
    <mergeCell ref="A52:D52"/>
    <mergeCell ref="A53:B53"/>
    <mergeCell ref="A54:A59"/>
    <mergeCell ref="A60:A62"/>
    <mergeCell ref="A63:B63"/>
    <mergeCell ref="A79:B79"/>
    <mergeCell ref="A176:B176"/>
    <mergeCell ref="F1:I1"/>
    <mergeCell ref="F3:G3"/>
    <mergeCell ref="F14:I14"/>
    <mergeCell ref="F15:G15"/>
    <mergeCell ref="A155:B155"/>
    <mergeCell ref="A156:A161"/>
    <mergeCell ref="A162:A164"/>
    <mergeCell ref="A165:B165"/>
    <mergeCell ref="A167:D167"/>
    <mergeCell ref="A168:B168"/>
    <mergeCell ref="A141:D141"/>
    <mergeCell ref="A142:B142"/>
    <mergeCell ref="A143:A148"/>
    <mergeCell ref="A149:A151"/>
    <mergeCell ref="A152:B152"/>
    <mergeCell ref="A154:D154"/>
    <mergeCell ref="A128:B128"/>
    <mergeCell ref="A130:D130"/>
    <mergeCell ref="A131:B131"/>
    <mergeCell ref="A169:A172"/>
    <mergeCell ref="A173:A175"/>
    <mergeCell ref="A115:B115"/>
    <mergeCell ref="A117:D117"/>
    <mergeCell ref="A132:A135"/>
    <mergeCell ref="A136:A138"/>
    <mergeCell ref="A139:B139"/>
    <mergeCell ref="A112:A114"/>
    <mergeCell ref="F52:I52"/>
    <mergeCell ref="F53:G53"/>
    <mergeCell ref="F54:F59"/>
    <mergeCell ref="F60:F62"/>
    <mergeCell ref="F63:G63"/>
    <mergeCell ref="A118:B118"/>
    <mergeCell ref="A119:A124"/>
    <mergeCell ref="A125:A127"/>
    <mergeCell ref="A93:A98"/>
    <mergeCell ref="A99:A101"/>
    <mergeCell ref="A102:B102"/>
    <mergeCell ref="A104:D104"/>
    <mergeCell ref="A105:B105"/>
    <mergeCell ref="A106:A111"/>
    <mergeCell ref="A91:D91"/>
    <mergeCell ref="A92:B92"/>
    <mergeCell ref="A65:D65"/>
    <mergeCell ref="A66:B66"/>
    <mergeCell ref="A67:A72"/>
    <mergeCell ref="A73:A75"/>
    <mergeCell ref="K40:L40"/>
    <mergeCell ref="K41:K46"/>
    <mergeCell ref="K47:K49"/>
    <mergeCell ref="K37:L37"/>
    <mergeCell ref="F37:G37"/>
    <mergeCell ref="F39:I39"/>
    <mergeCell ref="F65:I65"/>
    <mergeCell ref="F40:G40"/>
    <mergeCell ref="F41:F46"/>
    <mergeCell ref="F47:F49"/>
    <mergeCell ref="F50:G50"/>
    <mergeCell ref="K39:N39"/>
    <mergeCell ref="F26:I26"/>
    <mergeCell ref="F27:G27"/>
    <mergeCell ref="F28:F33"/>
    <mergeCell ref="F34:F36"/>
    <mergeCell ref="K16:K21"/>
    <mergeCell ref="K22:K24"/>
    <mergeCell ref="K26:N26"/>
    <mergeCell ref="K27:L27"/>
    <mergeCell ref="K28:K33"/>
    <mergeCell ref="K34:K36"/>
    <mergeCell ref="K15:L15"/>
    <mergeCell ref="F66:G66"/>
    <mergeCell ref="F67:F72"/>
    <mergeCell ref="F73:F75"/>
    <mergeCell ref="F76:G76"/>
    <mergeCell ref="F2:I2"/>
    <mergeCell ref="F4:F9"/>
    <mergeCell ref="F10:F12"/>
    <mergeCell ref="K65:N65"/>
    <mergeCell ref="K66:L66"/>
    <mergeCell ref="K67:K72"/>
    <mergeCell ref="K73:K75"/>
    <mergeCell ref="K76:L76"/>
    <mergeCell ref="K2:N2"/>
    <mergeCell ref="K4:K9"/>
    <mergeCell ref="K10:K12"/>
    <mergeCell ref="K50:L50"/>
    <mergeCell ref="K52:N52"/>
    <mergeCell ref="K53:L53"/>
    <mergeCell ref="K54:K59"/>
    <mergeCell ref="K60:K62"/>
    <mergeCell ref="K63:L63"/>
    <mergeCell ref="F16:F21"/>
    <mergeCell ref="F22:F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EF1C-1B43-448F-BCA6-B637384D46B5}">
  <dimension ref="A1:CG33"/>
  <sheetViews>
    <sheetView topLeftCell="AR9" zoomScale="46" zoomScaleNormal="46" workbookViewId="0">
      <selection activeCell="CD20" sqref="CD20"/>
    </sheetView>
  </sheetViews>
  <sheetFormatPr defaultRowHeight="14.5" x14ac:dyDescent="0.35"/>
  <sheetData>
    <row r="1" spans="1:85" x14ac:dyDescent="0.35">
      <c r="A1" s="75" t="s">
        <v>71</v>
      </c>
      <c r="B1" s="75"/>
      <c r="C1" s="75"/>
      <c r="D1" s="75"/>
      <c r="F1" t="s">
        <v>72</v>
      </c>
      <c r="G1" s="75" t="s">
        <v>60</v>
      </c>
      <c r="H1" s="75"/>
      <c r="I1" s="75"/>
      <c r="J1" s="75"/>
      <c r="L1" s="75" t="s">
        <v>57</v>
      </c>
      <c r="M1" s="75"/>
      <c r="N1" s="75"/>
      <c r="O1" s="75"/>
      <c r="R1" s="75" t="s">
        <v>56</v>
      </c>
      <c r="S1" s="75"/>
      <c r="T1" s="75"/>
      <c r="U1" s="75"/>
      <c r="X1" s="75" t="s">
        <v>58</v>
      </c>
      <c r="Y1" s="75"/>
      <c r="Z1" s="75"/>
      <c r="AA1" s="75"/>
      <c r="AC1" s="75" t="s">
        <v>59</v>
      </c>
      <c r="AD1" s="75"/>
      <c r="AE1" s="75"/>
      <c r="AF1" s="75"/>
      <c r="AI1" s="75" t="s">
        <v>81</v>
      </c>
      <c r="AJ1" s="75"/>
      <c r="AK1" s="75"/>
      <c r="AL1" s="75"/>
      <c r="AO1" s="75" t="s">
        <v>95</v>
      </c>
      <c r="AP1" s="75"/>
      <c r="AQ1" s="75"/>
      <c r="AR1" s="75"/>
      <c r="AT1" s="75" t="s">
        <v>29</v>
      </c>
      <c r="AU1" s="75"/>
      <c r="AV1" s="75"/>
      <c r="AW1" s="75"/>
      <c r="AY1" s="75" t="s">
        <v>30</v>
      </c>
      <c r="AZ1" s="75"/>
      <c r="BA1" s="75"/>
      <c r="BB1" s="75"/>
      <c r="BD1" s="75" t="s">
        <v>113</v>
      </c>
      <c r="BE1" s="75"/>
      <c r="BF1" s="75"/>
      <c r="BG1" s="75"/>
      <c r="BK1" s="75" t="s">
        <v>114</v>
      </c>
      <c r="BL1" s="75"/>
      <c r="BM1" s="75"/>
      <c r="BN1" s="75"/>
      <c r="BS1" s="75" t="s">
        <v>116</v>
      </c>
      <c r="BT1" s="75"/>
      <c r="BU1" s="75"/>
      <c r="BV1" s="75"/>
      <c r="CA1" s="75" t="s">
        <v>115</v>
      </c>
      <c r="CB1" s="75"/>
      <c r="CC1" s="75"/>
      <c r="CD1" s="75"/>
    </row>
    <row r="2" spans="1:85" ht="15" thickBot="1" x14ac:dyDescent="0.4">
      <c r="A2" s="77" t="s">
        <v>61</v>
      </c>
      <c r="B2" s="77"/>
      <c r="C2" s="77"/>
      <c r="D2" s="77"/>
      <c r="F2">
        <v>5.75</v>
      </c>
      <c r="L2" s="77" t="s">
        <v>61</v>
      </c>
      <c r="M2" s="77"/>
      <c r="N2" s="77"/>
      <c r="O2" s="77"/>
      <c r="R2" s="77" t="s">
        <v>61</v>
      </c>
      <c r="S2" s="77"/>
      <c r="T2" s="77"/>
      <c r="U2" s="77"/>
      <c r="X2" s="77" t="s">
        <v>61</v>
      </c>
      <c r="Y2" s="77"/>
      <c r="Z2" s="77"/>
      <c r="AA2" s="77"/>
      <c r="AC2" s="77" t="s">
        <v>61</v>
      </c>
      <c r="AD2" s="77"/>
      <c r="AE2" s="77"/>
      <c r="AF2" s="77"/>
      <c r="AI2" s="77" t="s">
        <v>61</v>
      </c>
      <c r="AJ2" s="77"/>
      <c r="AK2" s="77"/>
      <c r="AL2" s="77"/>
      <c r="AO2" s="74" t="s">
        <v>86</v>
      </c>
      <c r="AP2" s="74"/>
      <c r="AQ2" s="74"/>
      <c r="AR2" s="74"/>
      <c r="CA2" s="77" t="s">
        <v>102</v>
      </c>
      <c r="CB2" s="77"/>
      <c r="CC2" s="77"/>
      <c r="CD2" s="77"/>
      <c r="CE2" s="77"/>
      <c r="CF2" s="77"/>
    </row>
    <row r="3" spans="1:85" ht="24.5" thickBot="1" x14ac:dyDescent="0.4">
      <c r="A3" s="78"/>
      <c r="B3" s="78"/>
      <c r="C3" s="15" t="s">
        <v>1</v>
      </c>
      <c r="D3" s="16" t="s">
        <v>2</v>
      </c>
      <c r="G3" s="77" t="s">
        <v>61</v>
      </c>
      <c r="H3" s="77"/>
      <c r="I3" s="77"/>
      <c r="J3" s="77"/>
      <c r="L3" s="78"/>
      <c r="M3" s="78"/>
      <c r="N3" s="15" t="s">
        <v>1</v>
      </c>
      <c r="O3" s="16" t="s">
        <v>2</v>
      </c>
      <c r="R3" s="78"/>
      <c r="S3" s="78"/>
      <c r="T3" s="15" t="s">
        <v>1</v>
      </c>
      <c r="U3" s="16" t="s">
        <v>2</v>
      </c>
      <c r="X3" s="78"/>
      <c r="Y3" s="78"/>
      <c r="Z3" s="15" t="s">
        <v>1</v>
      </c>
      <c r="AA3" s="16" t="s">
        <v>2</v>
      </c>
      <c r="AC3" s="78"/>
      <c r="AD3" s="78"/>
      <c r="AE3" s="15" t="s">
        <v>1</v>
      </c>
      <c r="AF3" s="16" t="s">
        <v>2</v>
      </c>
      <c r="AI3" s="85"/>
      <c r="AJ3" s="85"/>
      <c r="AK3" s="29" t="s">
        <v>1</v>
      </c>
      <c r="AL3" s="30" t="s">
        <v>2</v>
      </c>
      <c r="AO3" s="68" t="s">
        <v>0</v>
      </c>
      <c r="AP3" s="69"/>
      <c r="AQ3" s="1" t="s">
        <v>1</v>
      </c>
      <c r="AR3" s="2" t="s">
        <v>2</v>
      </c>
      <c r="AT3" s="74" t="s">
        <v>96</v>
      </c>
      <c r="AU3" s="74"/>
      <c r="AV3" s="74"/>
      <c r="AW3" s="74"/>
      <c r="AY3" s="74" t="s">
        <v>86</v>
      </c>
      <c r="AZ3" s="74"/>
      <c r="BA3" s="74"/>
      <c r="BB3" s="74"/>
      <c r="BD3" s="77" t="s">
        <v>102</v>
      </c>
      <c r="BE3" s="77"/>
      <c r="BF3" s="77"/>
      <c r="BG3" s="77"/>
      <c r="BH3" s="77"/>
      <c r="BI3" s="77"/>
      <c r="BK3" s="77" t="s">
        <v>102</v>
      </c>
      <c r="BL3" s="77"/>
      <c r="BM3" s="77"/>
      <c r="BN3" s="77"/>
      <c r="BO3" s="77"/>
      <c r="BP3" s="77"/>
      <c r="CA3" s="78"/>
      <c r="CB3" s="78"/>
      <c r="CC3" s="15" t="s">
        <v>1</v>
      </c>
      <c r="CD3" s="16" t="s">
        <v>103</v>
      </c>
      <c r="CE3" s="16" t="s">
        <v>2</v>
      </c>
      <c r="CF3" s="40" t="s">
        <v>104</v>
      </c>
    </row>
    <row r="4" spans="1:85" ht="35" thickBot="1" x14ac:dyDescent="0.4">
      <c r="A4" s="79" t="s">
        <v>3</v>
      </c>
      <c r="B4" s="17" t="s">
        <v>62</v>
      </c>
      <c r="C4" s="18">
        <v>2</v>
      </c>
      <c r="D4" s="19">
        <v>2.1</v>
      </c>
      <c r="E4">
        <f>1*2</f>
        <v>2</v>
      </c>
      <c r="G4" s="78"/>
      <c r="H4" s="78"/>
      <c r="I4" s="15" t="s">
        <v>1</v>
      </c>
      <c r="J4" s="16" t="s">
        <v>2</v>
      </c>
      <c r="L4" s="79" t="s">
        <v>3</v>
      </c>
      <c r="M4" s="17" t="s">
        <v>62</v>
      </c>
      <c r="N4" s="18">
        <v>5</v>
      </c>
      <c r="O4" s="19">
        <v>4.7</v>
      </c>
      <c r="P4">
        <f>1*5</f>
        <v>5</v>
      </c>
      <c r="R4" s="79" t="s">
        <v>3</v>
      </c>
      <c r="S4" s="17" t="s">
        <v>62</v>
      </c>
      <c r="T4" s="18">
        <v>2</v>
      </c>
      <c r="U4" s="19">
        <v>2</v>
      </c>
      <c r="V4">
        <v>2</v>
      </c>
      <c r="X4" s="79" t="s">
        <v>3</v>
      </c>
      <c r="Y4" s="17" t="s">
        <v>64</v>
      </c>
      <c r="Z4" s="18">
        <v>5</v>
      </c>
      <c r="AA4" s="19">
        <v>4</v>
      </c>
      <c r="AB4">
        <f>15</f>
        <v>15</v>
      </c>
      <c r="AC4" s="79" t="s">
        <v>3</v>
      </c>
      <c r="AD4" s="17" t="s">
        <v>62</v>
      </c>
      <c r="AE4" s="18">
        <v>1</v>
      </c>
      <c r="AF4" s="19">
        <v>0.8</v>
      </c>
      <c r="AG4">
        <v>1</v>
      </c>
      <c r="AI4" s="86" t="s">
        <v>3</v>
      </c>
      <c r="AJ4" s="31" t="s">
        <v>73</v>
      </c>
      <c r="AK4" s="32">
        <v>4</v>
      </c>
      <c r="AL4" s="33">
        <v>3</v>
      </c>
      <c r="AM4">
        <v>8</v>
      </c>
      <c r="AO4" s="70" t="s">
        <v>3</v>
      </c>
      <c r="AP4" s="3" t="s">
        <v>87</v>
      </c>
      <c r="AQ4" s="4">
        <v>5</v>
      </c>
      <c r="AR4" s="5">
        <v>3.7</v>
      </c>
      <c r="AS4">
        <v>5</v>
      </c>
      <c r="AT4" s="68" t="s">
        <v>0</v>
      </c>
      <c r="AU4" s="69"/>
      <c r="AV4" s="1" t="s">
        <v>1</v>
      </c>
      <c r="AW4" s="2" t="s">
        <v>2</v>
      </c>
      <c r="AY4" s="68" t="s">
        <v>0</v>
      </c>
      <c r="AZ4" s="69"/>
      <c r="BA4" s="1" t="s">
        <v>1</v>
      </c>
      <c r="BB4" s="2" t="s">
        <v>2</v>
      </c>
      <c r="BD4" s="78"/>
      <c r="BE4" s="78"/>
      <c r="BF4" s="15" t="s">
        <v>1</v>
      </c>
      <c r="BG4" s="16" t="s">
        <v>103</v>
      </c>
      <c r="BH4" s="16" t="s">
        <v>2</v>
      </c>
      <c r="BI4" s="40" t="s">
        <v>104</v>
      </c>
      <c r="BK4" s="78"/>
      <c r="BL4" s="78"/>
      <c r="BM4" s="15" t="s">
        <v>1</v>
      </c>
      <c r="BN4" s="16" t="s">
        <v>103</v>
      </c>
      <c r="BO4" s="16" t="s">
        <v>2</v>
      </c>
      <c r="BP4" s="40" t="s">
        <v>104</v>
      </c>
      <c r="BS4" s="77" t="s">
        <v>102</v>
      </c>
      <c r="BT4" s="77"/>
      <c r="BU4" s="77"/>
      <c r="BV4" s="77"/>
      <c r="BW4" s="77"/>
      <c r="BX4" s="77"/>
      <c r="CA4" s="79" t="s">
        <v>3</v>
      </c>
      <c r="CB4" s="17" t="s">
        <v>105</v>
      </c>
      <c r="CC4" s="18">
        <v>4</v>
      </c>
      <c r="CD4" s="19">
        <v>3.7</v>
      </c>
      <c r="CE4" s="19">
        <v>4</v>
      </c>
      <c r="CF4" s="41">
        <v>4</v>
      </c>
      <c r="CG4" s="46">
        <v>4</v>
      </c>
    </row>
    <row r="5" spans="1:85" ht="34.5" x14ac:dyDescent="0.35">
      <c r="A5" s="80"/>
      <c r="B5" s="23" t="s">
        <v>63</v>
      </c>
      <c r="C5" s="21">
        <v>2</v>
      </c>
      <c r="D5" s="22">
        <v>2.1</v>
      </c>
      <c r="E5">
        <f>2*2</f>
        <v>4</v>
      </c>
      <c r="G5" s="79" t="s">
        <v>3</v>
      </c>
      <c r="H5" s="17" t="s">
        <v>63</v>
      </c>
      <c r="I5" s="18">
        <v>3</v>
      </c>
      <c r="J5" s="19">
        <v>3.1</v>
      </c>
      <c r="K5">
        <f>2*3</f>
        <v>6</v>
      </c>
      <c r="L5" s="80"/>
      <c r="M5" s="23" t="s">
        <v>63</v>
      </c>
      <c r="N5" s="21">
        <v>6</v>
      </c>
      <c r="O5" s="22">
        <v>5.7</v>
      </c>
      <c r="P5">
        <f>2*6</f>
        <v>12</v>
      </c>
      <c r="R5" s="80"/>
      <c r="S5" s="23" t="s">
        <v>63</v>
      </c>
      <c r="T5" s="21">
        <v>1</v>
      </c>
      <c r="U5" s="22">
        <v>1</v>
      </c>
      <c r="V5">
        <v>2</v>
      </c>
      <c r="X5" s="80"/>
      <c r="Y5" s="23" t="s">
        <v>65</v>
      </c>
      <c r="Z5" s="21">
        <v>3</v>
      </c>
      <c r="AA5" s="22">
        <v>2.4</v>
      </c>
      <c r="AB5">
        <v>12</v>
      </c>
      <c r="AC5" s="80"/>
      <c r="AD5" s="23" t="s">
        <v>63</v>
      </c>
      <c r="AE5" s="21">
        <v>7</v>
      </c>
      <c r="AF5" s="22">
        <v>5.9</v>
      </c>
      <c r="AG5">
        <v>7</v>
      </c>
      <c r="AI5" s="87"/>
      <c r="AJ5" s="34" t="s">
        <v>74</v>
      </c>
      <c r="AK5" s="35">
        <v>8</v>
      </c>
      <c r="AL5" s="36">
        <v>6</v>
      </c>
      <c r="AM5">
        <v>24</v>
      </c>
      <c r="AO5" s="71"/>
      <c r="AP5" s="6" t="s">
        <v>88</v>
      </c>
      <c r="AQ5" s="7">
        <v>13</v>
      </c>
      <c r="AR5" s="8">
        <v>9.6</v>
      </c>
      <c r="AS5">
        <v>26</v>
      </c>
      <c r="AT5" s="70" t="s">
        <v>3</v>
      </c>
      <c r="AU5" s="3" t="s">
        <v>97</v>
      </c>
      <c r="AV5" s="4">
        <v>3</v>
      </c>
      <c r="AW5" s="5">
        <v>1.6</v>
      </c>
      <c r="AX5">
        <f>6</f>
        <v>6</v>
      </c>
      <c r="AY5" s="70" t="s">
        <v>3</v>
      </c>
      <c r="AZ5" s="3" t="s">
        <v>87</v>
      </c>
      <c r="BA5" s="4">
        <v>5</v>
      </c>
      <c r="BB5" s="5">
        <v>3.8</v>
      </c>
      <c r="BC5">
        <v>5</v>
      </c>
      <c r="BD5" s="79" t="s">
        <v>3</v>
      </c>
      <c r="BE5" s="17" t="s">
        <v>105</v>
      </c>
      <c r="BF5" s="18">
        <v>3</v>
      </c>
      <c r="BG5" s="19">
        <v>2.1</v>
      </c>
      <c r="BH5" s="19">
        <v>2.4</v>
      </c>
      <c r="BI5" s="41">
        <v>2.4</v>
      </c>
      <c r="BJ5" s="46">
        <v>3</v>
      </c>
      <c r="BK5" s="79" t="s">
        <v>3</v>
      </c>
      <c r="BL5" s="17" t="s">
        <v>105</v>
      </c>
      <c r="BM5" s="18">
        <v>1</v>
      </c>
      <c r="BN5" s="19">
        <v>0.9</v>
      </c>
      <c r="BO5" s="19">
        <v>1</v>
      </c>
      <c r="BP5" s="41">
        <v>1</v>
      </c>
      <c r="BQ5" s="46">
        <v>1</v>
      </c>
      <c r="BS5" s="78"/>
      <c r="BT5" s="78"/>
      <c r="BU5" s="15" t="s">
        <v>1</v>
      </c>
      <c r="BV5" s="16" t="s">
        <v>103</v>
      </c>
      <c r="BW5" s="16" t="s">
        <v>2</v>
      </c>
      <c r="BX5" s="40" t="s">
        <v>104</v>
      </c>
      <c r="CA5" s="80"/>
      <c r="CB5" s="23" t="s">
        <v>106</v>
      </c>
      <c r="CC5" s="21">
        <v>3</v>
      </c>
      <c r="CD5" s="22">
        <v>2.8</v>
      </c>
      <c r="CE5" s="22">
        <v>3</v>
      </c>
      <c r="CF5" s="42">
        <v>6.9</v>
      </c>
      <c r="CG5" s="46">
        <v>6</v>
      </c>
    </row>
    <row r="6" spans="1:85" ht="34.5" x14ac:dyDescent="0.35">
      <c r="A6" s="80"/>
      <c r="B6" s="23" t="s">
        <v>64</v>
      </c>
      <c r="C6" s="21">
        <v>8</v>
      </c>
      <c r="D6" s="22">
        <v>8.1999999999999993</v>
      </c>
      <c r="E6">
        <f>3*8</f>
        <v>24</v>
      </c>
      <c r="G6" s="80"/>
      <c r="H6" s="23" t="s">
        <v>64</v>
      </c>
      <c r="I6" s="21">
        <v>6</v>
      </c>
      <c r="J6" s="22">
        <v>6.2</v>
      </c>
      <c r="K6">
        <f>3*6</f>
        <v>18</v>
      </c>
      <c r="L6" s="80"/>
      <c r="M6" s="23" t="s">
        <v>64</v>
      </c>
      <c r="N6" s="21">
        <v>7</v>
      </c>
      <c r="O6" s="22">
        <v>6.6</v>
      </c>
      <c r="P6">
        <v>21</v>
      </c>
      <c r="R6" s="80"/>
      <c r="S6" s="23" t="s">
        <v>64</v>
      </c>
      <c r="T6" s="21">
        <v>2</v>
      </c>
      <c r="U6" s="22">
        <v>2</v>
      </c>
      <c r="V6">
        <v>6</v>
      </c>
      <c r="X6" s="80"/>
      <c r="Y6" s="23" t="s">
        <v>66</v>
      </c>
      <c r="Z6" s="21">
        <v>10</v>
      </c>
      <c r="AA6" s="22">
        <v>8.1</v>
      </c>
      <c r="AB6">
        <v>50</v>
      </c>
      <c r="AC6" s="80"/>
      <c r="AD6" s="23" t="s">
        <v>64</v>
      </c>
      <c r="AE6" s="21">
        <v>15</v>
      </c>
      <c r="AF6" s="22">
        <v>12.7</v>
      </c>
      <c r="AG6">
        <v>45</v>
      </c>
      <c r="AI6" s="87"/>
      <c r="AJ6" s="34" t="s">
        <v>75</v>
      </c>
      <c r="AK6" s="35">
        <v>11</v>
      </c>
      <c r="AL6" s="36">
        <v>8.1999999999999993</v>
      </c>
      <c r="AM6">
        <v>44</v>
      </c>
      <c r="AO6" s="71"/>
      <c r="AP6" s="6" t="s">
        <v>89</v>
      </c>
      <c r="AQ6" s="7">
        <v>18</v>
      </c>
      <c r="AR6" s="8">
        <v>13.3</v>
      </c>
      <c r="AS6">
        <f>3*18</f>
        <v>54</v>
      </c>
      <c r="AT6" s="71"/>
      <c r="AU6" s="6" t="s">
        <v>89</v>
      </c>
      <c r="AV6" s="7">
        <v>5</v>
      </c>
      <c r="AW6" s="8">
        <v>2.6</v>
      </c>
      <c r="AX6">
        <f>15</f>
        <v>15</v>
      </c>
      <c r="AY6" s="71"/>
      <c r="AZ6" s="6" t="s">
        <v>88</v>
      </c>
      <c r="BA6" s="7">
        <v>12</v>
      </c>
      <c r="BB6" s="8">
        <v>9.1999999999999993</v>
      </c>
      <c r="BC6">
        <v>24</v>
      </c>
      <c r="BD6" s="80"/>
      <c r="BE6" s="23" t="s">
        <v>106</v>
      </c>
      <c r="BF6" s="21">
        <v>2</v>
      </c>
      <c r="BG6" s="22">
        <v>1.4</v>
      </c>
      <c r="BH6" s="22">
        <v>1.6</v>
      </c>
      <c r="BI6" s="42">
        <v>3.9</v>
      </c>
      <c r="BJ6" s="46">
        <v>4</v>
      </c>
      <c r="BK6" s="80"/>
      <c r="BL6" s="23" t="s">
        <v>107</v>
      </c>
      <c r="BM6" s="21">
        <v>5</v>
      </c>
      <c r="BN6" s="22">
        <v>4.4000000000000004</v>
      </c>
      <c r="BO6" s="22">
        <v>5</v>
      </c>
      <c r="BP6" s="42">
        <v>5.9</v>
      </c>
      <c r="BQ6" s="46">
        <v>15</v>
      </c>
      <c r="BS6" s="79" t="s">
        <v>3</v>
      </c>
      <c r="BT6" s="17" t="s">
        <v>105</v>
      </c>
      <c r="BU6" s="18">
        <v>6</v>
      </c>
      <c r="BV6" s="19">
        <v>5.9</v>
      </c>
      <c r="BW6" s="19">
        <v>6.4</v>
      </c>
      <c r="BX6" s="41">
        <v>6.4</v>
      </c>
      <c r="BY6" s="46">
        <v>6</v>
      </c>
      <c r="CA6" s="80"/>
      <c r="CB6" s="23" t="s">
        <v>107</v>
      </c>
      <c r="CC6" s="21">
        <v>4</v>
      </c>
      <c r="CD6" s="22">
        <v>3.7</v>
      </c>
      <c r="CE6" s="22">
        <v>4</v>
      </c>
      <c r="CF6" s="42">
        <v>10.9</v>
      </c>
      <c r="CG6" s="46">
        <v>12</v>
      </c>
    </row>
    <row r="7" spans="1:85" ht="34.5" x14ac:dyDescent="0.35">
      <c r="A7" s="80"/>
      <c r="B7" s="23" t="s">
        <v>65</v>
      </c>
      <c r="C7" s="21">
        <v>14</v>
      </c>
      <c r="D7" s="22">
        <v>14.4</v>
      </c>
      <c r="E7">
        <f>4*14</f>
        <v>56</v>
      </c>
      <c r="G7" s="80"/>
      <c r="H7" s="23" t="s">
        <v>65</v>
      </c>
      <c r="I7" s="21">
        <v>6</v>
      </c>
      <c r="J7" s="22">
        <v>6.2</v>
      </c>
      <c r="K7">
        <f>4*6</f>
        <v>24</v>
      </c>
      <c r="L7" s="80"/>
      <c r="M7" s="23" t="s">
        <v>65</v>
      </c>
      <c r="N7" s="21">
        <v>15</v>
      </c>
      <c r="O7" s="22">
        <v>14.2</v>
      </c>
      <c r="P7">
        <v>60</v>
      </c>
      <c r="R7" s="80"/>
      <c r="S7" s="23" t="s">
        <v>65</v>
      </c>
      <c r="T7" s="21">
        <v>2</v>
      </c>
      <c r="U7" s="22">
        <v>2</v>
      </c>
      <c r="V7">
        <v>8</v>
      </c>
      <c r="X7" s="80"/>
      <c r="Y7" s="23" t="s">
        <v>67</v>
      </c>
      <c r="Z7" s="21">
        <v>17</v>
      </c>
      <c r="AA7" s="22">
        <v>13.7</v>
      </c>
      <c r="AB7">
        <f>6*17</f>
        <v>102</v>
      </c>
      <c r="AC7" s="80"/>
      <c r="AD7" s="23" t="s">
        <v>65</v>
      </c>
      <c r="AE7" s="21">
        <v>11</v>
      </c>
      <c r="AF7" s="22">
        <v>9.3000000000000007</v>
      </c>
      <c r="AG7">
        <v>44</v>
      </c>
      <c r="AI7" s="87"/>
      <c r="AJ7" s="34" t="s">
        <v>76</v>
      </c>
      <c r="AK7" s="35">
        <v>8</v>
      </c>
      <c r="AL7" s="36">
        <v>6</v>
      </c>
      <c r="AM7">
        <v>40</v>
      </c>
      <c r="AO7" s="71"/>
      <c r="AP7" s="6" t="s">
        <v>90</v>
      </c>
      <c r="AQ7" s="7">
        <v>16</v>
      </c>
      <c r="AR7" s="8">
        <v>11.9</v>
      </c>
      <c r="AS7">
        <f>4*16</f>
        <v>64</v>
      </c>
      <c r="AT7" s="71"/>
      <c r="AU7" s="6" t="s">
        <v>98</v>
      </c>
      <c r="AV7" s="7">
        <v>9</v>
      </c>
      <c r="AW7" s="8">
        <v>4.7</v>
      </c>
      <c r="AX7">
        <f>36</f>
        <v>36</v>
      </c>
      <c r="AY7" s="71"/>
      <c r="AZ7" s="6" t="s">
        <v>89</v>
      </c>
      <c r="BA7" s="7">
        <v>18</v>
      </c>
      <c r="BB7" s="8">
        <v>13.7</v>
      </c>
      <c r="BC7">
        <f>3*18</f>
        <v>54</v>
      </c>
      <c r="BD7" s="80"/>
      <c r="BE7" s="23" t="s">
        <v>107</v>
      </c>
      <c r="BF7" s="21">
        <v>4</v>
      </c>
      <c r="BG7" s="22">
        <v>2.8</v>
      </c>
      <c r="BH7" s="22">
        <v>3.1</v>
      </c>
      <c r="BI7" s="42">
        <v>7.1</v>
      </c>
      <c r="BJ7" s="46">
        <v>12</v>
      </c>
      <c r="BK7" s="80"/>
      <c r="BL7" s="23" t="s">
        <v>108</v>
      </c>
      <c r="BM7" s="21">
        <v>4</v>
      </c>
      <c r="BN7" s="22">
        <v>3.5</v>
      </c>
      <c r="BO7" s="22">
        <v>4</v>
      </c>
      <c r="BP7" s="42">
        <v>9.9</v>
      </c>
      <c r="BQ7" s="46">
        <v>16</v>
      </c>
      <c r="BS7" s="80"/>
      <c r="BT7" s="23" t="s">
        <v>106</v>
      </c>
      <c r="BU7" s="21">
        <v>3</v>
      </c>
      <c r="BV7" s="22">
        <v>3</v>
      </c>
      <c r="BW7" s="22">
        <v>3.2</v>
      </c>
      <c r="BX7" s="42">
        <v>9.6</v>
      </c>
      <c r="BY7" s="46">
        <v>6</v>
      </c>
      <c r="CA7" s="80"/>
      <c r="CB7" s="23" t="s">
        <v>108</v>
      </c>
      <c r="CC7" s="21">
        <v>9</v>
      </c>
      <c r="CD7" s="22">
        <v>8.3000000000000007</v>
      </c>
      <c r="CE7" s="22">
        <v>8.9</v>
      </c>
      <c r="CF7" s="42">
        <v>19.8</v>
      </c>
      <c r="CG7" s="46">
        <v>36</v>
      </c>
    </row>
    <row r="8" spans="1:85" ht="34.5" x14ac:dyDescent="0.35">
      <c r="A8" s="80"/>
      <c r="B8" s="23" t="s">
        <v>66</v>
      </c>
      <c r="C8" s="21">
        <v>17</v>
      </c>
      <c r="D8" s="22">
        <v>17.5</v>
      </c>
      <c r="E8">
        <f>5*17</f>
        <v>85</v>
      </c>
      <c r="G8" s="80"/>
      <c r="H8" s="23" t="s">
        <v>66</v>
      </c>
      <c r="I8" s="21">
        <v>12</v>
      </c>
      <c r="J8" s="22">
        <v>12.4</v>
      </c>
      <c r="K8">
        <f>5*12</f>
        <v>60</v>
      </c>
      <c r="L8" s="80"/>
      <c r="M8" s="23" t="s">
        <v>66</v>
      </c>
      <c r="N8" s="21">
        <v>13</v>
      </c>
      <c r="O8" s="22">
        <v>12.3</v>
      </c>
      <c r="P8">
        <f>5*13</f>
        <v>65</v>
      </c>
      <c r="R8" s="80"/>
      <c r="S8" s="23" t="s">
        <v>66</v>
      </c>
      <c r="T8" s="21">
        <v>9</v>
      </c>
      <c r="U8" s="22">
        <v>8.8000000000000007</v>
      </c>
      <c r="V8">
        <v>45</v>
      </c>
      <c r="X8" s="80"/>
      <c r="Y8" s="23" t="s">
        <v>68</v>
      </c>
      <c r="Z8" s="21">
        <v>23</v>
      </c>
      <c r="AA8" s="22">
        <v>18.5</v>
      </c>
      <c r="AB8">
        <f>7*23</f>
        <v>161</v>
      </c>
      <c r="AC8" s="80"/>
      <c r="AD8" s="23" t="s">
        <v>66</v>
      </c>
      <c r="AE8" s="21">
        <v>9</v>
      </c>
      <c r="AF8" s="22">
        <v>7.6</v>
      </c>
      <c r="AG8">
        <v>45</v>
      </c>
      <c r="AI8" s="87"/>
      <c r="AJ8" s="34" t="s">
        <v>77</v>
      </c>
      <c r="AK8" s="35">
        <v>35</v>
      </c>
      <c r="AL8" s="36">
        <v>26.1</v>
      </c>
      <c r="AM8">
        <f>6*35</f>
        <v>210</v>
      </c>
      <c r="AO8" s="71"/>
      <c r="AP8" s="6" t="s">
        <v>91</v>
      </c>
      <c r="AQ8" s="7">
        <v>25</v>
      </c>
      <c r="AR8" s="8">
        <v>18.5</v>
      </c>
      <c r="AS8">
        <f>5*25</f>
        <v>125</v>
      </c>
      <c r="AT8" s="71"/>
      <c r="AU8" s="6" t="s">
        <v>91</v>
      </c>
      <c r="AV8" s="7">
        <v>17</v>
      </c>
      <c r="AW8" s="8">
        <v>8.9</v>
      </c>
      <c r="AX8">
        <f>5*17</f>
        <v>85</v>
      </c>
      <c r="AY8" s="71"/>
      <c r="AZ8" s="6" t="s">
        <v>90</v>
      </c>
      <c r="BA8" s="7">
        <v>18</v>
      </c>
      <c r="BB8" s="8">
        <v>13.7</v>
      </c>
      <c r="BC8">
        <f>4*18</f>
        <v>72</v>
      </c>
      <c r="BD8" s="80"/>
      <c r="BE8" s="23" t="s">
        <v>108</v>
      </c>
      <c r="BF8" s="21">
        <v>15</v>
      </c>
      <c r="BG8" s="22">
        <v>10.3</v>
      </c>
      <c r="BH8" s="22">
        <v>11.8</v>
      </c>
      <c r="BI8" s="42">
        <v>18.899999999999999</v>
      </c>
      <c r="BJ8">
        <f>4*15</f>
        <v>60</v>
      </c>
      <c r="BK8" s="80"/>
      <c r="BL8" s="23" t="s">
        <v>109</v>
      </c>
      <c r="BM8" s="21">
        <v>15</v>
      </c>
      <c r="BN8" s="22">
        <v>13.2</v>
      </c>
      <c r="BO8" s="22">
        <v>14.9</v>
      </c>
      <c r="BP8" s="42">
        <v>24.8</v>
      </c>
      <c r="BQ8">
        <f>5*15</f>
        <v>75</v>
      </c>
      <c r="BS8" s="80"/>
      <c r="BT8" s="23" t="s">
        <v>107</v>
      </c>
      <c r="BU8" s="21">
        <v>9</v>
      </c>
      <c r="BV8" s="22">
        <v>8.9</v>
      </c>
      <c r="BW8" s="22">
        <v>9.6</v>
      </c>
      <c r="BX8" s="42">
        <v>19.100000000000001</v>
      </c>
      <c r="BY8" s="46">
        <v>27</v>
      </c>
      <c r="CA8" s="80"/>
      <c r="CB8" s="23" t="s">
        <v>109</v>
      </c>
      <c r="CC8" s="21">
        <v>15</v>
      </c>
      <c r="CD8" s="22">
        <v>13.8</v>
      </c>
      <c r="CE8" s="22">
        <v>14.9</v>
      </c>
      <c r="CF8" s="42">
        <v>34.700000000000003</v>
      </c>
      <c r="CG8">
        <f>5*15</f>
        <v>75</v>
      </c>
    </row>
    <row r="9" spans="1:85" ht="34.5" x14ac:dyDescent="0.35">
      <c r="A9" s="80"/>
      <c r="B9" s="23" t="s">
        <v>67</v>
      </c>
      <c r="C9" s="21">
        <v>17</v>
      </c>
      <c r="D9" s="22">
        <v>17.5</v>
      </c>
      <c r="E9">
        <f>6*17</f>
        <v>102</v>
      </c>
      <c r="G9" s="80"/>
      <c r="H9" s="23" t="s">
        <v>67</v>
      </c>
      <c r="I9" s="21">
        <v>20</v>
      </c>
      <c r="J9" s="22">
        <v>20.6</v>
      </c>
      <c r="K9">
        <f>6*20</f>
        <v>120</v>
      </c>
      <c r="L9" s="80"/>
      <c r="M9" s="23" t="s">
        <v>67</v>
      </c>
      <c r="N9" s="21">
        <v>35</v>
      </c>
      <c r="O9" s="22">
        <v>33</v>
      </c>
      <c r="P9">
        <f>6*35</f>
        <v>210</v>
      </c>
      <c r="R9" s="80"/>
      <c r="S9" s="23" t="s">
        <v>67</v>
      </c>
      <c r="T9" s="21">
        <v>20</v>
      </c>
      <c r="U9" s="22">
        <v>19.600000000000001</v>
      </c>
      <c r="V9">
        <v>120</v>
      </c>
      <c r="X9" s="80"/>
      <c r="Y9" s="23" t="s">
        <v>69</v>
      </c>
      <c r="Z9" s="21">
        <v>66</v>
      </c>
      <c r="AA9" s="22">
        <v>53.2</v>
      </c>
      <c r="AB9">
        <f>8*66</f>
        <v>528</v>
      </c>
      <c r="AC9" s="80"/>
      <c r="AD9" s="23" t="s">
        <v>67</v>
      </c>
      <c r="AE9" s="21">
        <v>22</v>
      </c>
      <c r="AF9" s="22">
        <v>18.600000000000001</v>
      </c>
      <c r="AG9">
        <f>6*22</f>
        <v>132</v>
      </c>
      <c r="AI9" s="87"/>
      <c r="AJ9" s="34" t="s">
        <v>78</v>
      </c>
      <c r="AK9" s="35">
        <v>28</v>
      </c>
      <c r="AL9" s="36">
        <v>20.9</v>
      </c>
      <c r="AM9">
        <f>7*28</f>
        <v>196</v>
      </c>
      <c r="AO9" s="71"/>
      <c r="AP9" s="6" t="s">
        <v>92</v>
      </c>
      <c r="AQ9" s="7">
        <v>34</v>
      </c>
      <c r="AR9" s="8">
        <v>25.2</v>
      </c>
      <c r="AS9">
        <f>6*34</f>
        <v>204</v>
      </c>
      <c r="AT9" s="71"/>
      <c r="AU9" s="6" t="s">
        <v>99</v>
      </c>
      <c r="AV9" s="7">
        <v>40</v>
      </c>
      <c r="AW9" s="8">
        <v>20.9</v>
      </c>
      <c r="AX9">
        <f>6*40</f>
        <v>240</v>
      </c>
      <c r="AY9" s="71"/>
      <c r="AZ9" s="6" t="s">
        <v>91</v>
      </c>
      <c r="BA9" s="7">
        <v>19</v>
      </c>
      <c r="BB9" s="8">
        <v>14.5</v>
      </c>
      <c r="BC9">
        <f>5*19</f>
        <v>95</v>
      </c>
      <c r="BD9" s="80"/>
      <c r="BE9" s="23" t="s">
        <v>109</v>
      </c>
      <c r="BF9" s="21">
        <v>22</v>
      </c>
      <c r="BG9" s="22">
        <v>15.2</v>
      </c>
      <c r="BH9" s="22">
        <v>17.3</v>
      </c>
      <c r="BI9" s="42">
        <v>36.200000000000003</v>
      </c>
      <c r="BJ9">
        <f>5*22</f>
        <v>110</v>
      </c>
      <c r="BK9" s="80"/>
      <c r="BL9" s="23" t="s">
        <v>110</v>
      </c>
      <c r="BM9" s="21">
        <v>21</v>
      </c>
      <c r="BN9" s="22">
        <v>18.399999999999999</v>
      </c>
      <c r="BO9" s="22">
        <v>20.8</v>
      </c>
      <c r="BP9" s="42">
        <v>45.5</v>
      </c>
      <c r="BQ9">
        <f>6*21</f>
        <v>126</v>
      </c>
      <c r="BS9" s="80"/>
      <c r="BT9" s="23" t="s">
        <v>108</v>
      </c>
      <c r="BU9" s="21">
        <v>10</v>
      </c>
      <c r="BV9" s="22">
        <v>9.9</v>
      </c>
      <c r="BW9" s="22">
        <v>10.6</v>
      </c>
      <c r="BX9" s="42">
        <v>29.8</v>
      </c>
      <c r="BY9" s="46">
        <v>40</v>
      </c>
      <c r="CA9" s="80"/>
      <c r="CB9" s="23" t="s">
        <v>110</v>
      </c>
      <c r="CC9" s="21">
        <v>18</v>
      </c>
      <c r="CD9" s="22">
        <v>16.5</v>
      </c>
      <c r="CE9" s="22">
        <v>17.8</v>
      </c>
      <c r="CF9" s="42">
        <v>52.5</v>
      </c>
      <c r="CG9">
        <f>6*18</f>
        <v>108</v>
      </c>
    </row>
    <row r="10" spans="1:85" ht="34.5" x14ac:dyDescent="0.35">
      <c r="A10" s="80"/>
      <c r="B10" s="23" t="s">
        <v>68</v>
      </c>
      <c r="C10" s="21">
        <v>11</v>
      </c>
      <c r="D10" s="22">
        <v>11.3</v>
      </c>
      <c r="E10">
        <f>7*11</f>
        <v>77</v>
      </c>
      <c r="G10" s="80"/>
      <c r="H10" s="23" t="s">
        <v>68</v>
      </c>
      <c r="I10" s="21">
        <v>23</v>
      </c>
      <c r="J10" s="22">
        <v>23.7</v>
      </c>
      <c r="K10">
        <f>7*23</f>
        <v>161</v>
      </c>
      <c r="L10" s="80"/>
      <c r="M10" s="23" t="s">
        <v>68</v>
      </c>
      <c r="N10" s="21">
        <v>13</v>
      </c>
      <c r="O10" s="22">
        <v>12.3</v>
      </c>
      <c r="P10">
        <f>7*13</f>
        <v>91</v>
      </c>
      <c r="R10" s="80"/>
      <c r="S10" s="23" t="s">
        <v>68</v>
      </c>
      <c r="T10" s="21">
        <v>13</v>
      </c>
      <c r="U10" s="22">
        <v>12.7</v>
      </c>
      <c r="V10">
        <f>7*13</f>
        <v>91</v>
      </c>
      <c r="X10" s="81"/>
      <c r="Y10" s="23" t="s">
        <v>5</v>
      </c>
      <c r="Z10" s="21">
        <v>124</v>
      </c>
      <c r="AA10" s="22">
        <v>100</v>
      </c>
      <c r="AB10">
        <f>SUM(AB4:AB9)</f>
        <v>868</v>
      </c>
      <c r="AC10" s="80"/>
      <c r="AD10" s="23" t="s">
        <v>68</v>
      </c>
      <c r="AE10" s="21">
        <v>21</v>
      </c>
      <c r="AF10" s="22">
        <v>17.8</v>
      </c>
      <c r="AG10">
        <f>7*21</f>
        <v>147</v>
      </c>
      <c r="AI10" s="87"/>
      <c r="AJ10" s="34" t="s">
        <v>79</v>
      </c>
      <c r="AK10" s="35">
        <v>40</v>
      </c>
      <c r="AL10" s="36">
        <v>29.9</v>
      </c>
      <c r="AM10">
        <f>8*40</f>
        <v>320</v>
      </c>
      <c r="AO10" s="71"/>
      <c r="AP10" s="6" t="s">
        <v>93</v>
      </c>
      <c r="AQ10" s="7">
        <v>24</v>
      </c>
      <c r="AR10" s="8">
        <v>17.8</v>
      </c>
      <c r="AS10">
        <f>7*24</f>
        <v>168</v>
      </c>
      <c r="AT10" s="71"/>
      <c r="AU10" s="6" t="s">
        <v>100</v>
      </c>
      <c r="AV10" s="7">
        <v>30</v>
      </c>
      <c r="AW10" s="8">
        <v>15.7</v>
      </c>
      <c r="AX10">
        <f>7*30</f>
        <v>210</v>
      </c>
      <c r="AY10" s="71"/>
      <c r="AZ10" s="6" t="s">
        <v>92</v>
      </c>
      <c r="BA10" s="7">
        <v>39</v>
      </c>
      <c r="BB10" s="8">
        <v>29.8</v>
      </c>
      <c r="BC10">
        <f>6*39</f>
        <v>234</v>
      </c>
      <c r="BD10" s="80"/>
      <c r="BE10" s="23" t="s">
        <v>110</v>
      </c>
      <c r="BF10" s="21">
        <v>28</v>
      </c>
      <c r="BG10" s="22">
        <v>19.3</v>
      </c>
      <c r="BH10" s="22">
        <v>22</v>
      </c>
      <c r="BI10" s="42">
        <v>58.3</v>
      </c>
      <c r="BJ10">
        <f>6*28</f>
        <v>168</v>
      </c>
      <c r="BK10" s="80"/>
      <c r="BL10" s="23" t="s">
        <v>111</v>
      </c>
      <c r="BM10" s="21">
        <v>21</v>
      </c>
      <c r="BN10" s="22">
        <v>18.399999999999999</v>
      </c>
      <c r="BO10" s="22">
        <v>20.8</v>
      </c>
      <c r="BP10" s="42">
        <v>66.3</v>
      </c>
      <c r="BQ10">
        <f>7*21</f>
        <v>147</v>
      </c>
      <c r="BS10" s="80"/>
      <c r="BT10" s="23" t="s">
        <v>109</v>
      </c>
      <c r="BU10" s="21">
        <v>11</v>
      </c>
      <c r="BV10" s="22">
        <v>10.9</v>
      </c>
      <c r="BW10" s="22">
        <v>11.7</v>
      </c>
      <c r="BX10" s="42">
        <v>41.5</v>
      </c>
      <c r="BY10" s="46">
        <v>55</v>
      </c>
      <c r="CA10" s="80"/>
      <c r="CB10" s="23" t="s">
        <v>111</v>
      </c>
      <c r="CC10" s="21">
        <v>19</v>
      </c>
      <c r="CD10" s="22">
        <v>17.399999999999999</v>
      </c>
      <c r="CE10" s="22">
        <v>18.8</v>
      </c>
      <c r="CF10" s="42">
        <v>71.3</v>
      </c>
      <c r="CG10">
        <f>7*19</f>
        <v>133</v>
      </c>
    </row>
    <row r="11" spans="1:85" ht="34.5" x14ac:dyDescent="0.35">
      <c r="A11" s="80"/>
      <c r="B11" s="23" t="s">
        <v>69</v>
      </c>
      <c r="C11" s="21">
        <v>26</v>
      </c>
      <c r="D11" s="22">
        <v>26.8</v>
      </c>
      <c r="E11">
        <f>8*26</f>
        <v>208</v>
      </c>
      <c r="G11" s="80"/>
      <c r="H11" s="23" t="s">
        <v>69</v>
      </c>
      <c r="I11" s="21">
        <v>27</v>
      </c>
      <c r="J11" s="22">
        <v>27.8</v>
      </c>
      <c r="K11">
        <f>8*27</f>
        <v>216</v>
      </c>
      <c r="L11" s="80"/>
      <c r="M11" s="23" t="s">
        <v>69</v>
      </c>
      <c r="N11" s="21">
        <v>12</v>
      </c>
      <c r="O11" s="22">
        <v>11.3</v>
      </c>
      <c r="P11">
        <f>8*12</f>
        <v>96</v>
      </c>
      <c r="R11" s="80"/>
      <c r="S11" s="23" t="s">
        <v>69</v>
      </c>
      <c r="T11" s="21">
        <v>53</v>
      </c>
      <c r="U11" s="22">
        <v>52</v>
      </c>
      <c r="V11">
        <f>8*53</f>
        <v>424</v>
      </c>
      <c r="X11" s="23" t="s">
        <v>6</v>
      </c>
      <c r="Y11" s="23" t="s">
        <v>70</v>
      </c>
      <c r="Z11" s="21">
        <v>4</v>
      </c>
      <c r="AA11" s="24"/>
      <c r="AB11">
        <f>AB10/Z10</f>
        <v>7</v>
      </c>
      <c r="AC11" s="80"/>
      <c r="AD11" s="23" t="s">
        <v>69</v>
      </c>
      <c r="AE11" s="21">
        <v>32</v>
      </c>
      <c r="AF11" s="22">
        <v>27.1</v>
      </c>
      <c r="AG11">
        <f>8*32</f>
        <v>256</v>
      </c>
      <c r="AI11" s="88"/>
      <c r="AJ11" s="34" t="s">
        <v>5</v>
      </c>
      <c r="AK11" s="35">
        <v>134</v>
      </c>
      <c r="AL11" s="36">
        <v>100</v>
      </c>
      <c r="AM11">
        <f>SUM(AM4:AM10)</f>
        <v>842</v>
      </c>
      <c r="AO11" s="71"/>
      <c r="AP11" s="6" t="s">
        <v>5</v>
      </c>
      <c r="AQ11" s="7">
        <v>135</v>
      </c>
      <c r="AR11" s="8">
        <v>100</v>
      </c>
      <c r="AS11">
        <f>SUM(AS4:AS10)</f>
        <v>646</v>
      </c>
      <c r="AT11" s="71"/>
      <c r="AU11" s="6" t="s">
        <v>101</v>
      </c>
      <c r="AV11" s="7">
        <v>87</v>
      </c>
      <c r="AW11" s="8">
        <v>45.5</v>
      </c>
      <c r="AX11">
        <f>8*87</f>
        <v>696</v>
      </c>
      <c r="AY11" s="71"/>
      <c r="AZ11" s="6" t="s">
        <v>93</v>
      </c>
      <c r="BA11" s="7">
        <v>20</v>
      </c>
      <c r="BB11" s="8">
        <v>15.3</v>
      </c>
      <c r="BC11">
        <f>7*20</f>
        <v>140</v>
      </c>
      <c r="BD11" s="80"/>
      <c r="BE11" s="23" t="s">
        <v>111</v>
      </c>
      <c r="BF11" s="21">
        <v>17</v>
      </c>
      <c r="BG11" s="22">
        <v>11.7</v>
      </c>
      <c r="BH11" s="22">
        <v>13.4</v>
      </c>
      <c r="BI11" s="42">
        <v>71.7</v>
      </c>
      <c r="BJ11">
        <f>7*17</f>
        <v>119</v>
      </c>
      <c r="BK11" s="80"/>
      <c r="BL11" s="23" t="s">
        <v>112</v>
      </c>
      <c r="BM11" s="21">
        <v>34</v>
      </c>
      <c r="BN11" s="22">
        <v>29.8</v>
      </c>
      <c r="BO11" s="22">
        <v>33.700000000000003</v>
      </c>
      <c r="BP11" s="42">
        <v>100</v>
      </c>
      <c r="BQ11">
        <f>8*34</f>
        <v>272</v>
      </c>
      <c r="BS11" s="80"/>
      <c r="BT11" s="23" t="s">
        <v>110</v>
      </c>
      <c r="BU11" s="21">
        <v>20</v>
      </c>
      <c r="BV11" s="22">
        <v>19.8</v>
      </c>
      <c r="BW11" s="22">
        <v>21.3</v>
      </c>
      <c r="BX11" s="42">
        <v>62.8</v>
      </c>
      <c r="BY11" s="46">
        <v>120</v>
      </c>
      <c r="CA11" s="80"/>
      <c r="CB11" s="23" t="s">
        <v>112</v>
      </c>
      <c r="CC11" s="21">
        <v>29</v>
      </c>
      <c r="CD11" s="22">
        <v>26.6</v>
      </c>
      <c r="CE11" s="22">
        <v>28.7</v>
      </c>
      <c r="CF11" s="42">
        <v>100</v>
      </c>
      <c r="CG11">
        <f>8*29</f>
        <v>232</v>
      </c>
    </row>
    <row r="12" spans="1:85" ht="34.5" x14ac:dyDescent="0.35">
      <c r="A12" s="81"/>
      <c r="B12" s="23" t="s">
        <v>5</v>
      </c>
      <c r="C12" s="21">
        <v>97</v>
      </c>
      <c r="D12" s="22">
        <v>100</v>
      </c>
      <c r="E12">
        <f>SUM(E4:E11)</f>
        <v>558</v>
      </c>
      <c r="G12" s="81"/>
      <c r="H12" s="23" t="s">
        <v>5</v>
      </c>
      <c r="I12" s="21">
        <v>97</v>
      </c>
      <c r="J12" s="22">
        <v>100</v>
      </c>
      <c r="K12">
        <f>SUM(K5:K11)</f>
        <v>605</v>
      </c>
      <c r="L12" s="81"/>
      <c r="M12" s="23" t="s">
        <v>5</v>
      </c>
      <c r="N12" s="21">
        <v>106</v>
      </c>
      <c r="O12" s="22">
        <v>100</v>
      </c>
      <c r="P12">
        <f>SUM(P4:P11)</f>
        <v>560</v>
      </c>
      <c r="R12" s="81"/>
      <c r="S12" s="23" t="s">
        <v>5</v>
      </c>
      <c r="T12" s="21">
        <v>102</v>
      </c>
      <c r="U12" s="22">
        <v>100</v>
      </c>
      <c r="V12">
        <f>SUM(V4:V11)</f>
        <v>698</v>
      </c>
      <c r="X12" s="83" t="s">
        <v>5</v>
      </c>
      <c r="Y12" s="83"/>
      <c r="Z12" s="25">
        <v>128</v>
      </c>
      <c r="AA12" s="26"/>
      <c r="AC12" s="81"/>
      <c r="AD12" s="23" t="s">
        <v>5</v>
      </c>
      <c r="AE12" s="21">
        <v>118</v>
      </c>
      <c r="AF12" s="22">
        <v>100</v>
      </c>
      <c r="AG12">
        <f>SUM(AG4:AG11)</f>
        <v>677</v>
      </c>
      <c r="AI12" s="34" t="s">
        <v>6</v>
      </c>
      <c r="AJ12" s="34" t="s">
        <v>80</v>
      </c>
      <c r="AK12" s="35">
        <v>16</v>
      </c>
      <c r="AL12" s="37"/>
      <c r="AM12">
        <f>AM11/AK11</f>
        <v>6.2835820895522385</v>
      </c>
      <c r="AO12" s="71" t="s">
        <v>6</v>
      </c>
      <c r="AP12" s="6" t="s">
        <v>94</v>
      </c>
      <c r="AQ12" s="7">
        <v>37</v>
      </c>
      <c r="AR12" s="9"/>
      <c r="AS12">
        <f>AS11/AQ11</f>
        <v>4.7851851851851848</v>
      </c>
      <c r="AT12" s="71"/>
      <c r="AU12" s="6" t="s">
        <v>5</v>
      </c>
      <c r="AV12" s="7">
        <v>191</v>
      </c>
      <c r="AW12" s="8">
        <v>100</v>
      </c>
      <c r="AX12">
        <f>AX11/AV12</f>
        <v>3.6439790575916229</v>
      </c>
      <c r="AY12" s="71"/>
      <c r="AZ12" s="6" t="s">
        <v>5</v>
      </c>
      <c r="BA12" s="7">
        <v>131</v>
      </c>
      <c r="BB12" s="8">
        <v>100</v>
      </c>
      <c r="BC12">
        <f>SUM(BC5:BC11)</f>
        <v>624</v>
      </c>
      <c r="BD12" s="80"/>
      <c r="BE12" s="23" t="s">
        <v>112</v>
      </c>
      <c r="BF12" s="21">
        <v>36</v>
      </c>
      <c r="BG12" s="22">
        <v>24.8</v>
      </c>
      <c r="BH12" s="22">
        <v>28.3</v>
      </c>
      <c r="BI12" s="42">
        <v>100</v>
      </c>
      <c r="BJ12">
        <f>8*36</f>
        <v>288</v>
      </c>
      <c r="BK12" s="81"/>
      <c r="BL12" s="23" t="s">
        <v>5</v>
      </c>
      <c r="BM12" s="21">
        <v>101</v>
      </c>
      <c r="BN12" s="22">
        <v>88.6</v>
      </c>
      <c r="BO12" s="22">
        <v>100</v>
      </c>
      <c r="BP12" s="43"/>
      <c r="BQ12">
        <f>SUM(BQ5:BQ11)</f>
        <v>652</v>
      </c>
      <c r="BS12" s="80"/>
      <c r="BT12" s="23" t="s">
        <v>111</v>
      </c>
      <c r="BU12" s="21">
        <v>16</v>
      </c>
      <c r="BV12" s="22">
        <v>15.8</v>
      </c>
      <c r="BW12" s="22">
        <v>17</v>
      </c>
      <c r="BX12" s="42">
        <v>79.8</v>
      </c>
      <c r="BY12">
        <f>7*16</f>
        <v>112</v>
      </c>
      <c r="CA12" s="81"/>
      <c r="CB12" s="23" t="s">
        <v>5</v>
      </c>
      <c r="CC12" s="21">
        <v>101</v>
      </c>
      <c r="CD12" s="22">
        <v>92.7</v>
      </c>
      <c r="CE12" s="22">
        <v>100</v>
      </c>
      <c r="CF12" s="43"/>
      <c r="CG12">
        <f>SUM(CG4:CG11)</f>
        <v>606</v>
      </c>
    </row>
    <row r="13" spans="1:85" ht="34.5" x14ac:dyDescent="0.35">
      <c r="A13" s="23" t="s">
        <v>6</v>
      </c>
      <c r="B13" s="23" t="s">
        <v>70</v>
      </c>
      <c r="C13" s="21">
        <v>10</v>
      </c>
      <c r="D13" s="24"/>
      <c r="E13">
        <f>E12/C12</f>
        <v>5.7525773195876289</v>
      </c>
      <c r="G13" s="23" t="s">
        <v>6</v>
      </c>
      <c r="H13" s="23" t="s">
        <v>70</v>
      </c>
      <c r="I13" s="21">
        <v>16</v>
      </c>
      <c r="J13" s="24"/>
      <c r="K13">
        <f>K12/I12</f>
        <v>6.2371134020618557</v>
      </c>
      <c r="L13" s="23" t="s">
        <v>6</v>
      </c>
      <c r="M13" s="23" t="s">
        <v>70</v>
      </c>
      <c r="N13" s="21">
        <v>13</v>
      </c>
      <c r="O13" s="24"/>
      <c r="P13">
        <f>560/106</f>
        <v>5.283018867924528</v>
      </c>
      <c r="R13" s="23" t="s">
        <v>6</v>
      </c>
      <c r="S13" s="23" t="s">
        <v>70</v>
      </c>
      <c r="T13" s="21">
        <v>12</v>
      </c>
      <c r="U13" s="24"/>
      <c r="V13">
        <f>V12/T12</f>
        <v>6.8431372549019605</v>
      </c>
      <c r="AC13" s="23" t="s">
        <v>6</v>
      </c>
      <c r="AD13" s="23" t="s">
        <v>70</v>
      </c>
      <c r="AE13" s="21">
        <v>15</v>
      </c>
      <c r="AF13" s="24"/>
      <c r="AG13">
        <f>AG12/AE12</f>
        <v>5.7372881355932206</v>
      </c>
      <c r="AI13" s="89" t="s">
        <v>5</v>
      </c>
      <c r="AJ13" s="89"/>
      <c r="AK13" s="38">
        <v>150</v>
      </c>
      <c r="AL13" s="39"/>
      <c r="AO13" s="71"/>
      <c r="AP13" s="6">
        <v>9</v>
      </c>
      <c r="AQ13" s="7">
        <v>15</v>
      </c>
      <c r="AR13" s="9"/>
      <c r="AT13" s="14" t="s">
        <v>6</v>
      </c>
      <c r="AU13" s="6">
        <v>9</v>
      </c>
      <c r="AV13" s="7">
        <v>13</v>
      </c>
      <c r="AW13" s="9"/>
      <c r="AY13" s="71" t="s">
        <v>6</v>
      </c>
      <c r="AZ13" s="6" t="s">
        <v>94</v>
      </c>
      <c r="BA13" s="7">
        <v>32</v>
      </c>
      <c r="BB13" s="9"/>
      <c r="BC13">
        <f>BC12/BA12</f>
        <v>4.7633587786259541</v>
      </c>
      <c r="BD13" s="81"/>
      <c r="BE13" s="23" t="s">
        <v>5</v>
      </c>
      <c r="BF13" s="21">
        <v>127</v>
      </c>
      <c r="BG13" s="22">
        <v>87.6</v>
      </c>
      <c r="BH13" s="22">
        <v>100</v>
      </c>
      <c r="BI13" s="43"/>
      <c r="BJ13">
        <f>SUM(BJ5:BJ12)</f>
        <v>764</v>
      </c>
      <c r="BK13" s="23" t="s">
        <v>6</v>
      </c>
      <c r="BL13" s="20">
        <v>9</v>
      </c>
      <c r="BM13" s="21">
        <v>13</v>
      </c>
      <c r="BN13" s="22">
        <v>11.4</v>
      </c>
      <c r="BO13" s="24"/>
      <c r="BP13" s="43"/>
      <c r="BQ13">
        <f>BQ12/BM12</f>
        <v>6.4554455445544559</v>
      </c>
      <c r="BS13" s="80"/>
      <c r="BT13" s="23" t="s">
        <v>112</v>
      </c>
      <c r="BU13" s="21">
        <v>19</v>
      </c>
      <c r="BV13" s="22">
        <v>18.8</v>
      </c>
      <c r="BW13" s="22">
        <v>20.2</v>
      </c>
      <c r="BX13" s="42">
        <v>100</v>
      </c>
      <c r="BY13">
        <f>8*19</f>
        <v>152</v>
      </c>
      <c r="CA13" s="23" t="s">
        <v>6</v>
      </c>
      <c r="CB13" s="20">
        <v>9</v>
      </c>
      <c r="CC13" s="21">
        <v>8</v>
      </c>
      <c r="CD13" s="22">
        <v>7.3</v>
      </c>
      <c r="CE13" s="24"/>
      <c r="CF13" s="43"/>
      <c r="CG13">
        <f>CG12/CC12</f>
        <v>6</v>
      </c>
    </row>
    <row r="14" spans="1:85" ht="15" thickBot="1" x14ac:dyDescent="0.4">
      <c r="A14" s="83" t="s">
        <v>5</v>
      </c>
      <c r="B14" s="83"/>
      <c r="C14" s="25">
        <v>107</v>
      </c>
      <c r="D14" s="26"/>
      <c r="G14" s="83" t="s">
        <v>5</v>
      </c>
      <c r="H14" s="83"/>
      <c r="I14" s="25">
        <v>113</v>
      </c>
      <c r="J14" s="26"/>
      <c r="L14" s="83" t="s">
        <v>5</v>
      </c>
      <c r="M14" s="83"/>
      <c r="N14" s="25">
        <v>119</v>
      </c>
      <c r="O14" s="26"/>
      <c r="R14" s="83" t="s">
        <v>5</v>
      </c>
      <c r="S14" s="83"/>
      <c r="T14" s="25">
        <v>114</v>
      </c>
      <c r="U14" s="26"/>
      <c r="AC14" s="83" t="s">
        <v>5</v>
      </c>
      <c r="AD14" s="83"/>
      <c r="AE14" s="25">
        <v>133</v>
      </c>
      <c r="AF14" s="26"/>
      <c r="AO14" s="71"/>
      <c r="AP14" s="6" t="s">
        <v>5</v>
      </c>
      <c r="AQ14" s="7">
        <v>52</v>
      </c>
      <c r="AR14" s="9"/>
      <c r="AT14" s="72" t="s">
        <v>5</v>
      </c>
      <c r="AU14" s="73"/>
      <c r="AV14" s="10">
        <v>204</v>
      </c>
      <c r="AW14" s="11"/>
      <c r="AY14" s="71"/>
      <c r="AZ14" s="6">
        <v>9</v>
      </c>
      <c r="BA14" s="7">
        <v>11</v>
      </c>
      <c r="BB14" s="9"/>
      <c r="BD14" s="23" t="s">
        <v>6</v>
      </c>
      <c r="BE14" s="20">
        <v>9</v>
      </c>
      <c r="BF14" s="21">
        <v>18</v>
      </c>
      <c r="BG14" s="22">
        <v>12.4</v>
      </c>
      <c r="BH14" s="24"/>
      <c r="BI14" s="43"/>
      <c r="BJ14">
        <f>BJ13/BF13</f>
        <v>6.015748031496063</v>
      </c>
      <c r="BK14" s="83" t="s">
        <v>5</v>
      </c>
      <c r="BL14" s="83"/>
      <c r="BM14" s="25">
        <v>114</v>
      </c>
      <c r="BN14" s="44">
        <v>100</v>
      </c>
      <c r="BO14" s="26"/>
      <c r="BP14" s="45"/>
      <c r="BS14" s="81"/>
      <c r="BT14" s="23" t="s">
        <v>5</v>
      </c>
      <c r="BU14" s="21">
        <v>94</v>
      </c>
      <c r="BV14" s="22">
        <v>93.1</v>
      </c>
      <c r="BW14" s="22">
        <v>100</v>
      </c>
      <c r="BX14" s="43"/>
      <c r="BY14">
        <f>SUM(BY6:BY13)</f>
        <v>518</v>
      </c>
      <c r="CA14" s="83" t="s">
        <v>5</v>
      </c>
      <c r="CB14" s="83"/>
      <c r="CC14" s="25">
        <v>109</v>
      </c>
      <c r="CD14" s="44">
        <v>100</v>
      </c>
      <c r="CE14" s="26"/>
      <c r="CF14" s="45"/>
    </row>
    <row r="15" spans="1:85" ht="15" thickBot="1" x14ac:dyDescent="0.4">
      <c r="AO15" s="72" t="s">
        <v>5</v>
      </c>
      <c r="AP15" s="73"/>
      <c r="AQ15" s="10">
        <v>187</v>
      </c>
      <c r="AR15" s="11"/>
      <c r="AY15" s="71"/>
      <c r="AZ15" s="6" t="s">
        <v>5</v>
      </c>
      <c r="BA15" s="7">
        <v>43</v>
      </c>
      <c r="BB15" s="9"/>
      <c r="BD15" s="83" t="s">
        <v>5</v>
      </c>
      <c r="BE15" s="83"/>
      <c r="BF15" s="25">
        <v>145</v>
      </c>
      <c r="BG15" s="44">
        <v>100</v>
      </c>
      <c r="BH15" s="26"/>
      <c r="BI15" s="45"/>
      <c r="BS15" s="23" t="s">
        <v>6</v>
      </c>
      <c r="BT15" s="20">
        <v>9</v>
      </c>
      <c r="BU15" s="21">
        <v>7</v>
      </c>
      <c r="BV15" s="22">
        <v>6.9</v>
      </c>
      <c r="BW15" s="24"/>
      <c r="BX15" s="43"/>
      <c r="BY15">
        <f>BY14/BU14</f>
        <v>5.5106382978723403</v>
      </c>
    </row>
    <row r="16" spans="1:85" ht="15" thickBot="1" x14ac:dyDescent="0.4">
      <c r="B16" s="75" t="s">
        <v>117</v>
      </c>
      <c r="C16" s="75"/>
      <c r="D16" s="75"/>
      <c r="E16" s="75"/>
      <c r="G16" s="75" t="s">
        <v>131</v>
      </c>
      <c r="H16" s="75"/>
      <c r="I16" s="75"/>
      <c r="J16" s="75"/>
      <c r="K16" s="75"/>
      <c r="M16" s="75" t="s">
        <v>148</v>
      </c>
      <c r="N16" s="75"/>
      <c r="O16" s="75"/>
      <c r="P16" s="75"/>
      <c r="S16" s="75" t="s">
        <v>133</v>
      </c>
      <c r="T16" s="75"/>
      <c r="U16" s="75"/>
      <c r="V16" s="75"/>
      <c r="W16" s="75"/>
      <c r="Y16" s="75" t="s">
        <v>130</v>
      </c>
      <c r="Z16" s="75"/>
      <c r="AA16" s="75"/>
      <c r="AB16" s="75"/>
      <c r="AF16" s="75" t="s">
        <v>150</v>
      </c>
      <c r="AG16" s="75"/>
      <c r="AH16" s="75"/>
      <c r="AI16" s="75"/>
      <c r="AJ16" s="75"/>
      <c r="AY16" s="72" t="s">
        <v>5</v>
      </c>
      <c r="AZ16" s="73"/>
      <c r="BA16" s="10">
        <v>174</v>
      </c>
      <c r="BB16" s="11"/>
      <c r="BS16" s="83" t="s">
        <v>5</v>
      </c>
      <c r="BT16" s="83"/>
      <c r="BU16" s="25">
        <v>101</v>
      </c>
      <c r="BV16" s="44">
        <v>100</v>
      </c>
      <c r="BW16" s="26"/>
      <c r="BX16" s="45"/>
    </row>
    <row r="17" spans="1:78" x14ac:dyDescent="0.35">
      <c r="A17" s="77" t="s">
        <v>143</v>
      </c>
      <c r="B17" s="77"/>
      <c r="C17" s="77"/>
      <c r="D17" s="77"/>
      <c r="E17" s="77"/>
      <c r="G17" s="77" t="s">
        <v>143</v>
      </c>
      <c r="H17" s="77"/>
      <c r="I17" s="77"/>
      <c r="J17" s="77"/>
      <c r="K17" s="77"/>
      <c r="M17" s="77" t="s">
        <v>143</v>
      </c>
      <c r="N17" s="77"/>
      <c r="O17" s="77"/>
      <c r="P17" s="77"/>
      <c r="Q17" s="77"/>
      <c r="S17" s="77" t="s">
        <v>143</v>
      </c>
      <c r="T17" s="77"/>
      <c r="U17" s="77"/>
      <c r="V17" s="77"/>
      <c r="W17" s="77"/>
      <c r="Y17" s="77" t="s">
        <v>143</v>
      </c>
      <c r="Z17" s="77"/>
      <c r="AA17" s="77"/>
      <c r="AB17" s="77"/>
      <c r="AC17" s="77"/>
      <c r="AD17" s="77"/>
      <c r="AM17" s="75" t="s">
        <v>153</v>
      </c>
      <c r="AN17" s="75"/>
      <c r="AO17" s="75"/>
      <c r="AP17" s="75"/>
      <c r="AS17" s="75" t="s">
        <v>136</v>
      </c>
      <c r="AT17" s="75"/>
      <c r="AU17" s="75"/>
      <c r="AV17" s="75"/>
      <c r="AW17" s="75"/>
      <c r="BE17" s="75" t="s">
        <v>83</v>
      </c>
      <c r="BF17" s="75"/>
      <c r="BG17" s="75"/>
      <c r="BH17" s="75"/>
      <c r="BJ17" s="75" t="s">
        <v>84</v>
      </c>
      <c r="BK17" s="75"/>
      <c r="BL17" s="75"/>
      <c r="BM17" s="75"/>
      <c r="BO17" s="75" t="s">
        <v>10</v>
      </c>
      <c r="BP17" s="75"/>
      <c r="BQ17" s="75"/>
      <c r="BR17" s="75"/>
    </row>
    <row r="18" spans="1:78" ht="24" x14ac:dyDescent="0.35">
      <c r="A18" s="78"/>
      <c r="B18" s="78"/>
      <c r="C18" s="15" t="s">
        <v>1</v>
      </c>
      <c r="D18" s="16" t="s">
        <v>103</v>
      </c>
      <c r="E18" s="16" t="s">
        <v>2</v>
      </c>
      <c r="G18" s="78"/>
      <c r="H18" s="78"/>
      <c r="I18" s="15" t="s">
        <v>1</v>
      </c>
      <c r="J18" s="16" t="s">
        <v>103</v>
      </c>
      <c r="K18" s="16" t="s">
        <v>2</v>
      </c>
      <c r="M18" s="78"/>
      <c r="N18" s="78"/>
      <c r="O18" s="15" t="s">
        <v>1</v>
      </c>
      <c r="P18" s="16" t="s">
        <v>103</v>
      </c>
      <c r="Q18" s="16" t="s">
        <v>2</v>
      </c>
      <c r="S18" s="78"/>
      <c r="T18" s="78"/>
      <c r="U18" s="15" t="s">
        <v>1</v>
      </c>
      <c r="V18" s="16" t="s">
        <v>103</v>
      </c>
      <c r="W18" s="16" t="s">
        <v>2</v>
      </c>
      <c r="Y18" s="78"/>
      <c r="Z18" s="78"/>
      <c r="AA18" s="15" t="s">
        <v>1</v>
      </c>
      <c r="AB18" s="16" t="s">
        <v>103</v>
      </c>
      <c r="AC18" s="16" t="s">
        <v>2</v>
      </c>
      <c r="AD18" s="40" t="s">
        <v>104</v>
      </c>
      <c r="AF18" s="77" t="s">
        <v>143</v>
      </c>
      <c r="AG18" s="77"/>
      <c r="AH18" s="77"/>
      <c r="AI18" s="77"/>
      <c r="AJ18" s="77"/>
      <c r="AL18" s="77" t="s">
        <v>143</v>
      </c>
      <c r="AM18" s="77"/>
      <c r="AN18" s="77"/>
      <c r="AO18" s="77"/>
      <c r="AP18" s="77"/>
      <c r="AQ18" s="77"/>
      <c r="AS18" s="77" t="s">
        <v>143</v>
      </c>
      <c r="AT18" s="77"/>
      <c r="AU18" s="77"/>
      <c r="AV18" s="77"/>
      <c r="AW18" s="77"/>
      <c r="AX18" s="77"/>
      <c r="AZ18" s="75" t="s">
        <v>154</v>
      </c>
      <c r="BA18" s="75"/>
      <c r="BB18" s="75"/>
      <c r="BC18" s="75"/>
      <c r="BE18" s="77" t="s">
        <v>61</v>
      </c>
      <c r="BF18" s="77"/>
      <c r="BG18" s="77"/>
      <c r="BH18" s="77"/>
      <c r="BT18" s="75" t="s">
        <v>156</v>
      </c>
      <c r="BU18" s="75"/>
      <c r="BV18" s="75"/>
      <c r="BW18" s="75"/>
      <c r="BX18" s="75"/>
    </row>
    <row r="19" spans="1:78" ht="24" x14ac:dyDescent="0.35">
      <c r="A19" s="79" t="s">
        <v>3</v>
      </c>
      <c r="B19" s="28" t="s">
        <v>105</v>
      </c>
      <c r="C19" s="50">
        <v>4</v>
      </c>
      <c r="D19" s="47">
        <v>6</v>
      </c>
      <c r="E19" s="47">
        <v>6.5</v>
      </c>
      <c r="F19">
        <f>4</f>
        <v>4</v>
      </c>
      <c r="G19" s="79" t="s">
        <v>3</v>
      </c>
      <c r="H19" s="28" t="s">
        <v>147</v>
      </c>
      <c r="I19" s="50">
        <v>2</v>
      </c>
      <c r="J19" s="47">
        <v>3.1</v>
      </c>
      <c r="K19" s="47">
        <v>3.7</v>
      </c>
      <c r="L19" s="56">
        <v>2</v>
      </c>
      <c r="M19" s="79" t="s">
        <v>3</v>
      </c>
      <c r="N19" s="28" t="s">
        <v>105</v>
      </c>
      <c r="O19" s="50">
        <v>3</v>
      </c>
      <c r="P19" s="47">
        <v>2.1</v>
      </c>
      <c r="Q19" s="47">
        <v>2.5</v>
      </c>
      <c r="R19" s="56">
        <v>3</v>
      </c>
      <c r="S19" s="79" t="s">
        <v>3</v>
      </c>
      <c r="T19" s="28" t="s">
        <v>105</v>
      </c>
      <c r="U19" s="50">
        <v>8</v>
      </c>
      <c r="V19" s="47">
        <v>4.3</v>
      </c>
      <c r="W19" s="47">
        <v>5</v>
      </c>
      <c r="X19" s="56">
        <v>8</v>
      </c>
      <c r="Y19" s="79" t="s">
        <v>3</v>
      </c>
      <c r="Z19" s="28" t="s">
        <v>105</v>
      </c>
      <c r="AA19" s="50">
        <v>4</v>
      </c>
      <c r="AB19" s="47">
        <v>5.0999999999999996</v>
      </c>
      <c r="AC19" s="47">
        <v>5.6</v>
      </c>
      <c r="AD19" s="57">
        <v>5.6</v>
      </c>
      <c r="AE19" s="56">
        <v>4</v>
      </c>
      <c r="AF19" s="78"/>
      <c r="AG19" s="78"/>
      <c r="AH19" s="15" t="s">
        <v>1</v>
      </c>
      <c r="AI19" s="16" t="s">
        <v>103</v>
      </c>
      <c r="AJ19" s="16" t="s">
        <v>2</v>
      </c>
      <c r="AL19" s="78"/>
      <c r="AM19" s="78"/>
      <c r="AN19" s="15" t="s">
        <v>1</v>
      </c>
      <c r="AO19" s="16" t="s">
        <v>103</v>
      </c>
      <c r="AP19" s="16" t="s">
        <v>2</v>
      </c>
      <c r="AQ19" s="40" t="s">
        <v>104</v>
      </c>
      <c r="AS19" s="78"/>
      <c r="AT19" s="78"/>
      <c r="AU19" s="15" t="s">
        <v>1</v>
      </c>
      <c r="AV19" s="16" t="s">
        <v>103</v>
      </c>
      <c r="AW19" s="16" t="s">
        <v>2</v>
      </c>
      <c r="AX19" s="40" t="s">
        <v>104</v>
      </c>
      <c r="AZ19" s="77" t="s">
        <v>61</v>
      </c>
      <c r="BA19" s="77"/>
      <c r="BB19" s="77"/>
      <c r="BC19" s="77"/>
      <c r="BE19" s="85"/>
      <c r="BF19" s="85"/>
      <c r="BG19" s="29" t="s">
        <v>1</v>
      </c>
      <c r="BH19" s="30" t="s">
        <v>2</v>
      </c>
      <c r="BJ19" s="77" t="s">
        <v>61</v>
      </c>
      <c r="BK19" s="77"/>
      <c r="BL19" s="77"/>
      <c r="BM19" s="77"/>
      <c r="BT19" s="77" t="s">
        <v>102</v>
      </c>
      <c r="BU19" s="77"/>
      <c r="BV19" s="77"/>
      <c r="BW19" s="77"/>
      <c r="BX19" s="77"/>
      <c r="BY19" s="77"/>
    </row>
    <row r="20" spans="1:78" ht="35" thickBot="1" x14ac:dyDescent="0.4">
      <c r="A20" s="80"/>
      <c r="B20" s="20" t="s">
        <v>106</v>
      </c>
      <c r="C20" s="51">
        <v>5</v>
      </c>
      <c r="D20" s="48">
        <v>7.5</v>
      </c>
      <c r="E20" s="48">
        <v>8.1</v>
      </c>
      <c r="F20" s="56">
        <v>10</v>
      </c>
      <c r="G20" s="80"/>
      <c r="H20" s="20" t="s">
        <v>106</v>
      </c>
      <c r="I20" s="51">
        <v>5</v>
      </c>
      <c r="J20" s="48">
        <v>7.8</v>
      </c>
      <c r="K20" s="48">
        <v>9.3000000000000007</v>
      </c>
      <c r="L20" s="56">
        <v>10</v>
      </c>
      <c r="M20" s="80"/>
      <c r="N20" s="20" t="s">
        <v>106</v>
      </c>
      <c r="O20" s="51">
        <v>11</v>
      </c>
      <c r="P20" s="48">
        <v>7.8</v>
      </c>
      <c r="Q20" s="48">
        <v>9</v>
      </c>
      <c r="R20" s="56">
        <v>22</v>
      </c>
      <c r="S20" s="80"/>
      <c r="T20" s="20" t="s">
        <v>106</v>
      </c>
      <c r="U20" s="51">
        <v>16</v>
      </c>
      <c r="V20" s="48">
        <v>8.6</v>
      </c>
      <c r="W20" s="48">
        <v>9.9</v>
      </c>
      <c r="X20">
        <f>2*16</f>
        <v>32</v>
      </c>
      <c r="Y20" s="80"/>
      <c r="Z20" s="20" t="s">
        <v>106</v>
      </c>
      <c r="AA20" s="51">
        <v>1</v>
      </c>
      <c r="AB20" s="48">
        <v>1.3</v>
      </c>
      <c r="AC20" s="48">
        <v>1.4</v>
      </c>
      <c r="AD20" s="58">
        <v>6.9</v>
      </c>
      <c r="AE20" s="56">
        <v>2</v>
      </c>
      <c r="AF20" s="79" t="s">
        <v>3</v>
      </c>
      <c r="AG20" s="28" t="s">
        <v>105</v>
      </c>
      <c r="AH20" s="50">
        <v>1</v>
      </c>
      <c r="AI20" s="47">
        <v>0.8</v>
      </c>
      <c r="AJ20" s="47">
        <v>1</v>
      </c>
      <c r="AK20">
        <f>1</f>
        <v>1</v>
      </c>
      <c r="AL20" s="79" t="s">
        <v>3</v>
      </c>
      <c r="AM20" s="28" t="s">
        <v>107</v>
      </c>
      <c r="AN20" s="50">
        <v>2</v>
      </c>
      <c r="AO20" s="47">
        <v>2.2000000000000002</v>
      </c>
      <c r="AP20" s="47">
        <v>2.6</v>
      </c>
      <c r="AQ20" s="57">
        <v>2.6</v>
      </c>
      <c r="AR20">
        <f>6</f>
        <v>6</v>
      </c>
      <c r="AS20" s="79" t="s">
        <v>3</v>
      </c>
      <c r="AT20" s="28" t="s">
        <v>105</v>
      </c>
      <c r="AU20" s="50">
        <v>3</v>
      </c>
      <c r="AV20" s="47">
        <v>3.3</v>
      </c>
      <c r="AW20" s="47">
        <v>3.7</v>
      </c>
      <c r="AX20" s="57">
        <v>3.7</v>
      </c>
      <c r="AY20" s="56">
        <v>3</v>
      </c>
      <c r="AZ20" s="85"/>
      <c r="BA20" s="85"/>
      <c r="BB20" s="29" t="s">
        <v>1</v>
      </c>
      <c r="BC20" s="30" t="s">
        <v>2</v>
      </c>
      <c r="BE20" s="86" t="s">
        <v>3</v>
      </c>
      <c r="BF20" s="31" t="s">
        <v>73</v>
      </c>
      <c r="BG20" s="32">
        <v>4</v>
      </c>
      <c r="BH20" s="33">
        <v>3.4</v>
      </c>
      <c r="BI20">
        <v>8</v>
      </c>
      <c r="BJ20" s="85"/>
      <c r="BK20" s="85"/>
      <c r="BL20" s="29" t="s">
        <v>1</v>
      </c>
      <c r="BM20" s="30" t="s">
        <v>2</v>
      </c>
      <c r="BO20" s="74" t="s">
        <v>86</v>
      </c>
      <c r="BP20" s="74"/>
      <c r="BQ20" s="74"/>
      <c r="BR20" s="74"/>
      <c r="BT20" s="78"/>
      <c r="BU20" s="78"/>
      <c r="BV20" s="15" t="s">
        <v>1</v>
      </c>
      <c r="BW20" s="16" t="s">
        <v>103</v>
      </c>
      <c r="BX20" s="16" t="s">
        <v>2</v>
      </c>
      <c r="BY20" s="40" t="s">
        <v>104</v>
      </c>
    </row>
    <row r="21" spans="1:78" ht="35" thickBot="1" x14ac:dyDescent="0.4">
      <c r="A21" s="80"/>
      <c r="B21" s="20" t="s">
        <v>107</v>
      </c>
      <c r="C21" s="51">
        <v>9</v>
      </c>
      <c r="D21" s="48">
        <v>13.4</v>
      </c>
      <c r="E21" s="48">
        <v>14.5</v>
      </c>
      <c r="F21" s="56">
        <v>27</v>
      </c>
      <c r="G21" s="80"/>
      <c r="H21" s="20" t="s">
        <v>107</v>
      </c>
      <c r="I21" s="51">
        <v>6</v>
      </c>
      <c r="J21" s="48">
        <v>9.4</v>
      </c>
      <c r="K21" s="48">
        <v>11.1</v>
      </c>
      <c r="L21" s="56">
        <v>18</v>
      </c>
      <c r="M21" s="80"/>
      <c r="N21" s="20" t="s">
        <v>107</v>
      </c>
      <c r="O21" s="51">
        <v>4</v>
      </c>
      <c r="P21" s="48">
        <v>2.8</v>
      </c>
      <c r="Q21" s="48">
        <v>3.3</v>
      </c>
      <c r="R21" s="56">
        <v>12</v>
      </c>
      <c r="S21" s="80"/>
      <c r="T21" s="20" t="s">
        <v>107</v>
      </c>
      <c r="U21" s="51">
        <v>16</v>
      </c>
      <c r="V21" s="48">
        <v>8.6</v>
      </c>
      <c r="W21" s="48">
        <v>9.9</v>
      </c>
      <c r="X21">
        <f>3*16</f>
        <v>48</v>
      </c>
      <c r="Y21" s="80"/>
      <c r="Z21" s="20" t="s">
        <v>107</v>
      </c>
      <c r="AA21" s="51">
        <v>4</v>
      </c>
      <c r="AB21" s="48">
        <v>5.0999999999999996</v>
      </c>
      <c r="AC21" s="48">
        <v>5.6</v>
      </c>
      <c r="AD21" s="58">
        <v>12.5</v>
      </c>
      <c r="AE21" s="56">
        <v>12</v>
      </c>
      <c r="AF21" s="80"/>
      <c r="AG21" s="20" t="s">
        <v>106</v>
      </c>
      <c r="AH21" s="51">
        <v>2</v>
      </c>
      <c r="AI21" s="48">
        <v>1.7</v>
      </c>
      <c r="AJ21" s="48">
        <v>1.9</v>
      </c>
      <c r="AK21">
        <f>4</f>
        <v>4</v>
      </c>
      <c r="AL21" s="80"/>
      <c r="AM21" s="20" t="s">
        <v>144</v>
      </c>
      <c r="AN21" s="51">
        <v>3</v>
      </c>
      <c r="AO21" s="48">
        <v>3.3</v>
      </c>
      <c r="AP21" s="48">
        <v>3.9</v>
      </c>
      <c r="AQ21" s="58">
        <v>6.6</v>
      </c>
      <c r="AR21" s="56">
        <v>12</v>
      </c>
      <c r="AS21" s="80"/>
      <c r="AT21" s="20" t="s">
        <v>106</v>
      </c>
      <c r="AU21" s="51">
        <v>3</v>
      </c>
      <c r="AV21" s="48">
        <v>3.3</v>
      </c>
      <c r="AW21" s="48">
        <v>3.7</v>
      </c>
      <c r="AX21" s="58">
        <v>7.3</v>
      </c>
      <c r="AY21" s="56">
        <v>6</v>
      </c>
      <c r="AZ21" s="86" t="s">
        <v>3</v>
      </c>
      <c r="BA21" s="31" t="s">
        <v>73</v>
      </c>
      <c r="BB21" s="32">
        <v>4</v>
      </c>
      <c r="BC21" s="33">
        <v>3</v>
      </c>
      <c r="BD21">
        <v>8</v>
      </c>
      <c r="BE21" s="87"/>
      <c r="BF21" s="34" t="s">
        <v>74</v>
      </c>
      <c r="BG21" s="35">
        <v>5</v>
      </c>
      <c r="BH21" s="36">
        <v>4.3</v>
      </c>
      <c r="BI21">
        <v>15</v>
      </c>
      <c r="BJ21" s="86" t="s">
        <v>3</v>
      </c>
      <c r="BK21" s="31" t="s">
        <v>155</v>
      </c>
      <c r="BL21" s="32">
        <v>1</v>
      </c>
      <c r="BM21" s="33">
        <v>1.4</v>
      </c>
      <c r="BN21">
        <v>1</v>
      </c>
      <c r="BO21" s="68" t="s">
        <v>0</v>
      </c>
      <c r="BP21" s="69"/>
      <c r="BQ21" s="1" t="s">
        <v>1</v>
      </c>
      <c r="BR21" s="2" t="s">
        <v>2</v>
      </c>
      <c r="BT21" s="79" t="s">
        <v>3</v>
      </c>
      <c r="BU21" s="17" t="s">
        <v>105</v>
      </c>
      <c r="BV21" s="18">
        <v>3</v>
      </c>
      <c r="BW21" s="19">
        <v>2.1</v>
      </c>
      <c r="BX21" s="19">
        <v>2.4</v>
      </c>
      <c r="BY21" s="41">
        <v>2.4</v>
      </c>
      <c r="BZ21">
        <f>3</f>
        <v>3</v>
      </c>
    </row>
    <row r="22" spans="1:78" ht="34.5" x14ac:dyDescent="0.35">
      <c r="A22" s="80"/>
      <c r="B22" s="20" t="s">
        <v>144</v>
      </c>
      <c r="C22" s="51">
        <v>5</v>
      </c>
      <c r="D22" s="48">
        <v>7.5</v>
      </c>
      <c r="E22" s="48">
        <v>8.1</v>
      </c>
      <c r="F22" s="56">
        <v>20</v>
      </c>
      <c r="G22" s="80"/>
      <c r="H22" s="20" t="s">
        <v>144</v>
      </c>
      <c r="I22" s="51">
        <v>15</v>
      </c>
      <c r="J22" s="48">
        <v>23.4</v>
      </c>
      <c r="K22" s="48">
        <v>27.8</v>
      </c>
      <c r="L22" s="56">
        <v>60</v>
      </c>
      <c r="M22" s="80"/>
      <c r="N22" s="20" t="s">
        <v>144</v>
      </c>
      <c r="O22" s="51">
        <v>15</v>
      </c>
      <c r="P22" s="48">
        <v>10.6</v>
      </c>
      <c r="Q22" s="48">
        <v>12.3</v>
      </c>
      <c r="R22" s="56">
        <v>60</v>
      </c>
      <c r="S22" s="80"/>
      <c r="T22" s="20" t="s">
        <v>144</v>
      </c>
      <c r="U22" s="51">
        <v>14</v>
      </c>
      <c r="V22" s="48">
        <v>7.5</v>
      </c>
      <c r="W22" s="48">
        <v>8.6999999999999993</v>
      </c>
      <c r="X22">
        <f>4*14</f>
        <v>56</v>
      </c>
      <c r="Y22" s="80"/>
      <c r="Z22" s="20" t="s">
        <v>144</v>
      </c>
      <c r="AA22" s="51">
        <v>8</v>
      </c>
      <c r="AB22" s="48">
        <v>10.1</v>
      </c>
      <c r="AC22" s="48">
        <v>11.1</v>
      </c>
      <c r="AD22" s="58">
        <v>23.6</v>
      </c>
      <c r="AE22" s="56">
        <v>32</v>
      </c>
      <c r="AF22" s="80"/>
      <c r="AG22" s="20" t="s">
        <v>107</v>
      </c>
      <c r="AH22" s="51">
        <v>10</v>
      </c>
      <c r="AI22" s="48">
        <v>8.4</v>
      </c>
      <c r="AJ22" s="48">
        <v>9.6999999999999993</v>
      </c>
      <c r="AK22">
        <f>30</f>
        <v>30</v>
      </c>
      <c r="AL22" s="80"/>
      <c r="AM22" s="20" t="s">
        <v>151</v>
      </c>
      <c r="AN22" s="51">
        <v>4</v>
      </c>
      <c r="AO22" s="48">
        <v>4.4000000000000004</v>
      </c>
      <c r="AP22" s="48">
        <v>5.3</v>
      </c>
      <c r="AQ22" s="58">
        <v>11.8</v>
      </c>
      <c r="AR22" s="56">
        <v>20</v>
      </c>
      <c r="AS22" s="80"/>
      <c r="AT22" s="20" t="s">
        <v>107</v>
      </c>
      <c r="AU22" s="51">
        <v>5</v>
      </c>
      <c r="AV22" s="48">
        <v>5.6</v>
      </c>
      <c r="AW22" s="48">
        <v>6.1</v>
      </c>
      <c r="AX22" s="58">
        <v>13.4</v>
      </c>
      <c r="AY22" s="56">
        <v>15</v>
      </c>
      <c r="AZ22" s="87"/>
      <c r="BA22" s="34" t="s">
        <v>74</v>
      </c>
      <c r="BB22" s="35">
        <v>8</v>
      </c>
      <c r="BC22" s="36">
        <v>6</v>
      </c>
      <c r="BD22">
        <v>24</v>
      </c>
      <c r="BE22" s="87"/>
      <c r="BF22" s="34" t="s">
        <v>75</v>
      </c>
      <c r="BG22" s="35">
        <v>7</v>
      </c>
      <c r="BH22" s="36">
        <v>6</v>
      </c>
      <c r="BI22">
        <f>4*7</f>
        <v>28</v>
      </c>
      <c r="BJ22" s="87"/>
      <c r="BK22" s="34" t="s">
        <v>73</v>
      </c>
      <c r="BL22" s="35">
        <v>3</v>
      </c>
      <c r="BM22" s="36">
        <v>4.2</v>
      </c>
      <c r="BN22">
        <v>6</v>
      </c>
      <c r="BO22" s="70" t="s">
        <v>3</v>
      </c>
      <c r="BP22" s="3" t="s">
        <v>87</v>
      </c>
      <c r="BQ22" s="4">
        <v>6</v>
      </c>
      <c r="BR22" s="5">
        <v>6.5</v>
      </c>
      <c r="BS22">
        <f>6</f>
        <v>6</v>
      </c>
      <c r="BT22" s="80"/>
      <c r="BU22" s="23" t="s">
        <v>106</v>
      </c>
      <c r="BV22" s="21">
        <v>2</v>
      </c>
      <c r="BW22" s="22">
        <v>1.4</v>
      </c>
      <c r="BX22" s="22">
        <v>1.6</v>
      </c>
      <c r="BY22" s="42">
        <v>3.9</v>
      </c>
      <c r="BZ22" s="46">
        <v>4</v>
      </c>
    </row>
    <row r="23" spans="1:78" ht="34.5" x14ac:dyDescent="0.35">
      <c r="A23" s="80"/>
      <c r="B23" s="20" t="s">
        <v>109</v>
      </c>
      <c r="C23" s="51">
        <v>10</v>
      </c>
      <c r="D23" s="48">
        <v>14.9</v>
      </c>
      <c r="E23" s="48">
        <v>16.100000000000001</v>
      </c>
      <c r="F23" s="56">
        <v>50</v>
      </c>
      <c r="G23" s="80"/>
      <c r="H23" s="20" t="s">
        <v>109</v>
      </c>
      <c r="I23" s="51">
        <v>4</v>
      </c>
      <c r="J23" s="48">
        <v>6.3</v>
      </c>
      <c r="K23" s="48">
        <v>7.4</v>
      </c>
      <c r="L23" s="56">
        <v>20</v>
      </c>
      <c r="M23" s="80"/>
      <c r="N23" s="20" t="s">
        <v>109</v>
      </c>
      <c r="O23" s="51">
        <v>24</v>
      </c>
      <c r="P23" s="48">
        <v>17</v>
      </c>
      <c r="Q23" s="48">
        <v>19.7</v>
      </c>
      <c r="R23">
        <f>5*24</f>
        <v>120</v>
      </c>
      <c r="S23" s="80"/>
      <c r="T23" s="20" t="s">
        <v>109</v>
      </c>
      <c r="U23" s="51">
        <v>27</v>
      </c>
      <c r="V23" s="48">
        <v>14.4</v>
      </c>
      <c r="W23" s="48">
        <v>16.8</v>
      </c>
      <c r="X23">
        <f>5*27</f>
        <v>135</v>
      </c>
      <c r="Y23" s="80"/>
      <c r="Z23" s="20" t="s">
        <v>109</v>
      </c>
      <c r="AA23" s="51">
        <v>16</v>
      </c>
      <c r="AB23" s="48">
        <v>20.3</v>
      </c>
      <c r="AC23" s="48">
        <v>22.2</v>
      </c>
      <c r="AD23" s="58">
        <v>45.8</v>
      </c>
      <c r="AE23">
        <f>5*16</f>
        <v>80</v>
      </c>
      <c r="AF23" s="80"/>
      <c r="AG23" s="20" t="s">
        <v>144</v>
      </c>
      <c r="AH23" s="51">
        <v>14</v>
      </c>
      <c r="AI23" s="48">
        <v>11.8</v>
      </c>
      <c r="AJ23" s="48">
        <v>13.6</v>
      </c>
      <c r="AK23">
        <f>4*14</f>
        <v>56</v>
      </c>
      <c r="AL23" s="80"/>
      <c r="AM23" s="20" t="s">
        <v>110</v>
      </c>
      <c r="AN23" s="51">
        <v>14</v>
      </c>
      <c r="AO23" s="48">
        <v>15.6</v>
      </c>
      <c r="AP23" s="48">
        <v>18.399999999999999</v>
      </c>
      <c r="AQ23" s="58">
        <v>30.3</v>
      </c>
      <c r="AR23">
        <f>6*14</f>
        <v>84</v>
      </c>
      <c r="AS23" s="80"/>
      <c r="AT23" s="20" t="s">
        <v>144</v>
      </c>
      <c r="AU23" s="51">
        <v>5</v>
      </c>
      <c r="AV23" s="48">
        <v>5.6</v>
      </c>
      <c r="AW23" s="48">
        <v>6.1</v>
      </c>
      <c r="AX23" s="58">
        <v>19.5</v>
      </c>
      <c r="AY23" s="56">
        <v>20</v>
      </c>
      <c r="AZ23" s="87"/>
      <c r="BA23" s="34" t="s">
        <v>75</v>
      </c>
      <c r="BB23" s="35">
        <v>11</v>
      </c>
      <c r="BC23" s="36">
        <v>8.1999999999999993</v>
      </c>
      <c r="BD23">
        <v>44</v>
      </c>
      <c r="BE23" s="87"/>
      <c r="BF23" s="34" t="s">
        <v>76</v>
      </c>
      <c r="BG23" s="35">
        <v>5</v>
      </c>
      <c r="BH23" s="36">
        <v>4.3</v>
      </c>
      <c r="BI23">
        <f>25</f>
        <v>25</v>
      </c>
      <c r="BJ23" s="87"/>
      <c r="BK23" s="34" t="s">
        <v>74</v>
      </c>
      <c r="BL23" s="35">
        <v>3</v>
      </c>
      <c r="BM23" s="36">
        <v>4.2</v>
      </c>
      <c r="BN23">
        <v>9</v>
      </c>
      <c r="BO23" s="71"/>
      <c r="BP23" s="6" t="s">
        <v>88</v>
      </c>
      <c r="BQ23" s="7">
        <v>11</v>
      </c>
      <c r="BR23" s="8">
        <v>11.8</v>
      </c>
      <c r="BS23">
        <f>22</f>
        <v>22</v>
      </c>
      <c r="BT23" s="80"/>
      <c r="BU23" s="23" t="s">
        <v>107</v>
      </c>
      <c r="BV23" s="21">
        <v>4</v>
      </c>
      <c r="BW23" s="22">
        <v>2.8</v>
      </c>
      <c r="BX23" s="22">
        <v>3.1</v>
      </c>
      <c r="BY23" s="42">
        <v>7.1</v>
      </c>
      <c r="BZ23" s="46">
        <v>12</v>
      </c>
    </row>
    <row r="24" spans="1:78" ht="34.5" x14ac:dyDescent="0.35">
      <c r="A24" s="80"/>
      <c r="B24" s="20" t="s">
        <v>110</v>
      </c>
      <c r="C24" s="51">
        <v>16</v>
      </c>
      <c r="D24" s="48">
        <v>23.9</v>
      </c>
      <c r="E24" s="48">
        <v>25.8</v>
      </c>
      <c r="F24">
        <f>6*16</f>
        <v>96</v>
      </c>
      <c r="G24" s="80"/>
      <c r="H24" s="20" t="s">
        <v>110</v>
      </c>
      <c r="I24" s="51">
        <v>7</v>
      </c>
      <c r="J24" s="48">
        <v>10.9</v>
      </c>
      <c r="K24" s="48">
        <v>13</v>
      </c>
      <c r="L24" s="56">
        <v>42</v>
      </c>
      <c r="M24" s="80"/>
      <c r="N24" s="20" t="s">
        <v>110</v>
      </c>
      <c r="O24" s="51">
        <v>28</v>
      </c>
      <c r="P24" s="48">
        <v>19.899999999999999</v>
      </c>
      <c r="Q24" s="48">
        <v>23</v>
      </c>
      <c r="R24">
        <f>6*28</f>
        <v>168</v>
      </c>
      <c r="S24" s="80"/>
      <c r="T24" s="20" t="s">
        <v>110</v>
      </c>
      <c r="U24" s="51">
        <v>37</v>
      </c>
      <c r="V24" s="48">
        <v>19.8</v>
      </c>
      <c r="W24" s="48">
        <v>23</v>
      </c>
      <c r="X24">
        <f>6*37</f>
        <v>222</v>
      </c>
      <c r="Y24" s="80"/>
      <c r="Z24" s="20" t="s">
        <v>110</v>
      </c>
      <c r="AA24" s="51">
        <v>22</v>
      </c>
      <c r="AB24" s="48">
        <v>27.8</v>
      </c>
      <c r="AC24" s="48">
        <v>30.6</v>
      </c>
      <c r="AD24" s="58">
        <v>76.400000000000006</v>
      </c>
      <c r="AE24">
        <f>6*22</f>
        <v>132</v>
      </c>
      <c r="AF24" s="80"/>
      <c r="AG24" s="20" t="s">
        <v>109</v>
      </c>
      <c r="AH24" s="51">
        <v>12</v>
      </c>
      <c r="AI24" s="48">
        <v>10.1</v>
      </c>
      <c r="AJ24" s="48">
        <v>11.7</v>
      </c>
      <c r="AK24">
        <f>5*12</f>
        <v>60</v>
      </c>
      <c r="AL24" s="80"/>
      <c r="AM24" s="20" t="s">
        <v>111</v>
      </c>
      <c r="AN24" s="51">
        <v>20</v>
      </c>
      <c r="AO24" s="48">
        <v>22.2</v>
      </c>
      <c r="AP24" s="48">
        <v>26.3</v>
      </c>
      <c r="AQ24" s="58">
        <v>56.6</v>
      </c>
      <c r="AR24">
        <f>7*20</f>
        <v>140</v>
      </c>
      <c r="AS24" s="80"/>
      <c r="AT24" s="20" t="s">
        <v>109</v>
      </c>
      <c r="AU24" s="51">
        <v>6</v>
      </c>
      <c r="AV24" s="48">
        <v>6.7</v>
      </c>
      <c r="AW24" s="48">
        <v>7.3</v>
      </c>
      <c r="AX24" s="58">
        <v>26.8</v>
      </c>
      <c r="AY24" s="56">
        <v>30</v>
      </c>
      <c r="AZ24" s="87"/>
      <c r="BA24" s="34" t="s">
        <v>76</v>
      </c>
      <c r="BB24" s="35">
        <v>8</v>
      </c>
      <c r="BC24" s="36">
        <v>6</v>
      </c>
      <c r="BD24">
        <f>5*8</f>
        <v>40</v>
      </c>
      <c r="BE24" s="87"/>
      <c r="BF24" s="34" t="s">
        <v>77</v>
      </c>
      <c r="BG24" s="35">
        <v>14</v>
      </c>
      <c r="BH24" s="36">
        <v>12.1</v>
      </c>
      <c r="BI24">
        <f>6*14</f>
        <v>84</v>
      </c>
      <c r="BJ24" s="87"/>
      <c r="BK24" s="34" t="s">
        <v>75</v>
      </c>
      <c r="BL24" s="35">
        <v>9</v>
      </c>
      <c r="BM24" s="36">
        <v>12.5</v>
      </c>
      <c r="BN24">
        <f>4*9</f>
        <v>36</v>
      </c>
      <c r="BO24" s="71"/>
      <c r="BP24" s="6" t="s">
        <v>89</v>
      </c>
      <c r="BQ24" s="7">
        <v>3</v>
      </c>
      <c r="BR24" s="8">
        <v>3.2</v>
      </c>
      <c r="BS24">
        <f>9</f>
        <v>9</v>
      </c>
      <c r="BT24" s="80"/>
      <c r="BU24" s="23" t="s">
        <v>108</v>
      </c>
      <c r="BV24" s="21">
        <v>15</v>
      </c>
      <c r="BW24" s="22">
        <v>10.3</v>
      </c>
      <c r="BX24" s="22">
        <v>11.8</v>
      </c>
      <c r="BY24" s="42">
        <v>18.899999999999999</v>
      </c>
      <c r="BZ24">
        <f>4*15</f>
        <v>60</v>
      </c>
    </row>
    <row r="25" spans="1:78" ht="34.5" x14ac:dyDescent="0.35">
      <c r="A25" s="80"/>
      <c r="B25" s="20" t="s">
        <v>111</v>
      </c>
      <c r="C25" s="51">
        <v>8</v>
      </c>
      <c r="D25" s="48">
        <v>11.9</v>
      </c>
      <c r="E25" s="48">
        <v>12.9</v>
      </c>
      <c r="F25">
        <f>7*8</f>
        <v>56</v>
      </c>
      <c r="G25" s="80"/>
      <c r="H25" s="20" t="s">
        <v>111</v>
      </c>
      <c r="I25" s="51">
        <v>10</v>
      </c>
      <c r="J25" s="48">
        <v>15.6</v>
      </c>
      <c r="K25" s="48">
        <v>18.5</v>
      </c>
      <c r="L25" s="56">
        <v>70</v>
      </c>
      <c r="M25" s="80"/>
      <c r="N25" s="20" t="s">
        <v>111</v>
      </c>
      <c r="O25" s="51">
        <v>19</v>
      </c>
      <c r="P25" s="48">
        <v>13.5</v>
      </c>
      <c r="Q25" s="48">
        <v>15.6</v>
      </c>
      <c r="R25">
        <f>7*19</f>
        <v>133</v>
      </c>
      <c r="S25" s="80"/>
      <c r="T25" s="20" t="s">
        <v>111</v>
      </c>
      <c r="U25" s="51">
        <v>20</v>
      </c>
      <c r="V25" s="48">
        <v>10.7</v>
      </c>
      <c r="W25" s="48">
        <v>12.4</v>
      </c>
      <c r="X25">
        <f>7*20</f>
        <v>140</v>
      </c>
      <c r="Y25" s="80"/>
      <c r="Z25" s="20" t="s">
        <v>111</v>
      </c>
      <c r="AA25" s="51">
        <v>8</v>
      </c>
      <c r="AB25" s="48">
        <v>10.1</v>
      </c>
      <c r="AC25" s="48">
        <v>11.1</v>
      </c>
      <c r="AD25" s="58">
        <v>87.5</v>
      </c>
      <c r="AE25">
        <f>7*8</f>
        <v>56</v>
      </c>
      <c r="AF25" s="80"/>
      <c r="AG25" s="20" t="s">
        <v>110</v>
      </c>
      <c r="AH25" s="51">
        <v>24</v>
      </c>
      <c r="AI25" s="48">
        <v>20.2</v>
      </c>
      <c r="AJ25" s="48">
        <v>23.3</v>
      </c>
      <c r="AK25">
        <f>6*24</f>
        <v>144</v>
      </c>
      <c r="AL25" s="80"/>
      <c r="AM25" s="20" t="s">
        <v>152</v>
      </c>
      <c r="AN25" s="51">
        <v>33</v>
      </c>
      <c r="AO25" s="48">
        <v>36.700000000000003</v>
      </c>
      <c r="AP25" s="48">
        <v>43.4</v>
      </c>
      <c r="AQ25" s="58">
        <v>100</v>
      </c>
      <c r="AR25">
        <f>8*33</f>
        <v>264</v>
      </c>
      <c r="AS25" s="80"/>
      <c r="AT25" s="20" t="s">
        <v>110</v>
      </c>
      <c r="AU25" s="51">
        <v>15</v>
      </c>
      <c r="AV25" s="48">
        <v>16.7</v>
      </c>
      <c r="AW25" s="48">
        <v>18.3</v>
      </c>
      <c r="AX25" s="58">
        <v>45.1</v>
      </c>
      <c r="AY25">
        <f>6*15</f>
        <v>90</v>
      </c>
      <c r="AZ25" s="87"/>
      <c r="BA25" s="34" t="s">
        <v>77</v>
      </c>
      <c r="BB25" s="35">
        <v>35</v>
      </c>
      <c r="BC25" s="36">
        <v>26.1</v>
      </c>
      <c r="BD25">
        <f>6*35</f>
        <v>210</v>
      </c>
      <c r="BE25" s="87"/>
      <c r="BF25" s="34" t="s">
        <v>78</v>
      </c>
      <c r="BG25" s="35">
        <v>20</v>
      </c>
      <c r="BH25" s="36">
        <v>17.2</v>
      </c>
      <c r="BI25">
        <f>7*20</f>
        <v>140</v>
      </c>
      <c r="BJ25" s="87"/>
      <c r="BK25" s="34" t="s">
        <v>76</v>
      </c>
      <c r="BL25" s="35">
        <v>12</v>
      </c>
      <c r="BM25" s="36">
        <v>16.7</v>
      </c>
      <c r="BN25">
        <f>5*12</f>
        <v>60</v>
      </c>
      <c r="BO25" s="71"/>
      <c r="BP25" s="6" t="s">
        <v>90</v>
      </c>
      <c r="BQ25" s="7">
        <v>8</v>
      </c>
      <c r="BR25" s="8">
        <v>8.6</v>
      </c>
      <c r="BS25">
        <v>32</v>
      </c>
      <c r="BT25" s="80"/>
      <c r="BU25" s="23" t="s">
        <v>109</v>
      </c>
      <c r="BV25" s="21">
        <v>22</v>
      </c>
      <c r="BW25" s="22">
        <v>15.2</v>
      </c>
      <c r="BX25" s="22">
        <v>17.3</v>
      </c>
      <c r="BY25" s="42">
        <v>36.200000000000003</v>
      </c>
      <c r="BZ25">
        <f>5*22</f>
        <v>110</v>
      </c>
    </row>
    <row r="26" spans="1:78" ht="34.5" x14ac:dyDescent="0.35">
      <c r="A26" s="80"/>
      <c r="B26" s="20" t="s">
        <v>145</v>
      </c>
      <c r="C26" s="51">
        <v>5</v>
      </c>
      <c r="D26" s="48">
        <v>7.5</v>
      </c>
      <c r="E26" s="48">
        <v>8.1</v>
      </c>
      <c r="F26">
        <f>8*5</f>
        <v>40</v>
      </c>
      <c r="G26" s="80"/>
      <c r="H26" s="20" t="s">
        <v>145</v>
      </c>
      <c r="I26" s="51">
        <v>5</v>
      </c>
      <c r="J26" s="48">
        <v>7.8</v>
      </c>
      <c r="K26" s="48">
        <v>9.3000000000000007</v>
      </c>
      <c r="L26" s="56">
        <v>40</v>
      </c>
      <c r="M26" s="80"/>
      <c r="N26" s="20" t="s">
        <v>145</v>
      </c>
      <c r="O26" s="51">
        <v>18</v>
      </c>
      <c r="P26" s="48">
        <v>12.8</v>
      </c>
      <c r="Q26" s="48">
        <v>14.8</v>
      </c>
      <c r="R26">
        <f>8*18</f>
        <v>144</v>
      </c>
      <c r="S26" s="80"/>
      <c r="T26" s="20" t="s">
        <v>149</v>
      </c>
      <c r="U26" s="51">
        <v>23</v>
      </c>
      <c r="V26" s="48">
        <v>12.3</v>
      </c>
      <c r="W26" s="48">
        <v>14.3</v>
      </c>
      <c r="X26">
        <f>8*23</f>
        <v>184</v>
      </c>
      <c r="Y26" s="80"/>
      <c r="Z26" s="20" t="s">
        <v>112</v>
      </c>
      <c r="AA26" s="51">
        <v>9</v>
      </c>
      <c r="AB26" s="48">
        <v>11.4</v>
      </c>
      <c r="AC26" s="48">
        <v>12.5</v>
      </c>
      <c r="AD26" s="58">
        <v>100</v>
      </c>
      <c r="AE26">
        <f>8*9</f>
        <v>72</v>
      </c>
      <c r="AF26" s="80"/>
      <c r="AG26" s="20" t="s">
        <v>111</v>
      </c>
      <c r="AH26" s="51">
        <v>23</v>
      </c>
      <c r="AI26" s="48">
        <v>19.3</v>
      </c>
      <c r="AJ26" s="48">
        <v>22.3</v>
      </c>
      <c r="AK26">
        <f>7*23</f>
        <v>161</v>
      </c>
      <c r="AL26" s="81"/>
      <c r="AM26" s="23" t="s">
        <v>5</v>
      </c>
      <c r="AN26" s="51">
        <v>76</v>
      </c>
      <c r="AO26" s="48">
        <v>84.4</v>
      </c>
      <c r="AP26" s="48">
        <v>100</v>
      </c>
      <c r="AQ26" s="59"/>
      <c r="AR26">
        <f>SUM(AR20:AR25)</f>
        <v>526</v>
      </c>
      <c r="AS26" s="80"/>
      <c r="AT26" s="20" t="s">
        <v>111</v>
      </c>
      <c r="AU26" s="51">
        <v>18</v>
      </c>
      <c r="AV26" s="48">
        <v>20</v>
      </c>
      <c r="AW26" s="48">
        <v>22</v>
      </c>
      <c r="AX26" s="58">
        <v>67.099999999999994</v>
      </c>
      <c r="AY26">
        <f>7*18</f>
        <v>126</v>
      </c>
      <c r="AZ26" s="87"/>
      <c r="BA26" s="34" t="s">
        <v>78</v>
      </c>
      <c r="BB26" s="35">
        <v>28</v>
      </c>
      <c r="BC26" s="36">
        <v>20.9</v>
      </c>
      <c r="BD26">
        <f>7*28</f>
        <v>196</v>
      </c>
      <c r="BE26" s="87"/>
      <c r="BF26" s="34" t="s">
        <v>79</v>
      </c>
      <c r="BG26" s="35">
        <v>61</v>
      </c>
      <c r="BH26" s="36">
        <v>52.6</v>
      </c>
      <c r="BI26">
        <f>8*61</f>
        <v>488</v>
      </c>
      <c r="BJ26" s="87"/>
      <c r="BK26" s="34" t="s">
        <v>77</v>
      </c>
      <c r="BL26" s="35">
        <v>16</v>
      </c>
      <c r="BM26" s="36">
        <v>22.2</v>
      </c>
      <c r="BN26">
        <f>6*16</f>
        <v>96</v>
      </c>
      <c r="BO26" s="71"/>
      <c r="BP26" s="6" t="s">
        <v>91</v>
      </c>
      <c r="BQ26" s="7">
        <v>16</v>
      </c>
      <c r="BR26" s="8">
        <v>17.2</v>
      </c>
      <c r="BS26">
        <f>5*16</f>
        <v>80</v>
      </c>
      <c r="BT26" s="80"/>
      <c r="BU26" s="23" t="s">
        <v>110</v>
      </c>
      <c r="BV26" s="21">
        <v>28</v>
      </c>
      <c r="BW26" s="22">
        <v>19.3</v>
      </c>
      <c r="BX26" s="22">
        <v>22</v>
      </c>
      <c r="BY26" s="42">
        <v>58.3</v>
      </c>
      <c r="BZ26">
        <f>6*28</f>
        <v>168</v>
      </c>
    </row>
    <row r="27" spans="1:78" ht="34.5" x14ac:dyDescent="0.35">
      <c r="A27" s="81"/>
      <c r="B27" s="23" t="s">
        <v>5</v>
      </c>
      <c r="C27" s="51">
        <v>62</v>
      </c>
      <c r="D27" s="48">
        <v>92.5</v>
      </c>
      <c r="E27" s="48">
        <v>100</v>
      </c>
      <c r="F27">
        <f>SUM(F19:F26)</f>
        <v>303</v>
      </c>
      <c r="G27" s="81"/>
      <c r="H27" s="23" t="s">
        <v>5</v>
      </c>
      <c r="I27" s="51">
        <v>54</v>
      </c>
      <c r="J27" s="48">
        <v>84.4</v>
      </c>
      <c r="K27" s="48">
        <v>100</v>
      </c>
      <c r="L27">
        <f>SUM(L19:L26)</f>
        <v>262</v>
      </c>
      <c r="M27" s="81"/>
      <c r="N27" s="23" t="s">
        <v>5</v>
      </c>
      <c r="O27" s="51">
        <v>122</v>
      </c>
      <c r="P27" s="48">
        <v>86.5</v>
      </c>
      <c r="Q27" s="48">
        <v>100</v>
      </c>
      <c r="R27">
        <f>SUM(R19:R26)</f>
        <v>662</v>
      </c>
      <c r="S27" s="81"/>
      <c r="T27" s="23" t="s">
        <v>5</v>
      </c>
      <c r="U27" s="51">
        <v>161</v>
      </c>
      <c r="V27" s="48">
        <v>86.1</v>
      </c>
      <c r="W27" s="48">
        <v>100</v>
      </c>
      <c r="X27">
        <f>SUM(X19:X26)</f>
        <v>825</v>
      </c>
      <c r="Y27" s="81"/>
      <c r="Z27" s="23" t="s">
        <v>5</v>
      </c>
      <c r="AA27" s="51">
        <v>72</v>
      </c>
      <c r="AB27" s="48">
        <v>91.1</v>
      </c>
      <c r="AC27" s="48">
        <v>100</v>
      </c>
      <c r="AD27" s="59"/>
      <c r="AE27">
        <f>SUM(AE19:AE26)</f>
        <v>390</v>
      </c>
      <c r="AF27" s="80"/>
      <c r="AG27" s="20" t="s">
        <v>145</v>
      </c>
      <c r="AH27" s="51">
        <v>17</v>
      </c>
      <c r="AI27" s="48">
        <v>14.3</v>
      </c>
      <c r="AJ27" s="48">
        <v>16.5</v>
      </c>
      <c r="AK27">
        <f>8*17</f>
        <v>136</v>
      </c>
      <c r="AL27" s="23" t="s">
        <v>6</v>
      </c>
      <c r="AM27" s="20">
        <v>9</v>
      </c>
      <c r="AN27" s="51">
        <v>14</v>
      </c>
      <c r="AO27" s="48">
        <v>15.6</v>
      </c>
      <c r="AP27" s="52"/>
      <c r="AQ27" s="59"/>
      <c r="AR27">
        <f>AR26/AN26</f>
        <v>6.9210526315789478</v>
      </c>
      <c r="AS27" s="80"/>
      <c r="AT27" s="20" t="s">
        <v>145</v>
      </c>
      <c r="AU27" s="51">
        <v>27</v>
      </c>
      <c r="AV27" s="48">
        <v>30</v>
      </c>
      <c r="AW27" s="48">
        <v>32.9</v>
      </c>
      <c r="AX27" s="58">
        <v>100</v>
      </c>
      <c r="AY27">
        <f>8*27</f>
        <v>216</v>
      </c>
      <c r="AZ27" s="87"/>
      <c r="BA27" s="34" t="s">
        <v>79</v>
      </c>
      <c r="BB27" s="35">
        <v>40</v>
      </c>
      <c r="BC27" s="36">
        <v>29.9</v>
      </c>
      <c r="BD27">
        <f>8*40</f>
        <v>320</v>
      </c>
      <c r="BE27" s="88"/>
      <c r="BF27" s="34" t="s">
        <v>5</v>
      </c>
      <c r="BG27" s="35">
        <v>116</v>
      </c>
      <c r="BH27" s="36">
        <v>100</v>
      </c>
      <c r="BI27">
        <f>SUM(BI20:BI26)</f>
        <v>788</v>
      </c>
      <c r="BJ27" s="87"/>
      <c r="BK27" s="34" t="s">
        <v>78</v>
      </c>
      <c r="BL27" s="35">
        <v>16</v>
      </c>
      <c r="BM27" s="36">
        <v>22.2</v>
      </c>
      <c r="BN27">
        <f>7*16</f>
        <v>112</v>
      </c>
      <c r="BO27" s="71"/>
      <c r="BP27" s="6" t="s">
        <v>92</v>
      </c>
      <c r="BQ27" s="7">
        <v>18</v>
      </c>
      <c r="BR27" s="8">
        <v>19.399999999999999</v>
      </c>
      <c r="BS27">
        <f>6*18</f>
        <v>108</v>
      </c>
      <c r="BT27" s="80"/>
      <c r="BU27" s="23" t="s">
        <v>111</v>
      </c>
      <c r="BV27" s="21">
        <v>17</v>
      </c>
      <c r="BW27" s="22">
        <v>11.7</v>
      </c>
      <c r="BX27" s="22">
        <v>13.4</v>
      </c>
      <c r="BY27" s="42">
        <v>71.7</v>
      </c>
      <c r="BZ27">
        <f>7*17</f>
        <v>119</v>
      </c>
    </row>
    <row r="28" spans="1:78" ht="34.5" x14ac:dyDescent="0.35">
      <c r="A28" s="23" t="s">
        <v>6</v>
      </c>
      <c r="B28" s="20">
        <v>9</v>
      </c>
      <c r="C28" s="51">
        <v>5</v>
      </c>
      <c r="D28" s="48">
        <v>7.5</v>
      </c>
      <c r="E28" s="52"/>
      <c r="F28">
        <f>F27/C27</f>
        <v>4.887096774193548</v>
      </c>
      <c r="G28" s="23" t="s">
        <v>6</v>
      </c>
      <c r="H28" s="20">
        <v>9</v>
      </c>
      <c r="I28" s="51">
        <v>10</v>
      </c>
      <c r="J28" s="48">
        <v>15.6</v>
      </c>
      <c r="K28" s="52"/>
      <c r="L28">
        <f>L27/I27</f>
        <v>4.8518518518518521</v>
      </c>
      <c r="M28" s="23" t="s">
        <v>6</v>
      </c>
      <c r="N28" s="20">
        <v>9</v>
      </c>
      <c r="O28" s="51">
        <v>19</v>
      </c>
      <c r="P28" s="48">
        <v>13.5</v>
      </c>
      <c r="Q28" s="52"/>
      <c r="R28">
        <f>R27/122</f>
        <v>5.4262295081967213</v>
      </c>
      <c r="S28" s="23" t="s">
        <v>6</v>
      </c>
      <c r="T28" s="20">
        <v>9</v>
      </c>
      <c r="U28" s="51">
        <v>26</v>
      </c>
      <c r="V28" s="48">
        <v>13.9</v>
      </c>
      <c r="W28" s="52"/>
      <c r="X28">
        <f>X27/U27</f>
        <v>5.1242236024844718</v>
      </c>
      <c r="Y28" s="23" t="s">
        <v>6</v>
      </c>
      <c r="Z28" s="20">
        <v>9</v>
      </c>
      <c r="AA28" s="51">
        <v>7</v>
      </c>
      <c r="AB28" s="48">
        <v>8.9</v>
      </c>
      <c r="AC28" s="52"/>
      <c r="AD28" s="59"/>
      <c r="AE28">
        <f>AE27/AA27</f>
        <v>5.416666666666667</v>
      </c>
      <c r="AF28" s="81"/>
      <c r="AG28" s="23" t="s">
        <v>5</v>
      </c>
      <c r="AH28" s="51">
        <v>103</v>
      </c>
      <c r="AI28" s="48">
        <v>86.6</v>
      </c>
      <c r="AJ28" s="48">
        <v>100</v>
      </c>
      <c r="AK28">
        <f>SUM(AK20:AK27)</f>
        <v>592</v>
      </c>
      <c r="AL28" s="83" t="s">
        <v>5</v>
      </c>
      <c r="AM28" s="83"/>
      <c r="AN28" s="53">
        <v>90</v>
      </c>
      <c r="AO28" s="54">
        <v>100</v>
      </c>
      <c r="AP28" s="55"/>
      <c r="AQ28" s="60"/>
      <c r="AS28" s="81"/>
      <c r="AT28" s="23" t="s">
        <v>5</v>
      </c>
      <c r="AU28" s="51">
        <v>82</v>
      </c>
      <c r="AV28" s="48">
        <v>91.1</v>
      </c>
      <c r="AW28" s="48">
        <v>100</v>
      </c>
      <c r="AX28" s="59"/>
      <c r="AY28">
        <f>SUM(AY20:AY27)</f>
        <v>506</v>
      </c>
      <c r="AZ28" s="88"/>
      <c r="BA28" s="34" t="s">
        <v>5</v>
      </c>
      <c r="BB28" s="35">
        <v>134</v>
      </c>
      <c r="BC28" s="36">
        <v>100</v>
      </c>
      <c r="BD28">
        <f>SUM(BD21:BD27)</f>
        <v>842</v>
      </c>
      <c r="BI28">
        <f>BI27/BG27</f>
        <v>6.7931034482758621</v>
      </c>
      <c r="BJ28" s="87"/>
      <c r="BK28" s="34" t="s">
        <v>79</v>
      </c>
      <c r="BL28" s="35">
        <v>12</v>
      </c>
      <c r="BM28" s="36">
        <v>16.7</v>
      </c>
      <c r="BN28">
        <f>8*12</f>
        <v>96</v>
      </c>
      <c r="BO28" s="71"/>
      <c r="BP28" s="6" t="s">
        <v>93</v>
      </c>
      <c r="BQ28" s="7">
        <v>31</v>
      </c>
      <c r="BR28" s="8">
        <v>33.299999999999997</v>
      </c>
      <c r="BS28">
        <f>7*31</f>
        <v>217</v>
      </c>
      <c r="BT28" s="80"/>
      <c r="BU28" s="23" t="s">
        <v>112</v>
      </c>
      <c r="BV28" s="21">
        <v>36</v>
      </c>
      <c r="BW28" s="22">
        <v>24.8</v>
      </c>
      <c r="BX28" s="22">
        <v>28.3</v>
      </c>
      <c r="BY28" s="42">
        <v>100</v>
      </c>
      <c r="BZ28">
        <f>8*36</f>
        <v>288</v>
      </c>
    </row>
    <row r="29" spans="1:78" x14ac:dyDescent="0.35">
      <c r="A29" s="83" t="s">
        <v>5</v>
      </c>
      <c r="B29" s="83"/>
      <c r="C29" s="53">
        <v>67</v>
      </c>
      <c r="D29" s="54">
        <v>100</v>
      </c>
      <c r="E29" s="55"/>
      <c r="G29" s="83" t="s">
        <v>5</v>
      </c>
      <c r="H29" s="83"/>
      <c r="I29" s="53">
        <v>64</v>
      </c>
      <c r="J29" s="54">
        <v>100</v>
      </c>
      <c r="K29" s="55"/>
      <c r="AK29">
        <f>AK28/AH28</f>
        <v>5.7475728155339807</v>
      </c>
      <c r="AY29">
        <f>AY28/AU28</f>
        <v>6.1707317073170733</v>
      </c>
      <c r="BD29">
        <f>BD28/BB28</f>
        <v>6.2835820895522385</v>
      </c>
      <c r="BJ29" s="88"/>
      <c r="BK29" s="34" t="s">
        <v>5</v>
      </c>
      <c r="BL29" s="35">
        <v>72</v>
      </c>
      <c r="BM29" s="36">
        <v>100</v>
      </c>
      <c r="BN29">
        <f>SUM(BN21:BN28)</f>
        <v>416</v>
      </c>
      <c r="BO29" s="71"/>
      <c r="BP29" s="6" t="s">
        <v>5</v>
      </c>
      <c r="BQ29" s="7">
        <v>93</v>
      </c>
      <c r="BR29" s="8">
        <v>100</v>
      </c>
      <c r="BS29">
        <f>SUM(BS22:BS28)</f>
        <v>474</v>
      </c>
      <c r="BT29" s="81"/>
      <c r="BU29" s="23" t="s">
        <v>5</v>
      </c>
      <c r="BV29" s="21">
        <v>127</v>
      </c>
      <c r="BW29" s="22">
        <v>87.6</v>
      </c>
      <c r="BX29" s="22">
        <v>100</v>
      </c>
      <c r="BY29" s="43"/>
      <c r="BZ29">
        <f>SUM(BZ21:BZ28)</f>
        <v>764</v>
      </c>
    </row>
    <row r="30" spans="1:78" ht="34.5" x14ac:dyDescent="0.35">
      <c r="BJ30" s="34" t="s">
        <v>6</v>
      </c>
      <c r="BK30" s="34" t="s">
        <v>80</v>
      </c>
      <c r="BL30" s="35">
        <v>9</v>
      </c>
      <c r="BM30" s="37"/>
      <c r="BN30">
        <f>BN29/BL29</f>
        <v>5.7777777777777777</v>
      </c>
      <c r="BO30" s="71" t="s">
        <v>6</v>
      </c>
      <c r="BP30" s="6" t="s">
        <v>94</v>
      </c>
      <c r="BQ30" s="7">
        <v>75</v>
      </c>
      <c r="BR30" s="9"/>
      <c r="BS30">
        <f>BS29/BQ29</f>
        <v>5.096774193548387</v>
      </c>
      <c r="BT30" s="23" t="s">
        <v>6</v>
      </c>
      <c r="BU30" s="20">
        <v>9</v>
      </c>
      <c r="BV30" s="21">
        <v>18</v>
      </c>
      <c r="BW30" s="22">
        <v>12.4</v>
      </c>
      <c r="BX30" s="24"/>
      <c r="BY30" s="43"/>
      <c r="BZ30">
        <f>BZ29/BV29</f>
        <v>6.015748031496063</v>
      </c>
    </row>
    <row r="31" spans="1:78" x14ac:dyDescent="0.35">
      <c r="BJ31" s="89" t="s">
        <v>5</v>
      </c>
      <c r="BK31" s="89"/>
      <c r="BL31" s="38">
        <v>81</v>
      </c>
      <c r="BM31" s="39"/>
      <c r="BO31" s="71"/>
      <c r="BP31" s="6">
        <v>9</v>
      </c>
      <c r="BQ31" s="7">
        <v>6</v>
      </c>
      <c r="BR31" s="9"/>
      <c r="BT31" s="83" t="s">
        <v>5</v>
      </c>
      <c r="BU31" s="83"/>
      <c r="BV31" s="25">
        <v>145</v>
      </c>
      <c r="BW31" s="44">
        <v>100</v>
      </c>
      <c r="BX31" s="26"/>
      <c r="BY31" s="45"/>
    </row>
    <row r="32" spans="1:78" x14ac:dyDescent="0.35">
      <c r="BO32" s="71"/>
      <c r="BP32" s="6" t="s">
        <v>5</v>
      </c>
      <c r="BQ32" s="7">
        <v>81</v>
      </c>
      <c r="BR32" s="9"/>
    </row>
    <row r="33" spans="67:70" ht="15" thickBot="1" x14ac:dyDescent="0.4">
      <c r="BO33" s="72" t="s">
        <v>5</v>
      </c>
      <c r="BP33" s="73"/>
      <c r="BQ33" s="10">
        <v>174</v>
      </c>
      <c r="BR33" s="11"/>
    </row>
  </sheetData>
  <mergeCells count="131">
    <mergeCell ref="BO33:BP33"/>
    <mergeCell ref="BT19:BY19"/>
    <mergeCell ref="BT20:BU20"/>
    <mergeCell ref="BT21:BT29"/>
    <mergeCell ref="BT31:BU31"/>
    <mergeCell ref="BT18:BX18"/>
    <mergeCell ref="BJ19:BM19"/>
    <mergeCell ref="BJ20:BK20"/>
    <mergeCell ref="BJ21:BJ29"/>
    <mergeCell ref="BJ31:BK31"/>
    <mergeCell ref="BJ17:BM17"/>
    <mergeCell ref="BO17:BR17"/>
    <mergeCell ref="BO20:BR20"/>
    <mergeCell ref="BO21:BP21"/>
    <mergeCell ref="BO22:BO29"/>
    <mergeCell ref="BO30:BO32"/>
    <mergeCell ref="Y17:AD17"/>
    <mergeCell ref="Y18:Z18"/>
    <mergeCell ref="Y19:Y27"/>
    <mergeCell ref="AF18:AJ18"/>
    <mergeCell ref="AF19:AG19"/>
    <mergeCell ref="AF20:AF28"/>
    <mergeCell ref="Y16:AB16"/>
    <mergeCell ref="M17:Q17"/>
    <mergeCell ref="M18:N18"/>
    <mergeCell ref="M19:M27"/>
    <mergeCell ref="M16:P16"/>
    <mergeCell ref="S17:W17"/>
    <mergeCell ref="S18:T18"/>
    <mergeCell ref="S19:S27"/>
    <mergeCell ref="S16:W16"/>
    <mergeCell ref="A17:E17"/>
    <mergeCell ref="A18:B18"/>
    <mergeCell ref="A19:A27"/>
    <mergeCell ref="A29:B29"/>
    <mergeCell ref="B16:E16"/>
    <mergeCell ref="G17:K17"/>
    <mergeCell ref="G18:H18"/>
    <mergeCell ref="G19:G27"/>
    <mergeCell ref="G29:H29"/>
    <mergeCell ref="G16:K16"/>
    <mergeCell ref="X1:AA1"/>
    <mergeCell ref="R2:U2"/>
    <mergeCell ref="R3:S3"/>
    <mergeCell ref="R4:R12"/>
    <mergeCell ref="R14:S14"/>
    <mergeCell ref="R1:U1"/>
    <mergeCell ref="AI2:AL2"/>
    <mergeCell ref="AI3:AJ3"/>
    <mergeCell ref="AI4:AI11"/>
    <mergeCell ref="AI13:AJ13"/>
    <mergeCell ref="AI1:AL1"/>
    <mergeCell ref="AC2:AF2"/>
    <mergeCell ref="AC3:AD3"/>
    <mergeCell ref="AC4:AC12"/>
    <mergeCell ref="AC14:AD14"/>
    <mergeCell ref="AC1:AF1"/>
    <mergeCell ref="AO15:AP15"/>
    <mergeCell ref="AY1:BB1"/>
    <mergeCell ref="AY3:BB3"/>
    <mergeCell ref="AY4:AZ4"/>
    <mergeCell ref="AY5:AY12"/>
    <mergeCell ref="A2:D2"/>
    <mergeCell ref="A3:B3"/>
    <mergeCell ref="A4:A12"/>
    <mergeCell ref="A14:B14"/>
    <mergeCell ref="A1:D1"/>
    <mergeCell ref="G1:J1"/>
    <mergeCell ref="L2:O2"/>
    <mergeCell ref="L3:M3"/>
    <mergeCell ref="L4:L12"/>
    <mergeCell ref="L14:M14"/>
    <mergeCell ref="L1:O1"/>
    <mergeCell ref="G3:J3"/>
    <mergeCell ref="G4:H4"/>
    <mergeCell ref="G5:G12"/>
    <mergeCell ref="G14:H14"/>
    <mergeCell ref="X2:AA2"/>
    <mergeCell ref="X3:Y3"/>
    <mergeCell ref="X4:X10"/>
    <mergeCell ref="X12:Y12"/>
    <mergeCell ref="AO1:AR1"/>
    <mergeCell ref="AT3:AW3"/>
    <mergeCell ref="AT4:AU4"/>
    <mergeCell ref="AT5:AT12"/>
    <mergeCell ref="AT14:AU14"/>
    <mergeCell ref="AT1:AW1"/>
    <mergeCell ref="AO2:AR2"/>
    <mergeCell ref="AO3:AP3"/>
    <mergeCell ref="AO4:AO11"/>
    <mergeCell ref="AO12:AO14"/>
    <mergeCell ref="BS16:BT16"/>
    <mergeCell ref="BS1:BV1"/>
    <mergeCell ref="AY13:AY15"/>
    <mergeCell ref="BK3:BP3"/>
    <mergeCell ref="BK4:BL4"/>
    <mergeCell ref="BK5:BK12"/>
    <mergeCell ref="BK14:BL14"/>
    <mergeCell ref="BD3:BI3"/>
    <mergeCell ref="BD4:BE4"/>
    <mergeCell ref="BD5:BD13"/>
    <mergeCell ref="BD15:BE15"/>
    <mergeCell ref="BD1:BG1"/>
    <mergeCell ref="AY16:AZ16"/>
    <mergeCell ref="CA2:CF2"/>
    <mergeCell ref="CA3:CB3"/>
    <mergeCell ref="CA4:CA12"/>
    <mergeCell ref="CA14:CB14"/>
    <mergeCell ref="CA1:CD1"/>
    <mergeCell ref="BK1:BN1"/>
    <mergeCell ref="BS4:BX4"/>
    <mergeCell ref="BS5:BT5"/>
    <mergeCell ref="BS6:BS14"/>
    <mergeCell ref="AF16:AJ16"/>
    <mergeCell ref="AL18:AQ18"/>
    <mergeCell ref="AL19:AM19"/>
    <mergeCell ref="AL20:AL26"/>
    <mergeCell ref="AL28:AM28"/>
    <mergeCell ref="AM17:AP17"/>
    <mergeCell ref="BE17:BH17"/>
    <mergeCell ref="BE18:BH18"/>
    <mergeCell ref="BE19:BF19"/>
    <mergeCell ref="BE20:BE27"/>
    <mergeCell ref="AS18:AX18"/>
    <mergeCell ref="AS19:AT19"/>
    <mergeCell ref="AS20:AS28"/>
    <mergeCell ref="AS17:AW17"/>
    <mergeCell ref="AZ19:BC19"/>
    <mergeCell ref="AZ20:BA20"/>
    <mergeCell ref="AZ21:AZ28"/>
    <mergeCell ref="AZ18:B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8FC-BA12-4014-9677-DDFD99FE9997}">
  <dimension ref="A1:Z40"/>
  <sheetViews>
    <sheetView zoomScale="57" zoomScaleNormal="57" workbookViewId="0">
      <selection activeCell="P4" sqref="P4"/>
    </sheetView>
  </sheetViews>
  <sheetFormatPr defaultRowHeight="14.5" x14ac:dyDescent="0.35"/>
  <cols>
    <col min="1" max="1" width="20.81640625" bestFit="1" customWidth="1"/>
  </cols>
  <sheetData>
    <row r="1" spans="1:26" ht="15" thickBot="1" x14ac:dyDescent="0.4">
      <c r="A1" t="s">
        <v>118</v>
      </c>
      <c r="B1" t="s">
        <v>119</v>
      </c>
      <c r="C1" t="s">
        <v>120</v>
      </c>
      <c r="D1" t="s">
        <v>121</v>
      </c>
      <c r="E1" t="s">
        <v>32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O1" t="s">
        <v>164</v>
      </c>
    </row>
    <row r="2" spans="1:26" x14ac:dyDescent="0.35">
      <c r="A2" t="s">
        <v>117</v>
      </c>
      <c r="B2" cm="1">
        <f t="array" ref="B2:M2">TRANSPOSE(Q2:Q13)</f>
        <v>2.91</v>
      </c>
      <c r="C2">
        <v>2.2000000000000002</v>
      </c>
      <c r="D2">
        <v>3.91</v>
      </c>
      <c r="E2">
        <v>1.91</v>
      </c>
      <c r="F2">
        <v>2.5499999999999998</v>
      </c>
      <c r="G2">
        <v>2.1800000000000002</v>
      </c>
      <c r="H2">
        <v>2.64</v>
      </c>
      <c r="I2">
        <v>4.2699999999999996</v>
      </c>
      <c r="J2">
        <v>4.09</v>
      </c>
      <c r="K2">
        <v>4.3600000000000003</v>
      </c>
      <c r="L2">
        <v>4.09</v>
      </c>
      <c r="M2">
        <v>4.2699999999999996</v>
      </c>
      <c r="O2">
        <v>4.88</v>
      </c>
      <c r="Q2" s="48">
        <v>2.91</v>
      </c>
      <c r="R2" s="47">
        <v>2.67</v>
      </c>
      <c r="S2" s="47">
        <v>3.33</v>
      </c>
      <c r="T2" s="47">
        <v>3.31</v>
      </c>
      <c r="U2" s="47">
        <v>4.26</v>
      </c>
      <c r="V2" s="47">
        <v>3.53</v>
      </c>
      <c r="W2" s="5">
        <v>3.36</v>
      </c>
      <c r="X2" s="19">
        <v>3.14</v>
      </c>
      <c r="Y2" s="19">
        <v>3.27</v>
      </c>
      <c r="Z2" s="62">
        <v>3</v>
      </c>
    </row>
    <row r="3" spans="1:26" x14ac:dyDescent="0.35">
      <c r="A3" t="s">
        <v>130</v>
      </c>
      <c r="B3" cm="1">
        <f t="array" ref="B3:M3">TRANSPOSE(R2:R13)</f>
        <v>2.67</v>
      </c>
      <c r="C3">
        <v>2.67</v>
      </c>
      <c r="D3">
        <v>2</v>
      </c>
      <c r="E3">
        <v>3</v>
      </c>
      <c r="F3">
        <v>2.33</v>
      </c>
      <c r="G3">
        <v>2.67</v>
      </c>
      <c r="H3">
        <v>2</v>
      </c>
      <c r="I3">
        <v>2.33</v>
      </c>
      <c r="J3">
        <v>2.67</v>
      </c>
      <c r="K3">
        <v>4</v>
      </c>
      <c r="L3">
        <v>3.33</v>
      </c>
      <c r="M3">
        <v>2.67</v>
      </c>
      <c r="O3">
        <v>5.41</v>
      </c>
      <c r="Q3" s="48">
        <v>2.2000000000000002</v>
      </c>
      <c r="R3" s="48">
        <v>2.67</v>
      </c>
      <c r="S3" s="48">
        <v>3.2</v>
      </c>
      <c r="T3" s="48">
        <v>3.58</v>
      </c>
      <c r="U3" s="48">
        <v>3.74</v>
      </c>
      <c r="V3" s="48">
        <v>4.41</v>
      </c>
      <c r="W3" s="8">
        <v>3.1</v>
      </c>
      <c r="X3" s="22">
        <v>3.37</v>
      </c>
      <c r="Y3" s="22">
        <v>3.94</v>
      </c>
      <c r="Z3" s="63">
        <v>3.5</v>
      </c>
    </row>
    <row r="4" spans="1:26" x14ac:dyDescent="0.35">
      <c r="A4" t="s">
        <v>131</v>
      </c>
      <c r="B4" cm="1">
        <f t="array" ref="B4:M4">TRANSPOSE(S2:S13)</f>
        <v>3.33</v>
      </c>
      <c r="C4">
        <v>3.2</v>
      </c>
      <c r="D4">
        <v>2</v>
      </c>
      <c r="E4">
        <v>3.56</v>
      </c>
      <c r="F4">
        <v>2</v>
      </c>
      <c r="G4">
        <v>3.13</v>
      </c>
      <c r="H4">
        <v>2.25</v>
      </c>
      <c r="I4">
        <v>2.75</v>
      </c>
      <c r="J4">
        <v>4</v>
      </c>
      <c r="K4">
        <v>3.63</v>
      </c>
      <c r="L4">
        <v>4.5</v>
      </c>
      <c r="M4">
        <v>3.33</v>
      </c>
      <c r="O4">
        <v>4.8499999999999996</v>
      </c>
      <c r="Q4" s="48">
        <v>3.91</v>
      </c>
      <c r="R4" s="48">
        <v>2</v>
      </c>
      <c r="S4" s="48">
        <v>2</v>
      </c>
      <c r="T4" s="48">
        <v>3.21</v>
      </c>
      <c r="U4" s="48">
        <v>3.2</v>
      </c>
      <c r="V4" s="48">
        <v>3</v>
      </c>
      <c r="W4" s="8">
        <v>2.8</v>
      </c>
      <c r="X4" s="22">
        <v>2.3199999999999998</v>
      </c>
      <c r="Y4" s="22">
        <v>2.5</v>
      </c>
      <c r="Z4" s="63">
        <v>2.65</v>
      </c>
    </row>
    <row r="5" spans="1:26" x14ac:dyDescent="0.35">
      <c r="A5" t="s">
        <v>132</v>
      </c>
      <c r="B5" cm="1">
        <f t="array" ref="B5:M5">TRANSPOSE(T2:T13)</f>
        <v>3.31</v>
      </c>
      <c r="C5">
        <v>3.58</v>
      </c>
      <c r="D5">
        <v>3.21</v>
      </c>
      <c r="E5">
        <v>3.86</v>
      </c>
      <c r="F5">
        <v>2.5299999999999998</v>
      </c>
      <c r="G5">
        <v>3.5</v>
      </c>
      <c r="H5">
        <v>3.12</v>
      </c>
      <c r="I5">
        <v>2.92</v>
      </c>
      <c r="J5">
        <v>3.66</v>
      </c>
      <c r="K5">
        <v>3.56</v>
      </c>
      <c r="L5">
        <v>4.29</v>
      </c>
      <c r="M5">
        <v>3.48</v>
      </c>
      <c r="O5">
        <v>5.43</v>
      </c>
      <c r="Q5" s="48">
        <v>1.91</v>
      </c>
      <c r="R5" s="48">
        <v>3</v>
      </c>
      <c r="S5" s="48">
        <v>3.56</v>
      </c>
      <c r="T5" s="48">
        <v>3.86</v>
      </c>
      <c r="U5" s="48">
        <v>4.1500000000000004</v>
      </c>
      <c r="V5" s="48">
        <v>4.18</v>
      </c>
      <c r="W5" s="8">
        <v>3.77</v>
      </c>
      <c r="X5" s="22">
        <v>4</v>
      </c>
      <c r="Y5" s="22">
        <v>4.38</v>
      </c>
      <c r="Z5" s="63">
        <v>3.88</v>
      </c>
    </row>
    <row r="6" spans="1:26" x14ac:dyDescent="0.35">
      <c r="A6" t="s">
        <v>133</v>
      </c>
      <c r="B6" cm="1">
        <f t="array" ref="B6:M6">TRANSPOSE(U2:U13)</f>
        <v>4.26</v>
      </c>
      <c r="C6">
        <v>3.74</v>
      </c>
      <c r="D6">
        <v>3.2</v>
      </c>
      <c r="E6">
        <v>4.1500000000000004</v>
      </c>
      <c r="F6">
        <v>2.63</v>
      </c>
      <c r="G6">
        <v>3.45</v>
      </c>
      <c r="H6">
        <v>2.95</v>
      </c>
      <c r="I6">
        <v>2.38</v>
      </c>
      <c r="J6">
        <v>3.9</v>
      </c>
      <c r="K6">
        <v>3.88</v>
      </c>
      <c r="L6">
        <v>4.5199999999999996</v>
      </c>
      <c r="M6">
        <v>3.53</v>
      </c>
      <c r="O6">
        <v>5.12</v>
      </c>
      <c r="Q6" s="48">
        <v>2.5499999999999998</v>
      </c>
      <c r="R6" s="48">
        <v>2.33</v>
      </c>
      <c r="S6" s="48">
        <v>2</v>
      </c>
      <c r="T6" s="48">
        <v>2.5299999999999998</v>
      </c>
      <c r="U6" s="48">
        <v>2.63</v>
      </c>
      <c r="V6" s="48">
        <v>2.82</v>
      </c>
      <c r="W6" s="8">
        <v>2.52</v>
      </c>
      <c r="X6" s="22">
        <v>2.4300000000000002</v>
      </c>
      <c r="Y6" s="22">
        <v>2</v>
      </c>
      <c r="Z6" s="63">
        <v>2.75</v>
      </c>
    </row>
    <row r="7" spans="1:26" x14ac:dyDescent="0.35">
      <c r="A7" t="s">
        <v>134</v>
      </c>
      <c r="B7" cm="1">
        <f t="array" ref="B7:M7">TRANSPOSE(V2:V13)</f>
        <v>3.53</v>
      </c>
      <c r="C7">
        <v>4.41</v>
      </c>
      <c r="D7">
        <v>3</v>
      </c>
      <c r="E7">
        <v>4.18</v>
      </c>
      <c r="F7">
        <v>2.82</v>
      </c>
      <c r="G7">
        <v>4</v>
      </c>
      <c r="H7">
        <v>3.06</v>
      </c>
      <c r="I7">
        <v>3.76</v>
      </c>
      <c r="J7">
        <v>3.65</v>
      </c>
      <c r="K7">
        <v>3.94</v>
      </c>
      <c r="L7">
        <v>4.47</v>
      </c>
      <c r="M7">
        <v>2.82</v>
      </c>
      <c r="O7">
        <v>5.74</v>
      </c>
      <c r="Q7" s="48">
        <v>2.1800000000000002</v>
      </c>
      <c r="R7" s="48">
        <v>2.67</v>
      </c>
      <c r="S7" s="48">
        <v>3.13</v>
      </c>
      <c r="T7" s="48">
        <v>3.5</v>
      </c>
      <c r="U7" s="48">
        <v>3.45</v>
      </c>
      <c r="V7" s="48">
        <v>4</v>
      </c>
      <c r="W7" s="8">
        <v>3.25</v>
      </c>
      <c r="X7" s="22">
        <v>3.51</v>
      </c>
      <c r="Y7" s="22">
        <v>3.25</v>
      </c>
      <c r="Z7" s="63">
        <v>3.67</v>
      </c>
    </row>
    <row r="8" spans="1:26" x14ac:dyDescent="0.35">
      <c r="A8" t="s">
        <v>135</v>
      </c>
      <c r="B8" cm="1">
        <f t="array" ref="B8:M8">TRANSPOSE(Q15:Q26)</f>
        <v>2.44</v>
      </c>
      <c r="C8">
        <v>3.08</v>
      </c>
      <c r="D8">
        <v>2.1800000000000002</v>
      </c>
      <c r="E8">
        <v>3.11</v>
      </c>
      <c r="F8">
        <v>2</v>
      </c>
      <c r="G8">
        <v>3.66</v>
      </c>
      <c r="H8">
        <v>2.2000000000000002</v>
      </c>
      <c r="I8">
        <v>2.31</v>
      </c>
      <c r="J8">
        <v>3.29</v>
      </c>
      <c r="K8">
        <v>3.67</v>
      </c>
      <c r="L8">
        <v>4.08</v>
      </c>
      <c r="M8">
        <v>3.08</v>
      </c>
      <c r="O8">
        <v>6.92</v>
      </c>
      <c r="Q8" s="48">
        <v>2.64</v>
      </c>
      <c r="R8" s="48">
        <v>2</v>
      </c>
      <c r="S8" s="48">
        <v>2.25</v>
      </c>
      <c r="T8" s="48">
        <v>3.12</v>
      </c>
      <c r="U8" s="48">
        <v>2.95</v>
      </c>
      <c r="V8" s="48">
        <v>3.06</v>
      </c>
      <c r="W8" s="8">
        <v>2.89</v>
      </c>
      <c r="X8" s="22">
        <v>2.74</v>
      </c>
      <c r="Y8" s="22">
        <v>2.75</v>
      </c>
      <c r="Z8" s="63">
        <v>3</v>
      </c>
    </row>
    <row r="9" spans="1:26" x14ac:dyDescent="0.35">
      <c r="A9" t="s">
        <v>136</v>
      </c>
      <c r="B9" cm="1">
        <f t="array" ref="B9:M9">TRANSPOSE(R15:R26)</f>
        <v>3.08</v>
      </c>
      <c r="C9">
        <v>3.7</v>
      </c>
      <c r="D9">
        <v>3.17</v>
      </c>
      <c r="E9">
        <v>3.83</v>
      </c>
      <c r="F9">
        <v>2.91</v>
      </c>
      <c r="G9">
        <v>3.57</v>
      </c>
      <c r="H9">
        <v>3.35</v>
      </c>
      <c r="I9">
        <v>3.43</v>
      </c>
      <c r="J9">
        <v>3.78</v>
      </c>
      <c r="K9">
        <v>3.78</v>
      </c>
      <c r="L9">
        <v>4.17</v>
      </c>
      <c r="M9">
        <v>3.17</v>
      </c>
      <c r="O9">
        <v>6.17</v>
      </c>
      <c r="Q9" s="48">
        <v>4.2699999999999996</v>
      </c>
      <c r="R9" s="48">
        <v>2.33</v>
      </c>
      <c r="S9" s="48">
        <v>2.75</v>
      </c>
      <c r="T9" s="48">
        <v>2.92</v>
      </c>
      <c r="U9" s="48">
        <v>2.38</v>
      </c>
      <c r="V9" s="48">
        <v>3.76</v>
      </c>
      <c r="W9" s="8">
        <v>2.48</v>
      </c>
      <c r="X9" s="22">
        <v>2.34</v>
      </c>
      <c r="Y9" s="22">
        <v>2.56</v>
      </c>
      <c r="Z9" s="63">
        <v>2.96</v>
      </c>
    </row>
    <row r="10" spans="1:26" x14ac:dyDescent="0.35">
      <c r="A10" t="s">
        <v>82</v>
      </c>
      <c r="B10" cm="1">
        <f t="array" ref="B10:M10">TRANSPOSE(S15:S26)</f>
        <v>3.27</v>
      </c>
      <c r="C10">
        <v>3.61</v>
      </c>
      <c r="D10">
        <v>2.27</v>
      </c>
      <c r="E10">
        <v>3.67</v>
      </c>
      <c r="F10">
        <v>2.4900000000000002</v>
      </c>
      <c r="G10">
        <v>3.43</v>
      </c>
      <c r="H10">
        <v>2.87</v>
      </c>
      <c r="I10">
        <v>2.96</v>
      </c>
      <c r="J10">
        <v>2.93</v>
      </c>
      <c r="K10">
        <v>3.09</v>
      </c>
      <c r="L10">
        <v>3.68</v>
      </c>
      <c r="M10">
        <v>2.52</v>
      </c>
      <c r="O10">
        <v>6.28</v>
      </c>
      <c r="Q10" s="48">
        <v>4.09</v>
      </c>
      <c r="R10" s="48">
        <v>2.67</v>
      </c>
      <c r="S10" s="48">
        <v>4</v>
      </c>
      <c r="T10" s="48">
        <v>3.66</v>
      </c>
      <c r="U10" s="48">
        <v>3.9</v>
      </c>
      <c r="V10" s="48">
        <v>3.65</v>
      </c>
      <c r="W10" s="8">
        <v>3.92</v>
      </c>
      <c r="X10" s="22">
        <v>3.49</v>
      </c>
      <c r="Y10" s="22">
        <v>3.38</v>
      </c>
      <c r="Z10" s="63">
        <v>3.67</v>
      </c>
    </row>
    <row r="11" spans="1:26" x14ac:dyDescent="0.35">
      <c r="A11" t="s">
        <v>83</v>
      </c>
      <c r="B11" cm="1">
        <f t="array" ref="B11:M11">TRANSPOSE(Q28:Q39)</f>
        <v>3.49</v>
      </c>
      <c r="C11">
        <v>3.81</v>
      </c>
      <c r="D11">
        <v>2.72</v>
      </c>
      <c r="E11">
        <v>3.97</v>
      </c>
      <c r="F11">
        <v>2.74</v>
      </c>
      <c r="G11">
        <v>3.81</v>
      </c>
      <c r="H11">
        <v>2.89</v>
      </c>
      <c r="I11">
        <v>3.11</v>
      </c>
      <c r="J11">
        <v>3.78</v>
      </c>
      <c r="K11">
        <v>3.55</v>
      </c>
      <c r="L11">
        <v>4.28</v>
      </c>
      <c r="M11">
        <v>2.83</v>
      </c>
      <c r="O11">
        <v>6.79</v>
      </c>
      <c r="Q11" s="48">
        <v>4.3600000000000003</v>
      </c>
      <c r="R11" s="48">
        <v>4</v>
      </c>
      <c r="S11" s="48">
        <v>3.63</v>
      </c>
      <c r="T11" s="48">
        <v>3.56</v>
      </c>
      <c r="U11" s="48">
        <v>3.88</v>
      </c>
      <c r="V11" s="48">
        <v>3.94</v>
      </c>
      <c r="W11" s="8">
        <v>3.78</v>
      </c>
      <c r="X11" s="22">
        <v>3.43</v>
      </c>
      <c r="Y11" s="22">
        <v>3.31</v>
      </c>
      <c r="Z11" s="63">
        <v>3.88</v>
      </c>
    </row>
    <row r="12" spans="1:26" x14ac:dyDescent="0.35">
      <c r="A12" t="s">
        <v>84</v>
      </c>
      <c r="B12" cm="1">
        <f t="array" ref="B12:M12">TRANSPOSE(R28:R39)</f>
        <v>3.19</v>
      </c>
      <c r="C12">
        <v>3</v>
      </c>
      <c r="D12">
        <v>2.8</v>
      </c>
      <c r="E12">
        <v>3.81</v>
      </c>
      <c r="F12">
        <v>2.81</v>
      </c>
      <c r="G12">
        <v>4.18</v>
      </c>
      <c r="H12">
        <v>3.13</v>
      </c>
      <c r="I12">
        <v>2.75</v>
      </c>
      <c r="J12">
        <v>3.73</v>
      </c>
      <c r="K12">
        <v>3.8</v>
      </c>
      <c r="L12">
        <v>4.2699999999999996</v>
      </c>
      <c r="M12">
        <v>2.8</v>
      </c>
      <c r="O12">
        <v>5.79</v>
      </c>
      <c r="Q12" s="48">
        <v>4.09</v>
      </c>
      <c r="R12" s="48">
        <v>3.33</v>
      </c>
      <c r="S12" s="48">
        <v>4.5</v>
      </c>
      <c r="T12" s="48">
        <v>4.29</v>
      </c>
      <c r="U12" s="48">
        <v>4.5199999999999996</v>
      </c>
      <c r="V12" s="48">
        <v>4.47</v>
      </c>
      <c r="W12" s="8">
        <v>4.34</v>
      </c>
      <c r="X12" s="22">
        <v>4.2300000000000004</v>
      </c>
      <c r="Y12" s="22">
        <v>3.94</v>
      </c>
      <c r="Z12" s="63">
        <v>4.24</v>
      </c>
    </row>
    <row r="13" spans="1:26" x14ac:dyDescent="0.35">
      <c r="A13" t="s">
        <v>137</v>
      </c>
      <c r="B13" cm="1">
        <f t="array" ref="B13:M13">TRANSPOSE(T15:T26)</f>
        <v>3.63</v>
      </c>
      <c r="C13">
        <v>3.77</v>
      </c>
      <c r="D13">
        <v>3.13</v>
      </c>
      <c r="E13">
        <v>4.0999999999999996</v>
      </c>
      <c r="F13">
        <v>2.4300000000000002</v>
      </c>
      <c r="G13">
        <v>3.93</v>
      </c>
      <c r="H13">
        <v>3.47</v>
      </c>
      <c r="I13">
        <v>3.03</v>
      </c>
      <c r="J13">
        <v>3.73</v>
      </c>
      <c r="K13">
        <v>3.7</v>
      </c>
      <c r="L13">
        <v>4.5999999999999996</v>
      </c>
      <c r="M13">
        <v>3</v>
      </c>
      <c r="O13">
        <v>6.23</v>
      </c>
      <c r="Q13" s="48">
        <v>4.2699999999999996</v>
      </c>
      <c r="R13" s="48">
        <v>2.67</v>
      </c>
      <c r="S13" s="48">
        <v>3.33</v>
      </c>
      <c r="T13" s="48">
        <v>3.48</v>
      </c>
      <c r="U13" s="48">
        <v>3.53</v>
      </c>
      <c r="V13" s="48">
        <v>2.82</v>
      </c>
      <c r="W13" s="8">
        <v>3.45</v>
      </c>
      <c r="X13" s="22">
        <v>2.8</v>
      </c>
      <c r="Y13" s="22">
        <v>2.94</v>
      </c>
      <c r="Z13" s="63">
        <v>3.04</v>
      </c>
    </row>
    <row r="14" spans="1:26" ht="15" thickBot="1" x14ac:dyDescent="0.4">
      <c r="A14" t="s">
        <v>138</v>
      </c>
      <c r="B14" cm="1">
        <f t="array" ref="B14:M14">TRANSPOSE(U15:U26)</f>
        <v>3.74</v>
      </c>
      <c r="C14">
        <v>3.53</v>
      </c>
      <c r="D14">
        <v>3.2</v>
      </c>
      <c r="E14">
        <v>4</v>
      </c>
      <c r="F14">
        <v>2.76</v>
      </c>
      <c r="G14">
        <v>3.65</v>
      </c>
      <c r="H14">
        <v>3.75</v>
      </c>
      <c r="I14">
        <v>2.78</v>
      </c>
      <c r="J14">
        <v>3.65</v>
      </c>
      <c r="K14">
        <v>3.63</v>
      </c>
      <c r="L14">
        <v>4.45</v>
      </c>
      <c r="M14">
        <v>3.59</v>
      </c>
      <c r="O14">
        <v>5.75</v>
      </c>
      <c r="R14" s="48"/>
      <c r="S14" s="48"/>
      <c r="T14" s="48"/>
      <c r="U14" s="48"/>
      <c r="X14" s="61"/>
    </row>
    <row r="15" spans="1:26" x14ac:dyDescent="0.35">
      <c r="A15" t="s">
        <v>55</v>
      </c>
      <c r="B15" cm="1">
        <f t="array" ref="B15:M15">TRANSPOSE(V15:V26)</f>
        <v>3.2</v>
      </c>
      <c r="C15">
        <v>3</v>
      </c>
      <c r="D15">
        <v>2.4500000000000002</v>
      </c>
      <c r="E15">
        <v>3.9</v>
      </c>
      <c r="F15">
        <v>3.06</v>
      </c>
      <c r="G15">
        <v>3.37</v>
      </c>
      <c r="H15">
        <v>2.5499999999999998</v>
      </c>
      <c r="I15">
        <v>3.35</v>
      </c>
      <c r="J15">
        <v>4.2</v>
      </c>
      <c r="K15">
        <v>4.05</v>
      </c>
      <c r="L15">
        <v>4.3</v>
      </c>
      <c r="M15">
        <v>3.55</v>
      </c>
      <c r="O15">
        <v>5.28</v>
      </c>
      <c r="Q15" s="47">
        <v>2.44</v>
      </c>
      <c r="R15" s="47">
        <v>3.08</v>
      </c>
      <c r="S15" s="19">
        <v>3.27</v>
      </c>
      <c r="T15" s="19">
        <v>3.63</v>
      </c>
      <c r="U15" s="19">
        <v>3.74</v>
      </c>
      <c r="V15" s="19">
        <v>3.2</v>
      </c>
      <c r="W15" s="5">
        <v>2.42</v>
      </c>
      <c r="X15" s="19">
        <v>3.64</v>
      </c>
      <c r="Y15" s="62">
        <v>3.36</v>
      </c>
      <c r="Z15" s="62">
        <v>3</v>
      </c>
    </row>
    <row r="16" spans="1:26" x14ac:dyDescent="0.35">
      <c r="A16" t="s">
        <v>139</v>
      </c>
      <c r="B16" cm="1">
        <f t="array" ref="B16:M16">TRANSPOSE(S28:S39)</f>
        <v>3.41</v>
      </c>
      <c r="C16">
        <v>4.0999999999999996</v>
      </c>
      <c r="D16">
        <v>3</v>
      </c>
      <c r="E16">
        <v>4.08</v>
      </c>
      <c r="F16">
        <v>3.21</v>
      </c>
      <c r="G16">
        <v>3.85</v>
      </c>
      <c r="H16">
        <v>3.44</v>
      </c>
      <c r="I16">
        <v>2.67</v>
      </c>
      <c r="J16">
        <v>3.5</v>
      </c>
      <c r="K16">
        <v>3.56</v>
      </c>
      <c r="L16">
        <v>4.46</v>
      </c>
      <c r="M16">
        <v>2.9</v>
      </c>
      <c r="O16">
        <v>6.84</v>
      </c>
      <c r="Q16" s="48">
        <v>3.08</v>
      </c>
      <c r="R16" s="48">
        <v>3.7</v>
      </c>
      <c r="S16" s="22">
        <v>3.61</v>
      </c>
      <c r="T16" s="22">
        <v>3.77</v>
      </c>
      <c r="U16" s="22">
        <v>3.53</v>
      </c>
      <c r="V16" s="22">
        <v>3</v>
      </c>
      <c r="W16" s="8">
        <v>2.67</v>
      </c>
      <c r="X16" s="22">
        <v>3.43</v>
      </c>
      <c r="Y16" s="63">
        <v>3.32</v>
      </c>
      <c r="Z16" s="63">
        <v>3.27</v>
      </c>
    </row>
    <row r="17" spans="1:26" x14ac:dyDescent="0.35">
      <c r="A17" t="s">
        <v>140</v>
      </c>
      <c r="B17" cm="1">
        <f t="array" ref="B17:M17">TRANSPOSE(T28:T39)</f>
        <v>3.55</v>
      </c>
      <c r="C17">
        <v>3.3</v>
      </c>
      <c r="D17">
        <v>2.69</v>
      </c>
      <c r="E17">
        <v>3.75</v>
      </c>
      <c r="F17">
        <v>2.75</v>
      </c>
      <c r="G17">
        <v>3.49</v>
      </c>
      <c r="H17">
        <v>3.15</v>
      </c>
      <c r="I17">
        <v>2.73</v>
      </c>
      <c r="J17">
        <v>4.09</v>
      </c>
      <c r="K17">
        <v>3.96</v>
      </c>
      <c r="L17">
        <v>4.68</v>
      </c>
      <c r="M17">
        <v>3.3</v>
      </c>
      <c r="O17">
        <v>7</v>
      </c>
      <c r="Q17" s="48">
        <v>2.1800000000000002</v>
      </c>
      <c r="R17" s="48">
        <v>3.17</v>
      </c>
      <c r="S17" s="22">
        <v>2.27</v>
      </c>
      <c r="T17" s="22">
        <v>3.13</v>
      </c>
      <c r="U17" s="22">
        <v>3.2</v>
      </c>
      <c r="V17" s="22">
        <v>2.4500000000000002</v>
      </c>
      <c r="W17" s="8">
        <v>2.93</v>
      </c>
      <c r="X17" s="22">
        <v>3.08</v>
      </c>
      <c r="Y17" s="63">
        <v>3</v>
      </c>
      <c r="Z17" s="63">
        <v>2.92</v>
      </c>
    </row>
    <row r="18" spans="1:26" x14ac:dyDescent="0.35">
      <c r="A18" t="s">
        <v>141</v>
      </c>
      <c r="B18" cm="1">
        <f t="array" ref="B18:M18">TRANSPOSE(U28:U39)</f>
        <v>3.45</v>
      </c>
      <c r="C18">
        <v>3.27</v>
      </c>
      <c r="D18">
        <v>2.5</v>
      </c>
      <c r="E18">
        <v>3.65</v>
      </c>
      <c r="F18">
        <v>2.67</v>
      </c>
      <c r="G18">
        <v>3.61</v>
      </c>
      <c r="H18">
        <v>3.07</v>
      </c>
      <c r="I18">
        <v>3.17</v>
      </c>
      <c r="J18">
        <v>3.74</v>
      </c>
      <c r="K18">
        <v>3.53</v>
      </c>
      <c r="L18">
        <v>4.42</v>
      </c>
      <c r="M18">
        <v>3.07</v>
      </c>
      <c r="O18">
        <v>5.73</v>
      </c>
      <c r="Q18" s="48">
        <v>3.11</v>
      </c>
      <c r="R18" s="48">
        <v>3.83</v>
      </c>
      <c r="S18" s="22">
        <v>3.67</v>
      </c>
      <c r="T18" s="22">
        <v>4.0999999999999996</v>
      </c>
      <c r="U18" s="22">
        <v>4</v>
      </c>
      <c r="V18" s="22">
        <v>3.9</v>
      </c>
      <c r="W18" s="8">
        <v>3</v>
      </c>
      <c r="X18" s="22">
        <v>3.64</v>
      </c>
      <c r="Y18" s="63">
        <v>3.89</v>
      </c>
      <c r="Z18" s="63">
        <v>3.68</v>
      </c>
    </row>
    <row r="19" spans="1:26" x14ac:dyDescent="0.35">
      <c r="A19" t="s">
        <v>10</v>
      </c>
      <c r="B19" cm="1">
        <f t="array" ref="B19:M19">TRANSPOSE(V28:V39)</f>
        <v>3.92</v>
      </c>
      <c r="C19">
        <v>3.37</v>
      </c>
      <c r="D19">
        <v>3.07</v>
      </c>
      <c r="E19">
        <v>3.97</v>
      </c>
      <c r="F19">
        <v>2.5299999999999998</v>
      </c>
      <c r="G19">
        <v>3.34</v>
      </c>
      <c r="H19">
        <v>3.27</v>
      </c>
      <c r="I19">
        <v>2.4900000000000002</v>
      </c>
      <c r="J19">
        <v>3.86</v>
      </c>
      <c r="K19">
        <v>3.9</v>
      </c>
      <c r="L19">
        <v>4.54</v>
      </c>
      <c r="M19">
        <v>3.47</v>
      </c>
      <c r="O19">
        <v>4.76</v>
      </c>
      <c r="Q19" s="48">
        <v>2</v>
      </c>
      <c r="R19" s="48">
        <v>2.91</v>
      </c>
      <c r="S19" s="22">
        <v>2.4900000000000002</v>
      </c>
      <c r="T19" s="22">
        <v>2.4300000000000002</v>
      </c>
      <c r="U19" s="22">
        <v>2.76</v>
      </c>
      <c r="V19" s="22">
        <v>3.06</v>
      </c>
      <c r="W19" s="8">
        <v>3.05</v>
      </c>
      <c r="X19" s="22">
        <v>3</v>
      </c>
      <c r="Y19" s="63">
        <v>2.33</v>
      </c>
      <c r="Z19" s="63">
        <v>2.54</v>
      </c>
    </row>
    <row r="20" spans="1:26" x14ac:dyDescent="0.35">
      <c r="A20" t="s">
        <v>85</v>
      </c>
      <c r="B20" cm="1">
        <f t="array" ref="B20:M20">TRANSPOSE(W2:W13)</f>
        <v>3.36</v>
      </c>
      <c r="C20">
        <v>3.1</v>
      </c>
      <c r="D20">
        <v>2.8</v>
      </c>
      <c r="E20">
        <v>3.77</v>
      </c>
      <c r="F20">
        <v>2.52</v>
      </c>
      <c r="G20">
        <v>3.25</v>
      </c>
      <c r="H20">
        <v>2.89</v>
      </c>
      <c r="I20">
        <v>2.48</v>
      </c>
      <c r="J20">
        <v>3.92</v>
      </c>
      <c r="K20">
        <v>3.78</v>
      </c>
      <c r="L20">
        <v>4.34</v>
      </c>
      <c r="M20">
        <v>3.45</v>
      </c>
      <c r="O20">
        <v>5.09</v>
      </c>
      <c r="Q20" s="48">
        <v>3.66</v>
      </c>
      <c r="R20" s="48">
        <v>3.57</v>
      </c>
      <c r="S20" s="22">
        <v>3.43</v>
      </c>
      <c r="T20" s="22">
        <v>3.93</v>
      </c>
      <c r="U20" s="22">
        <v>3.65</v>
      </c>
      <c r="V20" s="22">
        <v>3.37</v>
      </c>
      <c r="W20" s="8">
        <v>3.26</v>
      </c>
      <c r="X20" s="22">
        <v>3.5</v>
      </c>
      <c r="Y20" s="63">
        <v>2.7</v>
      </c>
      <c r="Z20" s="63">
        <v>3.61</v>
      </c>
    </row>
    <row r="21" spans="1:26" x14ac:dyDescent="0.35">
      <c r="A21" t="s">
        <v>142</v>
      </c>
      <c r="B21" cm="1">
        <f t="array" ref="B21:M21">TRANSPOSE(W15:W26)</f>
        <v>2.42</v>
      </c>
      <c r="C21">
        <v>2.67</v>
      </c>
      <c r="D21">
        <v>2.93</v>
      </c>
      <c r="E21">
        <v>3</v>
      </c>
      <c r="F21">
        <v>3.05</v>
      </c>
      <c r="G21">
        <v>3.26</v>
      </c>
      <c r="H21">
        <v>3.3</v>
      </c>
      <c r="I21">
        <v>3.35</v>
      </c>
      <c r="J21">
        <v>3.38</v>
      </c>
      <c r="K21">
        <v>3.53</v>
      </c>
      <c r="L21">
        <v>3.09</v>
      </c>
      <c r="M21">
        <v>3.76</v>
      </c>
      <c r="O21">
        <v>3.36</v>
      </c>
      <c r="Q21" s="48">
        <v>2.2000000000000002</v>
      </c>
      <c r="R21" s="48">
        <v>3.35</v>
      </c>
      <c r="S21" s="22">
        <v>2.87</v>
      </c>
      <c r="T21" s="22">
        <v>3.47</v>
      </c>
      <c r="U21" s="22">
        <v>3.75</v>
      </c>
      <c r="V21" s="22">
        <v>2.5499999999999998</v>
      </c>
      <c r="W21" s="8">
        <v>3.3</v>
      </c>
      <c r="X21" s="22">
        <v>3.35</v>
      </c>
      <c r="Y21" s="63">
        <v>3.11</v>
      </c>
      <c r="Z21" s="63">
        <v>3.17</v>
      </c>
    </row>
    <row r="22" spans="1:26" x14ac:dyDescent="0.35">
      <c r="A22" t="s">
        <v>30</v>
      </c>
      <c r="B22" cm="1">
        <f t="array" ref="B22:M22">TRANSPOSE(W28:W39)</f>
        <v>3.08</v>
      </c>
      <c r="C22">
        <v>3.69</v>
      </c>
      <c r="D22">
        <v>2.89</v>
      </c>
      <c r="E22">
        <v>3.76</v>
      </c>
      <c r="F22">
        <v>2.97</v>
      </c>
      <c r="G22">
        <v>3.89</v>
      </c>
      <c r="H22">
        <v>2.89</v>
      </c>
      <c r="I22">
        <v>3.08</v>
      </c>
      <c r="J22">
        <v>3.43</v>
      </c>
      <c r="K22">
        <v>3.58</v>
      </c>
      <c r="L22">
        <v>3.92</v>
      </c>
      <c r="M22">
        <v>3.03</v>
      </c>
      <c r="O22">
        <v>4.76</v>
      </c>
      <c r="Q22" s="48">
        <v>2.31</v>
      </c>
      <c r="R22" s="48">
        <v>3.43</v>
      </c>
      <c r="S22" s="22">
        <v>2.96</v>
      </c>
      <c r="T22" s="22">
        <v>3.03</v>
      </c>
      <c r="U22" s="22">
        <v>2.78</v>
      </c>
      <c r="V22" s="22">
        <v>3.35</v>
      </c>
      <c r="W22" s="8">
        <v>3.35</v>
      </c>
      <c r="X22" s="22">
        <v>2.65</v>
      </c>
      <c r="Y22" s="63">
        <v>2.63</v>
      </c>
      <c r="Z22" s="63">
        <v>3</v>
      </c>
    </row>
    <row r="23" spans="1:26" x14ac:dyDescent="0.35">
      <c r="A23" t="s">
        <v>146</v>
      </c>
      <c r="B23" cm="1">
        <f t="array" ref="B23:M23">TRANSPOSE(X2:X13)</f>
        <v>3.14</v>
      </c>
      <c r="C23">
        <v>3.37</v>
      </c>
      <c r="D23">
        <v>2.3199999999999998</v>
      </c>
      <c r="E23">
        <v>4</v>
      </c>
      <c r="F23">
        <v>2.4300000000000002</v>
      </c>
      <c r="G23">
        <v>3.51</v>
      </c>
      <c r="H23">
        <v>2.74</v>
      </c>
      <c r="I23">
        <v>2.34</v>
      </c>
      <c r="J23">
        <v>3.49</v>
      </c>
      <c r="K23">
        <v>3.43</v>
      </c>
      <c r="L23">
        <v>4.2300000000000004</v>
      </c>
      <c r="M23">
        <v>2.8</v>
      </c>
      <c r="O23">
        <v>6.01</v>
      </c>
      <c r="Q23" s="48">
        <v>3.29</v>
      </c>
      <c r="R23" s="48">
        <v>3.78</v>
      </c>
      <c r="S23" s="22">
        <v>2.93</v>
      </c>
      <c r="T23" s="22">
        <v>3.73</v>
      </c>
      <c r="U23" s="22">
        <v>3.65</v>
      </c>
      <c r="V23" s="22">
        <v>4.2</v>
      </c>
      <c r="W23" s="8">
        <v>3.38</v>
      </c>
      <c r="X23" s="22">
        <v>3.88</v>
      </c>
      <c r="Y23" s="63">
        <v>3.72</v>
      </c>
      <c r="Z23" s="63">
        <v>3.03</v>
      </c>
    </row>
    <row r="24" spans="1:26" x14ac:dyDescent="0.35">
      <c r="A24" t="s">
        <v>114</v>
      </c>
      <c r="B24" cm="1">
        <f t="array" ref="B24:M24">TRANSPOSE(X15:X26)</f>
        <v>3.64</v>
      </c>
      <c r="C24">
        <v>3.43</v>
      </c>
      <c r="D24">
        <v>3.08</v>
      </c>
      <c r="E24">
        <v>3.64</v>
      </c>
      <c r="F24">
        <v>3</v>
      </c>
      <c r="G24">
        <v>3.5</v>
      </c>
      <c r="H24">
        <v>3.35</v>
      </c>
      <c r="I24">
        <v>2.65</v>
      </c>
      <c r="J24">
        <v>3.88</v>
      </c>
      <c r="K24">
        <v>3.96</v>
      </c>
      <c r="L24">
        <v>4.46</v>
      </c>
      <c r="M24">
        <v>3.13</v>
      </c>
      <c r="O24">
        <v>6.45</v>
      </c>
      <c r="Q24" s="48">
        <v>3.67</v>
      </c>
      <c r="R24" s="48">
        <v>3.78</v>
      </c>
      <c r="S24" s="22">
        <v>3.09</v>
      </c>
      <c r="T24" s="22">
        <v>3.7</v>
      </c>
      <c r="U24" s="22">
        <v>3.63</v>
      </c>
      <c r="V24" s="22">
        <v>4.05</v>
      </c>
      <c r="W24" s="8">
        <v>3.53</v>
      </c>
      <c r="X24" s="22">
        <v>3.96</v>
      </c>
      <c r="Y24" s="63">
        <v>3.52</v>
      </c>
      <c r="Z24" s="63">
        <v>3.11</v>
      </c>
    </row>
    <row r="25" spans="1:26" x14ac:dyDescent="0.35">
      <c r="A25" t="s">
        <v>116</v>
      </c>
      <c r="B25" cm="1">
        <f t="array" ref="B25:M25">TRANSPOSE(X28:X39)</f>
        <v>3.63</v>
      </c>
      <c r="C25">
        <v>4.0599999999999996</v>
      </c>
      <c r="D25">
        <v>3.28</v>
      </c>
      <c r="E25">
        <v>4.22</v>
      </c>
      <c r="F25">
        <v>2.61</v>
      </c>
      <c r="G25">
        <v>3.22</v>
      </c>
      <c r="H25">
        <v>2.83</v>
      </c>
      <c r="I25">
        <v>3.06</v>
      </c>
      <c r="J25">
        <v>3.61</v>
      </c>
      <c r="K25">
        <v>3.83</v>
      </c>
      <c r="L25">
        <v>4.17</v>
      </c>
      <c r="M25">
        <v>3.28</v>
      </c>
      <c r="O25">
        <v>5.51</v>
      </c>
      <c r="Q25" s="48">
        <v>4.08</v>
      </c>
      <c r="R25" s="48">
        <v>4.17</v>
      </c>
      <c r="S25" s="22">
        <v>3.68</v>
      </c>
      <c r="T25" s="22">
        <v>4.5999999999999996</v>
      </c>
      <c r="U25" s="22">
        <v>4.45</v>
      </c>
      <c r="V25" s="22">
        <v>4.3</v>
      </c>
      <c r="W25" s="8">
        <v>3.09</v>
      </c>
      <c r="X25" s="22">
        <v>4.46</v>
      </c>
      <c r="Y25" s="63">
        <v>4.07</v>
      </c>
      <c r="Z25" s="63">
        <v>4.3499999999999996</v>
      </c>
    </row>
    <row r="26" spans="1:26" x14ac:dyDescent="0.35">
      <c r="A26" t="s">
        <v>115</v>
      </c>
      <c r="B26" cm="1">
        <f t="array" ref="B26:M26">TRANSPOSE(Y2:Y13)</f>
        <v>3.27</v>
      </c>
      <c r="C26">
        <v>3.94</v>
      </c>
      <c r="D26">
        <v>2.5</v>
      </c>
      <c r="E26">
        <v>4.38</v>
      </c>
      <c r="F26">
        <v>2</v>
      </c>
      <c r="G26">
        <v>3.25</v>
      </c>
      <c r="H26">
        <v>2.75</v>
      </c>
      <c r="I26">
        <v>2.56</v>
      </c>
      <c r="J26">
        <v>3.38</v>
      </c>
      <c r="K26">
        <v>3.31</v>
      </c>
      <c r="L26">
        <v>3.94</v>
      </c>
      <c r="M26">
        <v>2.94</v>
      </c>
      <c r="O26">
        <v>6</v>
      </c>
      <c r="Q26" s="48">
        <v>3.08</v>
      </c>
      <c r="R26" s="48">
        <v>3.17</v>
      </c>
      <c r="S26" s="22">
        <v>2.52</v>
      </c>
      <c r="T26" s="22">
        <v>3</v>
      </c>
      <c r="U26" s="22">
        <v>3.59</v>
      </c>
      <c r="V26" s="22">
        <v>3.55</v>
      </c>
      <c r="W26" s="49">
        <v>3.76</v>
      </c>
      <c r="X26" s="22">
        <v>3.13</v>
      </c>
      <c r="Y26" s="63">
        <v>3.18</v>
      </c>
      <c r="Z26" s="63">
        <v>3</v>
      </c>
    </row>
    <row r="27" spans="1:26" ht="15" thickBot="1" x14ac:dyDescent="0.4">
      <c r="A27" t="s">
        <v>157</v>
      </c>
      <c r="B27" cm="1">
        <f t="array" ref="B27:M27">TRANSPOSE(Z28:Z39)</f>
        <v>3.38</v>
      </c>
      <c r="C27">
        <v>3.91</v>
      </c>
      <c r="D27">
        <v>2.38</v>
      </c>
      <c r="E27">
        <v>3.68</v>
      </c>
      <c r="F27">
        <v>2.59</v>
      </c>
      <c r="G27">
        <v>3.61</v>
      </c>
      <c r="H27">
        <v>3.17</v>
      </c>
      <c r="I27">
        <v>2.95</v>
      </c>
      <c r="J27">
        <v>3.5</v>
      </c>
      <c r="K27">
        <v>3.55</v>
      </c>
      <c r="L27">
        <v>4.17</v>
      </c>
      <c r="M27">
        <v>3</v>
      </c>
      <c r="O27">
        <v>5.39</v>
      </c>
    </row>
    <row r="28" spans="1:26" x14ac:dyDescent="0.35">
      <c r="A28" t="s">
        <v>158</v>
      </c>
      <c r="B28" cm="1">
        <f t="array" ref="B28:M28">TRANSPOSE(Y15:Y26)</f>
        <v>3.36</v>
      </c>
      <c r="C28">
        <v>3.32</v>
      </c>
      <c r="D28">
        <v>3</v>
      </c>
      <c r="E28">
        <v>3.89</v>
      </c>
      <c r="F28">
        <v>2.33</v>
      </c>
      <c r="G28">
        <v>2.7</v>
      </c>
      <c r="H28">
        <v>3.11</v>
      </c>
      <c r="I28">
        <v>2.63</v>
      </c>
      <c r="J28">
        <v>3.72</v>
      </c>
      <c r="K28">
        <v>3.52</v>
      </c>
      <c r="L28">
        <v>4.07</v>
      </c>
      <c r="M28">
        <v>3.18</v>
      </c>
      <c r="O28">
        <v>4.75</v>
      </c>
      <c r="Q28" s="19">
        <v>3.49</v>
      </c>
      <c r="R28" s="19">
        <v>3.19</v>
      </c>
      <c r="S28" s="19">
        <v>3.41</v>
      </c>
      <c r="T28" s="19">
        <v>3.55</v>
      </c>
      <c r="U28" s="19">
        <v>3.45</v>
      </c>
      <c r="V28" s="5">
        <v>3.92</v>
      </c>
      <c r="W28" s="5">
        <v>3.08</v>
      </c>
      <c r="X28" s="19">
        <v>3.63</v>
      </c>
      <c r="Y28" s="62">
        <v>3.37</v>
      </c>
      <c r="Z28" s="5">
        <v>3.38</v>
      </c>
    </row>
    <row r="29" spans="1:26" x14ac:dyDescent="0.35">
      <c r="A29" t="s">
        <v>159</v>
      </c>
      <c r="B29" cm="1">
        <f t="array" ref="B29:M29">TRANSPOSE(Y28:Y39)</f>
        <v>3.37</v>
      </c>
      <c r="C29">
        <v>3.15</v>
      </c>
      <c r="D29">
        <v>2.76</v>
      </c>
      <c r="E29">
        <v>3.78</v>
      </c>
      <c r="F29">
        <v>2.92</v>
      </c>
      <c r="G29">
        <v>3.66</v>
      </c>
      <c r="H29">
        <v>3.25</v>
      </c>
      <c r="I29">
        <v>3.02</v>
      </c>
      <c r="J29">
        <v>4.0199999999999996</v>
      </c>
      <c r="K29">
        <v>3.73</v>
      </c>
      <c r="L29">
        <v>4.41</v>
      </c>
      <c r="M29">
        <v>3.55</v>
      </c>
      <c r="O29">
        <v>6.04</v>
      </c>
      <c r="Q29" s="22">
        <v>3.81</v>
      </c>
      <c r="R29" s="22">
        <v>3</v>
      </c>
      <c r="S29" s="22">
        <v>4.0999999999999996</v>
      </c>
      <c r="T29" s="22">
        <v>3.3</v>
      </c>
      <c r="U29" s="22">
        <v>3.27</v>
      </c>
      <c r="V29" s="8">
        <v>3.37</v>
      </c>
      <c r="W29" s="8">
        <v>3.69</v>
      </c>
      <c r="X29" s="22">
        <v>4.0599999999999996</v>
      </c>
      <c r="Y29" s="63">
        <v>3.15</v>
      </c>
      <c r="Z29" s="8">
        <v>3.91</v>
      </c>
    </row>
    <row r="30" spans="1:26" x14ac:dyDescent="0.35">
      <c r="A30" t="s">
        <v>160</v>
      </c>
      <c r="B30" cm="1">
        <f t="array" ref="B30:M30">TRANSPOSE(Z2:Z13)</f>
        <v>3</v>
      </c>
      <c r="C30">
        <v>3.5</v>
      </c>
      <c r="D30">
        <v>2.65</v>
      </c>
      <c r="E30">
        <v>3.88</v>
      </c>
      <c r="F30">
        <v>2.75</v>
      </c>
      <c r="G30">
        <v>3.67</v>
      </c>
      <c r="H30">
        <v>3</v>
      </c>
      <c r="I30">
        <v>2.96</v>
      </c>
      <c r="J30">
        <v>3.67</v>
      </c>
      <c r="K30">
        <v>3.88</v>
      </c>
      <c r="L30">
        <v>4.24</v>
      </c>
      <c r="M30">
        <v>3.04</v>
      </c>
      <c r="O30">
        <v>5.72</v>
      </c>
      <c r="Q30" s="22">
        <v>2.72</v>
      </c>
      <c r="R30" s="22">
        <v>2.8</v>
      </c>
      <c r="S30" s="22">
        <v>3</v>
      </c>
      <c r="T30" s="22">
        <v>2.69</v>
      </c>
      <c r="U30" s="22">
        <v>2.5</v>
      </c>
      <c r="V30" s="8">
        <v>3.07</v>
      </c>
      <c r="W30" s="8">
        <v>2.89</v>
      </c>
      <c r="X30" s="22">
        <v>3.28</v>
      </c>
      <c r="Y30" s="63">
        <v>2.76</v>
      </c>
      <c r="Z30" s="8">
        <v>2.38</v>
      </c>
    </row>
    <row r="31" spans="1:26" x14ac:dyDescent="0.35">
      <c r="A31" t="s">
        <v>161</v>
      </c>
      <c r="B31" cm="1">
        <f t="array" ref="B31:M31">TRANSPOSE(Z15:Z26)</f>
        <v>3</v>
      </c>
      <c r="C31">
        <v>3.27</v>
      </c>
      <c r="D31">
        <v>2.92</v>
      </c>
      <c r="E31">
        <v>3.68</v>
      </c>
      <c r="F31">
        <v>2.54</v>
      </c>
      <c r="G31">
        <v>3.61</v>
      </c>
      <c r="H31">
        <v>3.17</v>
      </c>
      <c r="I31">
        <v>3</v>
      </c>
      <c r="J31">
        <v>3.03</v>
      </c>
      <c r="K31">
        <v>3.11</v>
      </c>
      <c r="L31">
        <v>4.3499999999999996</v>
      </c>
      <c r="M31">
        <v>3</v>
      </c>
      <c r="O31">
        <v>5.72</v>
      </c>
      <c r="Q31" s="22">
        <v>3.97</v>
      </c>
      <c r="R31" s="22">
        <v>3.81</v>
      </c>
      <c r="S31" s="22">
        <v>4.08</v>
      </c>
      <c r="T31" s="22">
        <v>3.75</v>
      </c>
      <c r="U31" s="22">
        <v>3.65</v>
      </c>
      <c r="V31" s="8">
        <v>3.97</v>
      </c>
      <c r="W31" s="8">
        <v>3.76</v>
      </c>
      <c r="X31" s="22">
        <v>4.22</v>
      </c>
      <c r="Y31" s="63">
        <v>3.78</v>
      </c>
      <c r="Z31" s="8">
        <v>3.68</v>
      </c>
    </row>
    <row r="32" spans="1:26" x14ac:dyDescent="0.35">
      <c r="Q32" s="22">
        <v>2.74</v>
      </c>
      <c r="R32" s="22">
        <v>2.81</v>
      </c>
      <c r="S32" s="22">
        <v>3.21</v>
      </c>
      <c r="T32" s="22">
        <v>2.75</v>
      </c>
      <c r="U32" s="22">
        <v>2.67</v>
      </c>
      <c r="V32" s="8">
        <v>2.5299999999999998</v>
      </c>
      <c r="W32" s="8">
        <v>2.97</v>
      </c>
      <c r="X32" s="22">
        <v>2.61</v>
      </c>
      <c r="Y32" s="63">
        <v>2.92</v>
      </c>
      <c r="Z32" s="8">
        <v>2.59</v>
      </c>
    </row>
    <row r="33" spans="17:26" x14ac:dyDescent="0.35">
      <c r="Q33" s="22">
        <v>3.81</v>
      </c>
      <c r="R33" s="22">
        <v>4.18</v>
      </c>
      <c r="S33" s="22">
        <v>3.85</v>
      </c>
      <c r="T33" s="22">
        <v>3.49</v>
      </c>
      <c r="U33" s="22">
        <v>3.61</v>
      </c>
      <c r="V33" s="8">
        <v>3.34</v>
      </c>
      <c r="W33" s="8">
        <v>3.89</v>
      </c>
      <c r="X33" s="22">
        <v>3.22</v>
      </c>
      <c r="Y33" s="63">
        <v>3.66</v>
      </c>
      <c r="Z33" s="8">
        <v>3.61</v>
      </c>
    </row>
    <row r="34" spans="17:26" x14ac:dyDescent="0.35">
      <c r="Q34" s="22">
        <v>2.89</v>
      </c>
      <c r="R34" s="22">
        <v>3.13</v>
      </c>
      <c r="S34" s="22">
        <v>3.44</v>
      </c>
      <c r="T34" s="22">
        <v>3.15</v>
      </c>
      <c r="U34" s="22">
        <v>3.07</v>
      </c>
      <c r="V34" s="8">
        <v>3.27</v>
      </c>
      <c r="W34" s="8">
        <v>2.89</v>
      </c>
      <c r="X34" s="22">
        <v>2.83</v>
      </c>
      <c r="Y34" s="63">
        <v>3.25</v>
      </c>
      <c r="Z34" s="8">
        <v>3.17</v>
      </c>
    </row>
    <row r="35" spans="17:26" x14ac:dyDescent="0.35">
      <c r="Q35" s="22">
        <v>3.11</v>
      </c>
      <c r="R35" s="22">
        <v>2.75</v>
      </c>
      <c r="S35" s="22">
        <v>2.67</v>
      </c>
      <c r="T35" s="22">
        <v>2.73</v>
      </c>
      <c r="U35" s="22">
        <v>3.17</v>
      </c>
      <c r="V35" s="8">
        <v>2.4900000000000002</v>
      </c>
      <c r="W35" s="8">
        <v>3.08</v>
      </c>
      <c r="X35" s="22">
        <v>3.06</v>
      </c>
      <c r="Y35" s="63">
        <v>3.02</v>
      </c>
      <c r="Z35" s="8">
        <v>2.95</v>
      </c>
    </row>
    <row r="36" spans="17:26" x14ac:dyDescent="0.35">
      <c r="Q36" s="22">
        <v>3.78</v>
      </c>
      <c r="R36" s="22">
        <v>3.73</v>
      </c>
      <c r="S36" s="22">
        <v>3.5</v>
      </c>
      <c r="T36" s="22">
        <v>4.09</v>
      </c>
      <c r="U36" s="22">
        <v>3.74</v>
      </c>
      <c r="V36" s="8">
        <v>3.86</v>
      </c>
      <c r="W36" s="8">
        <v>3.43</v>
      </c>
      <c r="X36" s="22">
        <v>3.61</v>
      </c>
      <c r="Y36" s="63">
        <v>4.0199999999999996</v>
      </c>
      <c r="Z36" s="8">
        <v>3.5</v>
      </c>
    </row>
    <row r="37" spans="17:26" x14ac:dyDescent="0.35">
      <c r="Q37" s="22">
        <v>3.55</v>
      </c>
      <c r="R37" s="22">
        <v>3.8</v>
      </c>
      <c r="S37" s="22">
        <v>3.56</v>
      </c>
      <c r="T37" s="22">
        <v>3.96</v>
      </c>
      <c r="U37" s="22">
        <v>3.53</v>
      </c>
      <c r="V37" s="8">
        <v>3.9</v>
      </c>
      <c r="W37" s="8">
        <v>3.58</v>
      </c>
      <c r="X37" s="22">
        <v>3.83</v>
      </c>
      <c r="Y37" s="63">
        <v>3.73</v>
      </c>
      <c r="Z37" s="8">
        <v>3.55</v>
      </c>
    </row>
    <row r="38" spans="17:26" x14ac:dyDescent="0.35">
      <c r="Q38" s="22">
        <v>4.28</v>
      </c>
      <c r="R38" s="22">
        <v>4.2699999999999996</v>
      </c>
      <c r="S38" s="22">
        <v>4.46</v>
      </c>
      <c r="T38" s="22">
        <v>4.68</v>
      </c>
      <c r="U38" s="22">
        <v>4.42</v>
      </c>
      <c r="V38" s="8">
        <v>4.54</v>
      </c>
      <c r="W38" s="8">
        <v>3.92</v>
      </c>
      <c r="X38" s="22">
        <v>4.17</v>
      </c>
      <c r="Y38" s="63">
        <v>4.41</v>
      </c>
      <c r="Z38" s="8">
        <v>4.17</v>
      </c>
    </row>
    <row r="39" spans="17:26" x14ac:dyDescent="0.35">
      <c r="Q39" s="22">
        <v>2.83</v>
      </c>
      <c r="R39" s="22">
        <v>2.8</v>
      </c>
      <c r="S39" s="22">
        <v>2.9</v>
      </c>
      <c r="T39" s="22">
        <v>3.3</v>
      </c>
      <c r="U39" s="22">
        <v>3.07</v>
      </c>
      <c r="V39" s="8">
        <v>3.47</v>
      </c>
      <c r="W39" s="8">
        <v>3.03</v>
      </c>
      <c r="X39" s="22">
        <v>3.28</v>
      </c>
      <c r="Y39" s="63">
        <v>3.55</v>
      </c>
      <c r="Z39" s="8">
        <v>3</v>
      </c>
    </row>
    <row r="40" spans="17:26" x14ac:dyDescent="0.35">
      <c r="T40" s="22"/>
      <c r="U40" s="2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0DD6-708A-492A-BCF2-DEE1B5ADA3CD}">
  <dimension ref="A1:AI31"/>
  <sheetViews>
    <sheetView zoomScale="51" zoomScaleNormal="51" workbookViewId="0">
      <selection activeCell="D1" sqref="D1:Q31"/>
    </sheetView>
  </sheetViews>
  <sheetFormatPr defaultRowHeight="14.5" x14ac:dyDescent="0.35"/>
  <sheetData>
    <row r="1" spans="1:35" x14ac:dyDescent="0.35">
      <c r="A1" t="s">
        <v>162</v>
      </c>
      <c r="B1" t="s">
        <v>163</v>
      </c>
      <c r="D1" t="s">
        <v>118</v>
      </c>
      <c r="E1" t="s">
        <v>164</v>
      </c>
      <c r="F1" t="s">
        <v>119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127</v>
      </c>
      <c r="P1" t="s">
        <v>173</v>
      </c>
      <c r="Q1" t="s">
        <v>174</v>
      </c>
    </row>
    <row r="2" spans="1:35" x14ac:dyDescent="0.35">
      <c r="A2" t="s">
        <v>119</v>
      </c>
      <c r="B2">
        <v>0.15</v>
      </c>
      <c r="D2" t="s">
        <v>10</v>
      </c>
      <c r="E2">
        <v>4.76</v>
      </c>
      <c r="F2">
        <v>3.92</v>
      </c>
      <c r="G2">
        <v>3.37</v>
      </c>
      <c r="H2">
        <v>3.07</v>
      </c>
      <c r="I2">
        <v>3.97</v>
      </c>
      <c r="J2">
        <v>2.5299999999999998</v>
      </c>
      <c r="K2">
        <v>3.34</v>
      </c>
      <c r="L2">
        <v>3.27</v>
      </c>
      <c r="M2">
        <v>2.4900000000000002</v>
      </c>
      <c r="N2">
        <v>3.86</v>
      </c>
      <c r="O2">
        <v>3.9</v>
      </c>
      <c r="P2">
        <v>4.54</v>
      </c>
      <c r="Q2">
        <v>3.47</v>
      </c>
      <c r="AG2" t="s">
        <v>127</v>
      </c>
      <c r="AH2" t="s">
        <v>128</v>
      </c>
      <c r="AI2" t="s">
        <v>129</v>
      </c>
    </row>
    <row r="3" spans="1:35" x14ac:dyDescent="0.35">
      <c r="A3" t="s">
        <v>165</v>
      </c>
      <c r="B3">
        <v>0.38</v>
      </c>
      <c r="D3" t="s">
        <v>146</v>
      </c>
      <c r="E3">
        <v>6.01</v>
      </c>
      <c r="F3">
        <v>3.14</v>
      </c>
      <c r="G3">
        <v>3.37</v>
      </c>
      <c r="H3">
        <v>2.3199999999999998</v>
      </c>
      <c r="I3">
        <v>4</v>
      </c>
      <c r="J3">
        <v>2.4300000000000002</v>
      </c>
      <c r="K3">
        <v>3.51</v>
      </c>
      <c r="L3">
        <v>2.74</v>
      </c>
      <c r="M3">
        <v>2.34</v>
      </c>
      <c r="N3">
        <v>3.49</v>
      </c>
      <c r="O3">
        <v>3.43</v>
      </c>
      <c r="P3">
        <v>4.2300000000000004</v>
      </c>
      <c r="Q3">
        <v>3.8</v>
      </c>
    </row>
    <row r="4" spans="1:35" x14ac:dyDescent="0.35">
      <c r="A4" t="s">
        <v>166</v>
      </c>
      <c r="B4">
        <v>-0.18</v>
      </c>
      <c r="D4" t="s">
        <v>135</v>
      </c>
      <c r="E4">
        <v>6.92</v>
      </c>
      <c r="F4">
        <v>2.44</v>
      </c>
      <c r="G4">
        <v>3.08</v>
      </c>
      <c r="H4">
        <v>2.1800000000000002</v>
      </c>
      <c r="I4">
        <v>3.11</v>
      </c>
      <c r="J4">
        <v>2</v>
      </c>
      <c r="K4">
        <v>3.66</v>
      </c>
      <c r="L4">
        <v>2.2000000000000002</v>
      </c>
      <c r="M4">
        <v>2.31</v>
      </c>
      <c r="N4">
        <v>3.29</v>
      </c>
      <c r="O4">
        <v>3.67</v>
      </c>
      <c r="P4">
        <v>4.08</v>
      </c>
      <c r="Q4">
        <v>3.08</v>
      </c>
    </row>
    <row r="5" spans="1:35" x14ac:dyDescent="0.35">
      <c r="A5" t="s">
        <v>167</v>
      </c>
      <c r="B5">
        <v>0.28999999999999998</v>
      </c>
      <c r="D5" t="s">
        <v>137</v>
      </c>
      <c r="E5">
        <v>6.23</v>
      </c>
      <c r="F5">
        <v>3.63</v>
      </c>
      <c r="G5">
        <v>3.77</v>
      </c>
      <c r="H5">
        <v>3.13</v>
      </c>
      <c r="I5">
        <v>4.0999999999999996</v>
      </c>
      <c r="J5">
        <v>2.4300000000000002</v>
      </c>
      <c r="K5">
        <v>3.93</v>
      </c>
      <c r="L5">
        <v>3.47</v>
      </c>
      <c r="M5">
        <v>3.03</v>
      </c>
      <c r="N5">
        <v>3.73</v>
      </c>
      <c r="O5">
        <v>3.7</v>
      </c>
      <c r="P5">
        <v>4.5999999999999996</v>
      </c>
      <c r="Q5">
        <v>3</v>
      </c>
    </row>
    <row r="6" spans="1:35" x14ac:dyDescent="0.35">
      <c r="A6" t="s">
        <v>168</v>
      </c>
      <c r="B6">
        <v>-4.0000000000000001E-3</v>
      </c>
      <c r="D6" t="s">
        <v>130</v>
      </c>
      <c r="E6">
        <v>5.41</v>
      </c>
      <c r="F6">
        <v>2.67</v>
      </c>
      <c r="G6">
        <v>2.67</v>
      </c>
      <c r="H6">
        <v>2</v>
      </c>
      <c r="I6">
        <v>3</v>
      </c>
      <c r="J6">
        <v>2.33</v>
      </c>
      <c r="K6">
        <v>2.67</v>
      </c>
      <c r="L6">
        <v>2</v>
      </c>
      <c r="M6">
        <v>2.33</v>
      </c>
      <c r="N6">
        <v>2.67</v>
      </c>
      <c r="O6">
        <v>4</v>
      </c>
      <c r="P6">
        <v>3.33</v>
      </c>
      <c r="Q6">
        <v>2.67</v>
      </c>
    </row>
    <row r="7" spans="1:35" x14ac:dyDescent="0.35">
      <c r="A7" t="s">
        <v>169</v>
      </c>
      <c r="B7">
        <v>0.44</v>
      </c>
      <c r="D7" t="s">
        <v>30</v>
      </c>
      <c r="E7">
        <v>4.76</v>
      </c>
      <c r="F7">
        <v>3.08</v>
      </c>
      <c r="G7">
        <v>3.69</v>
      </c>
      <c r="H7">
        <v>2.89</v>
      </c>
      <c r="I7">
        <v>3.76</v>
      </c>
      <c r="J7">
        <v>2.97</v>
      </c>
      <c r="K7">
        <v>3.89</v>
      </c>
      <c r="L7">
        <v>2.89</v>
      </c>
      <c r="M7">
        <v>3.08</v>
      </c>
      <c r="N7">
        <v>3.43</v>
      </c>
      <c r="O7">
        <v>3.58</v>
      </c>
      <c r="P7">
        <v>3.92</v>
      </c>
      <c r="Q7">
        <v>3.03</v>
      </c>
    </row>
    <row r="8" spans="1:35" x14ac:dyDescent="0.35">
      <c r="A8" t="s">
        <v>170</v>
      </c>
      <c r="B8">
        <v>7.4999999999999997E-2</v>
      </c>
      <c r="D8" t="s">
        <v>158</v>
      </c>
      <c r="E8">
        <v>4.75</v>
      </c>
      <c r="F8">
        <v>3.36</v>
      </c>
      <c r="G8">
        <v>3.32</v>
      </c>
      <c r="H8">
        <v>3</v>
      </c>
      <c r="I8">
        <v>3.89</v>
      </c>
      <c r="J8">
        <v>2.33</v>
      </c>
      <c r="K8">
        <v>2.7</v>
      </c>
      <c r="L8">
        <v>3.11</v>
      </c>
      <c r="M8">
        <v>2.63</v>
      </c>
      <c r="N8">
        <v>3.72</v>
      </c>
      <c r="O8">
        <v>3.52</v>
      </c>
      <c r="P8">
        <v>4.07</v>
      </c>
      <c r="Q8">
        <v>3.18</v>
      </c>
    </row>
    <row r="9" spans="1:35" x14ac:dyDescent="0.35">
      <c r="A9" t="s">
        <v>171</v>
      </c>
      <c r="B9">
        <v>-0.19</v>
      </c>
      <c r="D9" t="s">
        <v>159</v>
      </c>
      <c r="E9">
        <v>6.04</v>
      </c>
      <c r="F9">
        <v>3.37</v>
      </c>
      <c r="G9">
        <v>3.15</v>
      </c>
      <c r="H9">
        <v>2.76</v>
      </c>
      <c r="I9">
        <v>3.78</v>
      </c>
      <c r="J9">
        <v>2.92</v>
      </c>
      <c r="K9">
        <v>3.66</v>
      </c>
      <c r="L9">
        <v>3.25</v>
      </c>
      <c r="M9">
        <v>3.02</v>
      </c>
      <c r="N9">
        <v>4.0199999999999996</v>
      </c>
      <c r="O9">
        <v>3.73</v>
      </c>
      <c r="P9">
        <v>4.41</v>
      </c>
      <c r="Q9">
        <v>3.5</v>
      </c>
    </row>
    <row r="10" spans="1:35" x14ac:dyDescent="0.35">
      <c r="A10" t="s">
        <v>172</v>
      </c>
      <c r="B10">
        <v>-0.04</v>
      </c>
      <c r="D10" t="s">
        <v>116</v>
      </c>
      <c r="E10">
        <v>5.51</v>
      </c>
      <c r="F10">
        <v>3.63</v>
      </c>
      <c r="G10">
        <v>4.0599999999999996</v>
      </c>
      <c r="H10">
        <v>3.28</v>
      </c>
      <c r="I10">
        <v>4.22</v>
      </c>
      <c r="J10">
        <v>2.61</v>
      </c>
      <c r="K10">
        <v>3.22</v>
      </c>
      <c r="L10">
        <v>2.83</v>
      </c>
      <c r="M10">
        <v>3.06</v>
      </c>
      <c r="N10">
        <v>3.61</v>
      </c>
      <c r="O10">
        <v>3.83</v>
      </c>
      <c r="P10">
        <v>4.17</v>
      </c>
      <c r="Q10">
        <v>3.28</v>
      </c>
    </row>
    <row r="11" spans="1:35" x14ac:dyDescent="0.35">
      <c r="A11" t="s">
        <v>127</v>
      </c>
      <c r="B11">
        <v>-0.19</v>
      </c>
      <c r="D11" t="s">
        <v>82</v>
      </c>
      <c r="E11">
        <v>6.28</v>
      </c>
      <c r="F11">
        <v>3.27</v>
      </c>
      <c r="G11">
        <v>3.61</v>
      </c>
      <c r="H11">
        <v>2.27</v>
      </c>
      <c r="I11">
        <v>3.67</v>
      </c>
      <c r="J11">
        <v>2.4900000000000002</v>
      </c>
      <c r="K11">
        <v>3.43</v>
      </c>
      <c r="L11">
        <v>2.87</v>
      </c>
      <c r="M11">
        <v>2.96</v>
      </c>
      <c r="N11">
        <v>2.93</v>
      </c>
      <c r="O11">
        <v>3.09</v>
      </c>
      <c r="P11">
        <v>3.68</v>
      </c>
      <c r="Q11">
        <v>2.52</v>
      </c>
    </row>
    <row r="12" spans="1:35" x14ac:dyDescent="0.35">
      <c r="A12" t="s">
        <v>173</v>
      </c>
      <c r="B12">
        <v>0.42</v>
      </c>
      <c r="D12" t="s">
        <v>55</v>
      </c>
      <c r="E12">
        <v>5.28</v>
      </c>
      <c r="F12">
        <v>3.2</v>
      </c>
      <c r="G12">
        <v>3</v>
      </c>
      <c r="H12">
        <v>2.4500000000000002</v>
      </c>
      <c r="I12">
        <v>3.9</v>
      </c>
      <c r="J12">
        <v>3.06</v>
      </c>
      <c r="K12">
        <v>3.37</v>
      </c>
      <c r="L12">
        <v>2.5499999999999998</v>
      </c>
      <c r="M12">
        <v>3.35</v>
      </c>
      <c r="N12">
        <v>4.2</v>
      </c>
      <c r="O12">
        <v>4.05</v>
      </c>
      <c r="P12">
        <v>4.3</v>
      </c>
      <c r="Q12">
        <v>3.55</v>
      </c>
    </row>
    <row r="13" spans="1:35" x14ac:dyDescent="0.35">
      <c r="A13" t="s">
        <v>174</v>
      </c>
      <c r="B13">
        <v>-0.4</v>
      </c>
      <c r="D13" t="s">
        <v>132</v>
      </c>
      <c r="E13">
        <v>5.43</v>
      </c>
      <c r="F13">
        <v>3.31</v>
      </c>
      <c r="G13">
        <v>3.58</v>
      </c>
      <c r="H13">
        <v>3.21</v>
      </c>
      <c r="I13">
        <v>3.86</v>
      </c>
      <c r="J13">
        <v>2.5299999999999998</v>
      </c>
      <c r="K13">
        <v>3.5</v>
      </c>
      <c r="L13">
        <v>3.12</v>
      </c>
      <c r="M13">
        <v>2.92</v>
      </c>
      <c r="N13">
        <v>3.66</v>
      </c>
      <c r="O13">
        <v>3.56</v>
      </c>
      <c r="P13">
        <v>4.29</v>
      </c>
      <c r="Q13">
        <v>3.48</v>
      </c>
    </row>
    <row r="14" spans="1:35" x14ac:dyDescent="0.35">
      <c r="D14" t="s">
        <v>139</v>
      </c>
      <c r="E14">
        <v>6.84</v>
      </c>
      <c r="F14">
        <v>3.41</v>
      </c>
      <c r="G14">
        <v>4.0999999999999996</v>
      </c>
      <c r="H14">
        <v>3</v>
      </c>
      <c r="I14">
        <v>4.08</v>
      </c>
      <c r="J14">
        <v>3.21</v>
      </c>
      <c r="K14">
        <v>3.85</v>
      </c>
      <c r="L14">
        <v>3.44</v>
      </c>
      <c r="M14">
        <v>2.67</v>
      </c>
      <c r="N14">
        <v>3.5</v>
      </c>
      <c r="O14">
        <v>3.56</v>
      </c>
      <c r="P14">
        <v>4.46</v>
      </c>
      <c r="Q14">
        <v>2.9</v>
      </c>
    </row>
    <row r="15" spans="1:35" x14ac:dyDescent="0.35">
      <c r="D15" t="s">
        <v>160</v>
      </c>
      <c r="E15">
        <v>5.72</v>
      </c>
      <c r="F15">
        <v>3</v>
      </c>
      <c r="G15">
        <v>3.5</v>
      </c>
      <c r="H15">
        <v>2.65</v>
      </c>
      <c r="I15">
        <v>3.88</v>
      </c>
      <c r="J15">
        <v>2.75</v>
      </c>
      <c r="K15">
        <v>3.67</v>
      </c>
      <c r="L15">
        <v>3</v>
      </c>
      <c r="M15">
        <v>2.96</v>
      </c>
      <c r="N15">
        <v>3.67</v>
      </c>
      <c r="O15">
        <v>3.88</v>
      </c>
      <c r="P15">
        <v>4.24</v>
      </c>
      <c r="Q15">
        <v>3.04</v>
      </c>
    </row>
    <row r="16" spans="1:35" x14ac:dyDescent="0.35">
      <c r="D16" t="s">
        <v>161</v>
      </c>
      <c r="E16">
        <v>5.72</v>
      </c>
      <c r="F16">
        <v>3</v>
      </c>
      <c r="G16">
        <v>3.27</v>
      </c>
      <c r="H16">
        <v>2.92</v>
      </c>
      <c r="I16">
        <v>3.68</v>
      </c>
      <c r="J16">
        <v>2.54</v>
      </c>
      <c r="K16">
        <v>3.61</v>
      </c>
      <c r="L16">
        <v>3.17</v>
      </c>
      <c r="M16">
        <v>3</v>
      </c>
      <c r="N16">
        <v>3.03</v>
      </c>
      <c r="O16">
        <v>3.11</v>
      </c>
      <c r="P16">
        <v>4.3499999999999996</v>
      </c>
      <c r="Q16">
        <v>3</v>
      </c>
    </row>
    <row r="17" spans="4:17" x14ac:dyDescent="0.35">
      <c r="D17" t="s">
        <v>142</v>
      </c>
      <c r="E17">
        <v>3.36</v>
      </c>
      <c r="F17">
        <v>2.42</v>
      </c>
      <c r="G17">
        <v>2.67</v>
      </c>
      <c r="H17">
        <v>2.93</v>
      </c>
      <c r="I17">
        <v>3</v>
      </c>
      <c r="J17">
        <v>3.05</v>
      </c>
      <c r="K17">
        <v>3.26</v>
      </c>
      <c r="L17">
        <v>3.3</v>
      </c>
      <c r="M17">
        <v>3.35</v>
      </c>
      <c r="N17">
        <v>3.38</v>
      </c>
      <c r="O17">
        <v>3.53</v>
      </c>
      <c r="P17">
        <v>3.09</v>
      </c>
      <c r="Q17">
        <v>3.76</v>
      </c>
    </row>
    <row r="18" spans="4:17" x14ac:dyDescent="0.35">
      <c r="D18" t="s">
        <v>85</v>
      </c>
      <c r="E18">
        <v>5.09</v>
      </c>
      <c r="F18">
        <v>3.36</v>
      </c>
      <c r="G18">
        <v>3.1</v>
      </c>
      <c r="H18">
        <v>2.8</v>
      </c>
      <c r="I18">
        <v>3.77</v>
      </c>
      <c r="J18">
        <v>2.52</v>
      </c>
      <c r="K18">
        <v>3.25</v>
      </c>
      <c r="L18">
        <v>2.89</v>
      </c>
      <c r="M18">
        <v>2.48</v>
      </c>
      <c r="N18">
        <v>3.92</v>
      </c>
      <c r="O18">
        <v>3.78</v>
      </c>
      <c r="P18">
        <v>4.34</v>
      </c>
      <c r="Q18">
        <v>3.45</v>
      </c>
    </row>
    <row r="19" spans="4:17" x14ac:dyDescent="0.35">
      <c r="D19" t="s">
        <v>115</v>
      </c>
      <c r="E19">
        <v>6</v>
      </c>
      <c r="F19">
        <v>3.27</v>
      </c>
      <c r="G19">
        <v>3.94</v>
      </c>
      <c r="H19">
        <v>2.5</v>
      </c>
      <c r="I19">
        <v>4.38</v>
      </c>
      <c r="J19">
        <v>2</v>
      </c>
      <c r="K19">
        <v>3.25</v>
      </c>
      <c r="L19">
        <v>2.75</v>
      </c>
      <c r="M19">
        <v>2.56</v>
      </c>
      <c r="N19">
        <v>3.38</v>
      </c>
      <c r="O19">
        <v>3.31</v>
      </c>
      <c r="P19">
        <v>3.94</v>
      </c>
      <c r="Q19">
        <v>3.94</v>
      </c>
    </row>
    <row r="20" spans="4:17" x14ac:dyDescent="0.35">
      <c r="D20" t="s">
        <v>138</v>
      </c>
      <c r="E20">
        <v>5.75</v>
      </c>
      <c r="F20">
        <v>3.74</v>
      </c>
      <c r="G20">
        <v>3.53</v>
      </c>
      <c r="H20">
        <v>3.2</v>
      </c>
      <c r="I20">
        <v>4</v>
      </c>
      <c r="J20">
        <v>2.76</v>
      </c>
      <c r="K20">
        <v>3.65</v>
      </c>
      <c r="L20">
        <v>3.75</v>
      </c>
      <c r="M20">
        <v>2.78</v>
      </c>
      <c r="N20">
        <v>3.65</v>
      </c>
      <c r="O20">
        <v>3.63</v>
      </c>
      <c r="P20">
        <v>4.45</v>
      </c>
      <c r="Q20">
        <v>3.59</v>
      </c>
    </row>
    <row r="21" spans="4:17" x14ac:dyDescent="0.35">
      <c r="D21" t="s">
        <v>84</v>
      </c>
      <c r="E21">
        <v>5.79</v>
      </c>
      <c r="F21">
        <v>3.19</v>
      </c>
      <c r="G21">
        <v>3</v>
      </c>
      <c r="H21">
        <v>2.8</v>
      </c>
      <c r="I21">
        <v>3.81</v>
      </c>
      <c r="J21">
        <v>2.81</v>
      </c>
      <c r="K21">
        <v>4.18</v>
      </c>
      <c r="L21">
        <v>3.13</v>
      </c>
      <c r="M21">
        <v>3.75</v>
      </c>
      <c r="N21">
        <v>3.73</v>
      </c>
      <c r="O21">
        <v>3.8</v>
      </c>
      <c r="P21">
        <v>4.2699999999999996</v>
      </c>
      <c r="Q21">
        <v>2.8</v>
      </c>
    </row>
    <row r="22" spans="4:17" x14ac:dyDescent="0.35">
      <c r="D22" t="s">
        <v>140</v>
      </c>
      <c r="E22">
        <v>7</v>
      </c>
      <c r="F22">
        <v>3.55</v>
      </c>
      <c r="G22">
        <v>3.3</v>
      </c>
      <c r="H22">
        <v>2.69</v>
      </c>
      <c r="I22">
        <v>3.75</v>
      </c>
      <c r="J22">
        <v>2.75</v>
      </c>
      <c r="K22">
        <v>3.49</v>
      </c>
      <c r="L22">
        <v>3.15</v>
      </c>
      <c r="M22">
        <v>2.73</v>
      </c>
      <c r="N22">
        <v>4.09</v>
      </c>
      <c r="O22">
        <v>3.96</v>
      </c>
      <c r="P22">
        <v>4.68</v>
      </c>
      <c r="Q22">
        <v>3.3</v>
      </c>
    </row>
    <row r="23" spans="4:17" x14ac:dyDescent="0.35">
      <c r="D23" t="s">
        <v>136</v>
      </c>
      <c r="E23">
        <v>6.17</v>
      </c>
      <c r="F23">
        <v>3.08</v>
      </c>
      <c r="G23">
        <v>3.7</v>
      </c>
      <c r="H23">
        <v>3.17</v>
      </c>
      <c r="I23">
        <v>3.83</v>
      </c>
      <c r="J23">
        <v>2.91</v>
      </c>
      <c r="K23">
        <v>3.57</v>
      </c>
      <c r="L23">
        <v>3.35</v>
      </c>
      <c r="M23">
        <v>3.43</v>
      </c>
      <c r="N23">
        <v>3.78</v>
      </c>
      <c r="O23">
        <v>3.78</v>
      </c>
      <c r="P23">
        <v>4.17</v>
      </c>
      <c r="Q23">
        <v>3.17</v>
      </c>
    </row>
    <row r="24" spans="4:17" x14ac:dyDescent="0.35">
      <c r="D24" t="s">
        <v>141</v>
      </c>
      <c r="E24">
        <v>5.73</v>
      </c>
      <c r="F24">
        <v>3.45</v>
      </c>
      <c r="G24">
        <v>3.27</v>
      </c>
      <c r="H24">
        <v>2.5</v>
      </c>
      <c r="I24">
        <v>3.65</v>
      </c>
      <c r="J24">
        <v>2.67</v>
      </c>
      <c r="K24">
        <v>3.61</v>
      </c>
      <c r="L24">
        <v>3.07</v>
      </c>
      <c r="M24">
        <v>3.17</v>
      </c>
      <c r="N24">
        <v>3.74</v>
      </c>
      <c r="O24">
        <v>3.53</v>
      </c>
      <c r="P24">
        <v>4.42</v>
      </c>
      <c r="Q24">
        <v>3.07</v>
      </c>
    </row>
    <row r="25" spans="4:17" x14ac:dyDescent="0.35">
      <c r="D25" t="s">
        <v>133</v>
      </c>
      <c r="E25">
        <v>5.12</v>
      </c>
      <c r="F25">
        <v>4.26</v>
      </c>
      <c r="G25">
        <v>3.74</v>
      </c>
      <c r="H25">
        <v>3.2</v>
      </c>
      <c r="I25">
        <v>4.1500000000000004</v>
      </c>
      <c r="J25">
        <v>2.63</v>
      </c>
      <c r="K25">
        <v>3.45</v>
      </c>
      <c r="L25">
        <v>2.95</v>
      </c>
      <c r="M25">
        <v>2.38</v>
      </c>
      <c r="N25">
        <v>3.9</v>
      </c>
      <c r="O25">
        <v>3.88</v>
      </c>
      <c r="P25">
        <v>4.5199999999999996</v>
      </c>
      <c r="Q25">
        <v>3.53</v>
      </c>
    </row>
    <row r="26" spans="4:17" x14ac:dyDescent="0.35">
      <c r="D26" t="s">
        <v>117</v>
      </c>
      <c r="E26">
        <v>4.88</v>
      </c>
      <c r="F26">
        <v>2.91</v>
      </c>
      <c r="G26">
        <v>2.2000000000000002</v>
      </c>
      <c r="H26">
        <v>3.91</v>
      </c>
      <c r="I26">
        <v>1.91</v>
      </c>
      <c r="J26">
        <v>2.5499999999999998</v>
      </c>
      <c r="K26">
        <v>2.1800000000000002</v>
      </c>
      <c r="L26">
        <v>2.64</v>
      </c>
      <c r="M26">
        <v>4.2699999999999996</v>
      </c>
      <c r="N26">
        <v>4.09</v>
      </c>
      <c r="O26">
        <v>4.3600000000000003</v>
      </c>
      <c r="P26">
        <v>4.09</v>
      </c>
      <c r="Q26">
        <v>4.2699999999999996</v>
      </c>
    </row>
    <row r="27" spans="4:17" x14ac:dyDescent="0.35">
      <c r="D27" t="s">
        <v>131</v>
      </c>
      <c r="E27">
        <v>4.8499999999999996</v>
      </c>
      <c r="F27">
        <v>3.33</v>
      </c>
      <c r="G27">
        <v>3.2</v>
      </c>
      <c r="H27">
        <v>2</v>
      </c>
      <c r="I27">
        <v>3.56</v>
      </c>
      <c r="J27">
        <v>2</v>
      </c>
      <c r="K27">
        <v>3.13</v>
      </c>
      <c r="L27">
        <v>2.25</v>
      </c>
      <c r="M27">
        <v>2.75</v>
      </c>
      <c r="N27">
        <v>4</v>
      </c>
      <c r="O27">
        <v>3.63</v>
      </c>
      <c r="P27">
        <v>4.5</v>
      </c>
      <c r="Q27">
        <v>3.33</v>
      </c>
    </row>
    <row r="28" spans="4:17" x14ac:dyDescent="0.35">
      <c r="D28" t="s">
        <v>83</v>
      </c>
      <c r="E28">
        <v>6.79</v>
      </c>
      <c r="F28">
        <v>3.49</v>
      </c>
      <c r="G28">
        <v>3.81</v>
      </c>
      <c r="H28">
        <v>2.72</v>
      </c>
      <c r="I28">
        <v>3.97</v>
      </c>
      <c r="J28">
        <v>2.74</v>
      </c>
      <c r="K28">
        <v>3.81</v>
      </c>
      <c r="L28">
        <v>2.89</v>
      </c>
      <c r="M28">
        <v>3.11</v>
      </c>
      <c r="N28">
        <v>3.78</v>
      </c>
      <c r="O28">
        <v>3.55</v>
      </c>
      <c r="P28">
        <v>4.28</v>
      </c>
      <c r="Q28">
        <v>2.83</v>
      </c>
    </row>
    <row r="29" spans="4:17" x14ac:dyDescent="0.35">
      <c r="D29" t="s">
        <v>157</v>
      </c>
      <c r="E29">
        <v>5.39</v>
      </c>
      <c r="F29">
        <v>3.38</v>
      </c>
      <c r="G29">
        <v>3.91</v>
      </c>
      <c r="H29">
        <v>2.38</v>
      </c>
      <c r="I29">
        <v>3.68</v>
      </c>
      <c r="J29">
        <v>2.59</v>
      </c>
      <c r="K29">
        <v>3.61</v>
      </c>
      <c r="L29">
        <v>3.17</v>
      </c>
      <c r="M29">
        <v>2.95</v>
      </c>
      <c r="N29">
        <v>3.5</v>
      </c>
      <c r="O29">
        <v>3.55</v>
      </c>
      <c r="P29">
        <v>4.17</v>
      </c>
      <c r="Q29">
        <v>3</v>
      </c>
    </row>
    <row r="30" spans="4:17" x14ac:dyDescent="0.35">
      <c r="D30" t="s">
        <v>114</v>
      </c>
      <c r="E30">
        <v>6.45</v>
      </c>
      <c r="F30">
        <v>3.64</v>
      </c>
      <c r="G30">
        <v>3.43</v>
      </c>
      <c r="H30">
        <v>3.08</v>
      </c>
      <c r="I30">
        <v>3.64</v>
      </c>
      <c r="J30">
        <v>3</v>
      </c>
      <c r="K30">
        <v>3.5</v>
      </c>
      <c r="L30">
        <v>3.35</v>
      </c>
      <c r="M30">
        <v>2.65</v>
      </c>
      <c r="N30">
        <v>3.88</v>
      </c>
      <c r="O30">
        <v>3.96</v>
      </c>
      <c r="P30">
        <v>4.46</v>
      </c>
      <c r="Q30">
        <v>3.13</v>
      </c>
    </row>
    <row r="31" spans="4:17" x14ac:dyDescent="0.35">
      <c r="D31" t="s">
        <v>134</v>
      </c>
      <c r="E31">
        <v>5.74</v>
      </c>
      <c r="F31">
        <v>3.53</v>
      </c>
      <c r="G31">
        <v>4.41</v>
      </c>
      <c r="H31">
        <v>3</v>
      </c>
      <c r="I31">
        <v>4.18</v>
      </c>
      <c r="J31">
        <v>2.82</v>
      </c>
      <c r="K31">
        <v>4</v>
      </c>
      <c r="L31">
        <v>3.06</v>
      </c>
      <c r="M31">
        <v>3.76</v>
      </c>
      <c r="N31">
        <v>3.65</v>
      </c>
      <c r="O31">
        <v>3.94</v>
      </c>
      <c r="P31">
        <v>4.47</v>
      </c>
      <c r="Q31">
        <v>2.82</v>
      </c>
    </row>
  </sheetData>
  <sortState xmlns:xlrd2="http://schemas.microsoft.com/office/spreadsheetml/2017/richdata2" ref="D2:Q31">
    <sortCondition ref="D1:D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7BF-4594-4765-8C72-C08B51BAA4EC}">
  <dimension ref="A1:P31"/>
  <sheetViews>
    <sheetView workbookViewId="0">
      <selection activeCell="D14" sqref="D14"/>
    </sheetView>
  </sheetViews>
  <sheetFormatPr defaultRowHeight="14.5" x14ac:dyDescent="0.35"/>
  <sheetData>
    <row r="1" spans="1:16" x14ac:dyDescent="0.35">
      <c r="A1" s="64" t="s">
        <v>175</v>
      </c>
      <c r="B1" s="64" t="s">
        <v>198</v>
      </c>
      <c r="C1" s="64" t="s">
        <v>163</v>
      </c>
      <c r="D1" s="64" t="s">
        <v>202</v>
      </c>
      <c r="E1" t="s">
        <v>119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127</v>
      </c>
      <c r="O1" t="s">
        <v>173</v>
      </c>
      <c r="P1" t="s">
        <v>174</v>
      </c>
    </row>
    <row r="2" spans="1:16" x14ac:dyDescent="0.35">
      <c r="A2" s="65" t="s">
        <v>176</v>
      </c>
      <c r="B2" s="65">
        <v>53.7</v>
      </c>
      <c r="C2">
        <v>0.14099999999999999</v>
      </c>
      <c r="D2" t="s">
        <v>119</v>
      </c>
      <c r="E2">
        <v>2.91</v>
      </c>
      <c r="F2">
        <v>2.2000000000000002</v>
      </c>
      <c r="G2">
        <v>3.91</v>
      </c>
      <c r="H2">
        <v>1.91</v>
      </c>
      <c r="I2">
        <v>2.5499999999999998</v>
      </c>
      <c r="J2">
        <v>2.1800000000000002</v>
      </c>
      <c r="K2">
        <v>2.64</v>
      </c>
      <c r="L2">
        <v>4.2699999999999996</v>
      </c>
      <c r="M2">
        <v>4.09</v>
      </c>
      <c r="N2">
        <v>4.3600000000000003</v>
      </c>
      <c r="O2">
        <v>4.09</v>
      </c>
      <c r="P2">
        <v>4.2699999999999996</v>
      </c>
    </row>
    <row r="3" spans="1:16" x14ac:dyDescent="0.35">
      <c r="A3" s="65" t="s">
        <v>177</v>
      </c>
      <c r="B3" s="65">
        <v>64.87</v>
      </c>
      <c r="C3">
        <v>0.26</v>
      </c>
      <c r="D3" t="s">
        <v>165</v>
      </c>
      <c r="E3">
        <v>2.67</v>
      </c>
      <c r="F3">
        <v>2.67</v>
      </c>
      <c r="G3">
        <v>2</v>
      </c>
      <c r="H3">
        <v>3</v>
      </c>
      <c r="I3">
        <v>2.33</v>
      </c>
      <c r="J3">
        <v>2.67</v>
      </c>
      <c r="K3">
        <v>2</v>
      </c>
      <c r="L3">
        <v>2.33</v>
      </c>
      <c r="M3">
        <v>2.67</v>
      </c>
      <c r="N3">
        <v>4</v>
      </c>
      <c r="O3">
        <v>3.33</v>
      </c>
      <c r="P3">
        <v>2.67</v>
      </c>
    </row>
    <row r="4" spans="1:16" x14ac:dyDescent="0.35">
      <c r="A4" s="65" t="s">
        <v>178</v>
      </c>
      <c r="B4" s="65">
        <v>57.22</v>
      </c>
      <c r="C4">
        <v>-0.19</v>
      </c>
      <c r="D4" t="s">
        <v>166</v>
      </c>
      <c r="E4">
        <v>3.33</v>
      </c>
      <c r="F4">
        <v>3.2</v>
      </c>
      <c r="G4">
        <v>2</v>
      </c>
      <c r="H4">
        <v>3.56</v>
      </c>
      <c r="I4">
        <v>2</v>
      </c>
      <c r="J4">
        <v>3.13</v>
      </c>
      <c r="K4">
        <v>2.25</v>
      </c>
      <c r="L4">
        <v>2.75</v>
      </c>
      <c r="M4">
        <v>4</v>
      </c>
      <c r="N4">
        <v>3.63</v>
      </c>
      <c r="O4">
        <v>4.5</v>
      </c>
      <c r="P4">
        <v>3.33</v>
      </c>
    </row>
    <row r="5" spans="1:16" x14ac:dyDescent="0.35">
      <c r="A5" s="65" t="s">
        <v>60</v>
      </c>
      <c r="B5" s="65">
        <v>60.19</v>
      </c>
      <c r="C5">
        <v>0.21</v>
      </c>
      <c r="D5" t="s">
        <v>167</v>
      </c>
      <c r="E5">
        <v>3.31</v>
      </c>
      <c r="F5">
        <v>3.58</v>
      </c>
      <c r="G5">
        <v>3.21</v>
      </c>
      <c r="H5">
        <v>3.86</v>
      </c>
      <c r="I5">
        <v>2.5299999999999998</v>
      </c>
      <c r="J5">
        <v>3.5</v>
      </c>
      <c r="K5">
        <v>3.12</v>
      </c>
      <c r="L5">
        <v>2.92</v>
      </c>
      <c r="M5">
        <v>3.66</v>
      </c>
      <c r="N5">
        <v>3.56</v>
      </c>
      <c r="O5">
        <v>4.29</v>
      </c>
      <c r="P5">
        <v>3.48</v>
      </c>
    </row>
    <row r="6" spans="1:16" x14ac:dyDescent="0.35">
      <c r="A6" s="65" t="s">
        <v>179</v>
      </c>
      <c r="B6" s="65">
        <v>60.38</v>
      </c>
      <c r="C6">
        <v>-0.16</v>
      </c>
      <c r="D6" t="s">
        <v>203</v>
      </c>
      <c r="E6">
        <v>4.26</v>
      </c>
      <c r="F6">
        <v>3.74</v>
      </c>
      <c r="G6">
        <v>3.2</v>
      </c>
      <c r="H6">
        <v>4.1500000000000004</v>
      </c>
      <c r="I6">
        <v>2.63</v>
      </c>
      <c r="J6">
        <v>3.45</v>
      </c>
      <c r="K6">
        <v>2.95</v>
      </c>
      <c r="L6">
        <v>2.38</v>
      </c>
      <c r="M6">
        <v>3.9</v>
      </c>
      <c r="N6">
        <v>3.88</v>
      </c>
      <c r="O6">
        <v>4.5199999999999996</v>
      </c>
      <c r="P6">
        <v>3.53</v>
      </c>
    </row>
    <row r="7" spans="1:16" x14ac:dyDescent="0.35">
      <c r="A7" s="65" t="s">
        <v>180</v>
      </c>
      <c r="B7" s="65">
        <v>61.76</v>
      </c>
      <c r="C7">
        <v>0.19</v>
      </c>
      <c r="D7" t="s">
        <v>169</v>
      </c>
      <c r="E7">
        <v>3.53</v>
      </c>
      <c r="F7">
        <v>4.41</v>
      </c>
      <c r="G7">
        <v>3</v>
      </c>
      <c r="H7">
        <v>4.18</v>
      </c>
      <c r="I7">
        <v>2.82</v>
      </c>
      <c r="J7">
        <v>4</v>
      </c>
      <c r="K7">
        <v>3.06</v>
      </c>
      <c r="L7">
        <v>3.76</v>
      </c>
      <c r="M7">
        <v>3.65</v>
      </c>
      <c r="N7">
        <v>3.94</v>
      </c>
      <c r="O7">
        <v>4.47</v>
      </c>
      <c r="P7">
        <v>2.82</v>
      </c>
    </row>
    <row r="8" spans="1:16" x14ac:dyDescent="0.35">
      <c r="A8" s="65" t="s">
        <v>181</v>
      </c>
      <c r="B8" s="65">
        <v>58.73</v>
      </c>
      <c r="C8">
        <v>-0.12</v>
      </c>
      <c r="D8" t="s">
        <v>170</v>
      </c>
      <c r="E8">
        <v>2.44</v>
      </c>
      <c r="F8">
        <v>3.08</v>
      </c>
      <c r="G8">
        <v>2.1800000000000002</v>
      </c>
      <c r="H8">
        <v>3.11</v>
      </c>
      <c r="I8">
        <v>2</v>
      </c>
      <c r="J8">
        <v>3.66</v>
      </c>
      <c r="K8">
        <v>2.2000000000000002</v>
      </c>
      <c r="L8">
        <v>2.31</v>
      </c>
      <c r="M8">
        <v>3.29</v>
      </c>
      <c r="N8">
        <v>3.67</v>
      </c>
      <c r="O8">
        <v>4.08</v>
      </c>
      <c r="P8">
        <v>3.08</v>
      </c>
    </row>
    <row r="9" spans="1:16" x14ac:dyDescent="0.35">
      <c r="A9" s="65" t="s">
        <v>182</v>
      </c>
      <c r="B9" s="65">
        <v>57.64</v>
      </c>
      <c r="C9">
        <v>-0.09</v>
      </c>
      <c r="D9" t="s">
        <v>171</v>
      </c>
      <c r="E9">
        <v>3.08</v>
      </c>
      <c r="F9">
        <v>3.7</v>
      </c>
      <c r="G9">
        <v>3.17</v>
      </c>
      <c r="H9">
        <v>3.83</v>
      </c>
      <c r="I9">
        <v>2.91</v>
      </c>
      <c r="J9">
        <v>3.57</v>
      </c>
      <c r="K9">
        <v>3.35</v>
      </c>
      <c r="L9">
        <v>3.43</v>
      </c>
      <c r="M9">
        <v>3.78</v>
      </c>
      <c r="N9">
        <v>3.78</v>
      </c>
      <c r="O9">
        <v>4.17</v>
      </c>
      <c r="P9">
        <v>3.17</v>
      </c>
    </row>
    <row r="10" spans="1:16" x14ac:dyDescent="0.35">
      <c r="A10" s="65" t="s">
        <v>183</v>
      </c>
      <c r="B10" s="65">
        <v>61.66</v>
      </c>
      <c r="C10">
        <v>-0.31</v>
      </c>
      <c r="D10" t="s">
        <v>204</v>
      </c>
      <c r="E10">
        <v>3.27</v>
      </c>
      <c r="F10">
        <v>3.61</v>
      </c>
      <c r="G10">
        <v>2.27</v>
      </c>
      <c r="H10">
        <v>3.67</v>
      </c>
      <c r="I10">
        <v>2.4900000000000002</v>
      </c>
      <c r="J10">
        <v>3.43</v>
      </c>
      <c r="K10">
        <v>2.87</v>
      </c>
      <c r="L10">
        <v>2.96</v>
      </c>
      <c r="M10">
        <v>2.93</v>
      </c>
      <c r="N10">
        <v>3.09</v>
      </c>
      <c r="O10">
        <v>3.68</v>
      </c>
      <c r="P10">
        <v>2.52</v>
      </c>
    </row>
    <row r="11" spans="1:16" x14ac:dyDescent="0.35">
      <c r="A11" s="65" t="s">
        <v>81</v>
      </c>
      <c r="B11" s="65">
        <v>57.73</v>
      </c>
      <c r="C11">
        <v>-6.0000000000000001E-3</v>
      </c>
      <c r="D11" t="s">
        <v>127</v>
      </c>
      <c r="E11">
        <v>3.49</v>
      </c>
      <c r="F11">
        <v>3.81</v>
      </c>
      <c r="G11">
        <v>2.72</v>
      </c>
      <c r="H11">
        <v>3.97</v>
      </c>
      <c r="I11">
        <v>2.74</v>
      </c>
      <c r="J11">
        <v>3.81</v>
      </c>
      <c r="K11">
        <v>2.89</v>
      </c>
      <c r="L11">
        <v>3.11</v>
      </c>
      <c r="M11">
        <v>3.78</v>
      </c>
      <c r="N11">
        <v>3.55</v>
      </c>
      <c r="O11">
        <v>4.28</v>
      </c>
      <c r="P11">
        <v>2.83</v>
      </c>
    </row>
    <row r="12" spans="1:16" x14ac:dyDescent="0.35">
      <c r="A12" s="65" t="s">
        <v>57</v>
      </c>
      <c r="B12" s="65">
        <v>60.97</v>
      </c>
      <c r="C12">
        <v>-0.08</v>
      </c>
      <c r="D12" t="s">
        <v>173</v>
      </c>
      <c r="E12">
        <v>3.19</v>
      </c>
      <c r="F12">
        <v>3</v>
      </c>
      <c r="G12">
        <v>2.8</v>
      </c>
      <c r="H12">
        <v>3.81</v>
      </c>
      <c r="I12">
        <v>2.81</v>
      </c>
      <c r="J12">
        <v>4.18</v>
      </c>
      <c r="K12">
        <v>3.13</v>
      </c>
      <c r="L12">
        <v>3.75</v>
      </c>
      <c r="M12">
        <v>3.73</v>
      </c>
      <c r="N12">
        <v>3.8</v>
      </c>
      <c r="O12">
        <v>4.2699999999999996</v>
      </c>
      <c r="P12">
        <v>2.8</v>
      </c>
    </row>
    <row r="13" spans="1:16" x14ac:dyDescent="0.35">
      <c r="A13" s="65" t="s">
        <v>184</v>
      </c>
      <c r="B13" s="65">
        <v>63.22</v>
      </c>
      <c r="C13">
        <v>-0.28000000000000003</v>
      </c>
      <c r="D13" t="s">
        <v>174</v>
      </c>
      <c r="E13">
        <v>3.63</v>
      </c>
      <c r="F13">
        <v>3.77</v>
      </c>
      <c r="G13">
        <v>3.13</v>
      </c>
      <c r="H13">
        <v>4.0999999999999996</v>
      </c>
      <c r="I13">
        <v>2.4300000000000002</v>
      </c>
      <c r="J13">
        <v>3.93</v>
      </c>
      <c r="K13">
        <v>3.47</v>
      </c>
      <c r="L13">
        <v>3.03</v>
      </c>
      <c r="M13">
        <v>3.73</v>
      </c>
      <c r="N13">
        <v>3.7</v>
      </c>
      <c r="O13">
        <v>4.5999999999999996</v>
      </c>
      <c r="P13">
        <v>3</v>
      </c>
    </row>
    <row r="14" spans="1:16" x14ac:dyDescent="0.35">
      <c r="A14" s="65" t="s">
        <v>56</v>
      </c>
      <c r="B14" s="65">
        <v>57.31</v>
      </c>
      <c r="E14">
        <v>3.74</v>
      </c>
      <c r="F14">
        <v>3.53</v>
      </c>
      <c r="G14">
        <v>3.2</v>
      </c>
      <c r="H14">
        <v>4</v>
      </c>
      <c r="I14">
        <v>2.76</v>
      </c>
      <c r="J14">
        <v>3.65</v>
      </c>
      <c r="K14">
        <v>3.75</v>
      </c>
      <c r="L14">
        <v>2.78</v>
      </c>
      <c r="M14">
        <v>3.65</v>
      </c>
      <c r="N14">
        <v>3.63</v>
      </c>
      <c r="O14">
        <v>4.45</v>
      </c>
      <c r="P14">
        <v>3.59</v>
      </c>
    </row>
    <row r="15" spans="1:16" x14ac:dyDescent="0.35">
      <c r="A15" s="65" t="s">
        <v>185</v>
      </c>
      <c r="B15" s="65">
        <v>57.85</v>
      </c>
      <c r="E15">
        <v>3.2</v>
      </c>
      <c r="F15">
        <v>3</v>
      </c>
      <c r="G15">
        <v>2.4500000000000002</v>
      </c>
      <c r="H15">
        <v>3.9</v>
      </c>
      <c r="I15">
        <v>3.06</v>
      </c>
      <c r="J15">
        <v>3.37</v>
      </c>
      <c r="K15">
        <v>2.5499999999999998</v>
      </c>
      <c r="L15">
        <v>3.35</v>
      </c>
      <c r="M15">
        <v>4.2</v>
      </c>
      <c r="N15">
        <v>4.05</v>
      </c>
      <c r="O15">
        <v>4.3</v>
      </c>
      <c r="P15">
        <v>3.55</v>
      </c>
    </row>
    <row r="16" spans="1:16" x14ac:dyDescent="0.35">
      <c r="A16" s="65" t="s">
        <v>186</v>
      </c>
      <c r="B16" s="65">
        <v>57.06</v>
      </c>
      <c r="E16">
        <v>3.41</v>
      </c>
      <c r="F16">
        <v>4.0999999999999996</v>
      </c>
      <c r="G16">
        <v>3</v>
      </c>
      <c r="H16">
        <v>4.08</v>
      </c>
      <c r="I16">
        <v>3.21</v>
      </c>
      <c r="J16">
        <v>3.85</v>
      </c>
      <c r="K16">
        <v>3.44</v>
      </c>
      <c r="L16">
        <v>2.67</v>
      </c>
      <c r="M16">
        <v>3.5</v>
      </c>
      <c r="N16">
        <v>3.56</v>
      </c>
      <c r="O16">
        <v>4.46</v>
      </c>
      <c r="P16">
        <v>2.9</v>
      </c>
    </row>
    <row r="17" spans="1:16" x14ac:dyDescent="0.35">
      <c r="A17" s="65" t="s">
        <v>187</v>
      </c>
      <c r="B17" s="65">
        <v>53.78</v>
      </c>
      <c r="E17">
        <v>3.55</v>
      </c>
      <c r="F17">
        <v>3.3</v>
      </c>
      <c r="G17">
        <v>2.69</v>
      </c>
      <c r="H17">
        <v>3.75</v>
      </c>
      <c r="I17">
        <v>2.75</v>
      </c>
      <c r="J17">
        <v>3.49</v>
      </c>
      <c r="K17">
        <v>3.15</v>
      </c>
      <c r="L17">
        <v>2.73</v>
      </c>
      <c r="M17">
        <v>4.09</v>
      </c>
      <c r="N17">
        <v>3.96</v>
      </c>
      <c r="O17">
        <v>4.68</v>
      </c>
      <c r="P17">
        <v>3.3</v>
      </c>
    </row>
    <row r="18" spans="1:16" x14ac:dyDescent="0.35">
      <c r="A18" s="65" t="s">
        <v>95</v>
      </c>
      <c r="B18" s="65">
        <v>58.59</v>
      </c>
      <c r="E18">
        <v>3.45</v>
      </c>
      <c r="F18">
        <v>3.27</v>
      </c>
      <c r="G18">
        <v>2.5</v>
      </c>
      <c r="H18">
        <v>3.65</v>
      </c>
      <c r="I18">
        <v>2.67</v>
      </c>
      <c r="J18">
        <v>3.61</v>
      </c>
      <c r="K18">
        <v>3.07</v>
      </c>
      <c r="L18">
        <v>3.17</v>
      </c>
      <c r="M18">
        <v>3.74</v>
      </c>
      <c r="N18">
        <v>3.53</v>
      </c>
      <c r="O18">
        <v>4.42</v>
      </c>
      <c r="P18">
        <v>3.07</v>
      </c>
    </row>
    <row r="19" spans="1:16" x14ac:dyDescent="0.35">
      <c r="A19" s="65" t="s">
        <v>188</v>
      </c>
      <c r="B19" s="65">
        <v>57.61</v>
      </c>
      <c r="E19">
        <v>3.92</v>
      </c>
      <c r="F19">
        <v>3.37</v>
      </c>
      <c r="G19">
        <v>3.07</v>
      </c>
      <c r="H19">
        <v>3.97</v>
      </c>
      <c r="I19">
        <v>2.5299999999999998</v>
      </c>
      <c r="J19">
        <v>3.34</v>
      </c>
      <c r="K19">
        <v>3.27</v>
      </c>
      <c r="L19">
        <v>2.4900000000000002</v>
      </c>
      <c r="M19">
        <v>3.86</v>
      </c>
      <c r="N19">
        <v>3.9</v>
      </c>
      <c r="O19">
        <v>4.54</v>
      </c>
      <c r="P19">
        <v>3.47</v>
      </c>
    </row>
    <row r="20" spans="1:16" x14ac:dyDescent="0.35">
      <c r="A20" s="65" t="s">
        <v>38</v>
      </c>
      <c r="B20" s="65">
        <v>60.83</v>
      </c>
      <c r="E20">
        <v>3.36</v>
      </c>
      <c r="F20">
        <v>3.1</v>
      </c>
      <c r="G20">
        <v>2.8</v>
      </c>
      <c r="H20">
        <v>3.77</v>
      </c>
      <c r="I20">
        <v>2.52</v>
      </c>
      <c r="J20">
        <v>3.25</v>
      </c>
      <c r="K20">
        <v>2.89</v>
      </c>
      <c r="L20">
        <v>2.48</v>
      </c>
      <c r="M20">
        <v>3.92</v>
      </c>
      <c r="N20">
        <v>3.78</v>
      </c>
      <c r="O20">
        <v>4.34</v>
      </c>
      <c r="P20">
        <v>3.45</v>
      </c>
    </row>
    <row r="21" spans="1:16" x14ac:dyDescent="0.35">
      <c r="A21" s="65" t="s">
        <v>189</v>
      </c>
      <c r="B21" s="65">
        <v>56.77</v>
      </c>
      <c r="E21">
        <v>2.42</v>
      </c>
      <c r="F21">
        <v>2.67</v>
      </c>
      <c r="G21">
        <v>2.93</v>
      </c>
      <c r="H21">
        <v>3</v>
      </c>
      <c r="I21">
        <v>3.05</v>
      </c>
      <c r="J21">
        <v>3.26</v>
      </c>
      <c r="K21">
        <v>3.3</v>
      </c>
      <c r="L21">
        <v>3.35</v>
      </c>
      <c r="M21">
        <v>3.38</v>
      </c>
      <c r="N21">
        <v>3.53</v>
      </c>
      <c r="O21">
        <v>3.09</v>
      </c>
      <c r="P21">
        <v>3.76</v>
      </c>
    </row>
    <row r="22" spans="1:16" x14ac:dyDescent="0.35">
      <c r="A22" s="65" t="s">
        <v>58</v>
      </c>
      <c r="B22" s="65">
        <v>52.9</v>
      </c>
      <c r="E22">
        <v>3.08</v>
      </c>
      <c r="F22">
        <v>3.69</v>
      </c>
      <c r="G22">
        <v>2.89</v>
      </c>
      <c r="H22">
        <v>3.76</v>
      </c>
      <c r="I22">
        <v>2.97</v>
      </c>
      <c r="J22">
        <v>3.89</v>
      </c>
      <c r="K22">
        <v>2.89</v>
      </c>
      <c r="L22">
        <v>3.08</v>
      </c>
      <c r="M22">
        <v>3.43</v>
      </c>
      <c r="N22">
        <v>3.58</v>
      </c>
      <c r="O22">
        <v>3.92</v>
      </c>
      <c r="P22">
        <v>3.03</v>
      </c>
    </row>
    <row r="23" spans="1:16" x14ac:dyDescent="0.35">
      <c r="A23" s="65" t="s">
        <v>190</v>
      </c>
      <c r="B23" s="65">
        <v>54.61</v>
      </c>
      <c r="E23">
        <v>3.14</v>
      </c>
      <c r="F23">
        <v>3.37</v>
      </c>
      <c r="G23">
        <v>2.3199999999999998</v>
      </c>
      <c r="H23">
        <v>4</v>
      </c>
      <c r="I23">
        <v>2.4300000000000002</v>
      </c>
      <c r="J23">
        <v>3.51</v>
      </c>
      <c r="K23">
        <v>2.74</v>
      </c>
      <c r="L23">
        <v>2.34</v>
      </c>
      <c r="M23">
        <v>3.49</v>
      </c>
      <c r="N23">
        <v>3.43</v>
      </c>
      <c r="O23">
        <v>4.2300000000000004</v>
      </c>
      <c r="P23">
        <v>3.8</v>
      </c>
    </row>
    <row r="24" spans="1:16" x14ac:dyDescent="0.35">
      <c r="A24" s="65" t="s">
        <v>59</v>
      </c>
      <c r="B24" s="65">
        <v>60.38</v>
      </c>
      <c r="E24">
        <v>3.64</v>
      </c>
      <c r="F24">
        <v>3.43</v>
      </c>
      <c r="G24">
        <v>3.08</v>
      </c>
      <c r="H24">
        <v>3.64</v>
      </c>
      <c r="I24">
        <v>3</v>
      </c>
      <c r="J24">
        <v>3.5</v>
      </c>
      <c r="K24">
        <v>3.35</v>
      </c>
      <c r="L24">
        <v>2.65</v>
      </c>
      <c r="M24">
        <v>3.88</v>
      </c>
      <c r="N24">
        <v>3.96</v>
      </c>
      <c r="O24">
        <v>4.46</v>
      </c>
      <c r="P24">
        <v>3.13</v>
      </c>
    </row>
    <row r="25" spans="1:16" x14ac:dyDescent="0.35">
      <c r="A25" s="65" t="s">
        <v>191</v>
      </c>
      <c r="B25" s="65">
        <v>63.29</v>
      </c>
      <c r="E25">
        <v>3.63</v>
      </c>
      <c r="F25">
        <v>4.0599999999999996</v>
      </c>
      <c r="G25">
        <v>3.28</v>
      </c>
      <c r="H25">
        <v>4.22</v>
      </c>
      <c r="I25">
        <v>2.61</v>
      </c>
      <c r="J25">
        <v>3.22</v>
      </c>
      <c r="K25">
        <v>2.83</v>
      </c>
      <c r="L25">
        <v>3.06</v>
      </c>
      <c r="M25">
        <v>3.61</v>
      </c>
      <c r="N25">
        <v>3.83</v>
      </c>
      <c r="O25">
        <v>4.17</v>
      </c>
      <c r="P25">
        <v>3.28</v>
      </c>
    </row>
    <row r="26" spans="1:16" x14ac:dyDescent="0.35">
      <c r="A26" s="65" t="s">
        <v>192</v>
      </c>
      <c r="B26" s="65">
        <v>63.02</v>
      </c>
      <c r="E26">
        <v>3.27</v>
      </c>
      <c r="F26">
        <v>3.94</v>
      </c>
      <c r="G26">
        <v>2.5</v>
      </c>
      <c r="H26">
        <v>4.38</v>
      </c>
      <c r="I26">
        <v>2</v>
      </c>
      <c r="J26">
        <v>3.25</v>
      </c>
      <c r="K26">
        <v>2.75</v>
      </c>
      <c r="L26">
        <v>2.56</v>
      </c>
      <c r="M26">
        <v>3.38</v>
      </c>
      <c r="N26">
        <v>3.31</v>
      </c>
      <c r="O26">
        <v>3.94</v>
      </c>
      <c r="P26">
        <v>3.94</v>
      </c>
    </row>
    <row r="27" spans="1:16" x14ac:dyDescent="0.35">
      <c r="A27" s="65" t="s">
        <v>193</v>
      </c>
      <c r="B27" s="65">
        <v>60.52</v>
      </c>
      <c r="E27">
        <v>3.38</v>
      </c>
      <c r="F27">
        <v>3.91</v>
      </c>
      <c r="G27">
        <v>2.38</v>
      </c>
      <c r="H27">
        <v>3.68</v>
      </c>
      <c r="I27">
        <v>2.59</v>
      </c>
      <c r="J27">
        <v>3.61</v>
      </c>
      <c r="K27">
        <v>3.17</v>
      </c>
      <c r="L27">
        <v>2.95</v>
      </c>
      <c r="M27">
        <v>3.5</v>
      </c>
      <c r="N27">
        <v>3.55</v>
      </c>
      <c r="O27">
        <v>4.17</v>
      </c>
      <c r="P27">
        <v>3</v>
      </c>
    </row>
    <row r="28" spans="1:16" x14ac:dyDescent="0.35">
      <c r="A28" s="65" t="s">
        <v>194</v>
      </c>
      <c r="B28" s="65">
        <v>49.63</v>
      </c>
      <c r="E28">
        <v>3.36</v>
      </c>
      <c r="F28">
        <v>3.32</v>
      </c>
      <c r="G28">
        <v>3</v>
      </c>
      <c r="H28">
        <v>3.89</v>
      </c>
      <c r="I28">
        <v>2.33</v>
      </c>
      <c r="J28">
        <v>2.7</v>
      </c>
      <c r="K28">
        <v>3.11</v>
      </c>
      <c r="L28">
        <v>2.63</v>
      </c>
      <c r="M28">
        <v>3.72</v>
      </c>
      <c r="N28">
        <v>3.52</v>
      </c>
      <c r="O28">
        <v>4.07</v>
      </c>
      <c r="P28">
        <v>3.18</v>
      </c>
    </row>
    <row r="29" spans="1:16" x14ac:dyDescent="0.35">
      <c r="A29" s="65" t="s">
        <v>195</v>
      </c>
      <c r="B29" s="65">
        <v>59.2</v>
      </c>
      <c r="E29">
        <v>3.37</v>
      </c>
      <c r="F29">
        <v>3.15</v>
      </c>
      <c r="G29">
        <v>2.76</v>
      </c>
      <c r="H29">
        <v>3.78</v>
      </c>
      <c r="I29">
        <v>2.92</v>
      </c>
      <c r="J29">
        <v>3.66</v>
      </c>
      <c r="K29">
        <v>3.25</v>
      </c>
      <c r="L29">
        <v>3.02</v>
      </c>
      <c r="M29">
        <v>4.0199999999999996</v>
      </c>
      <c r="N29">
        <v>3.73</v>
      </c>
      <c r="O29">
        <v>4.41</v>
      </c>
      <c r="P29">
        <v>3.5</v>
      </c>
    </row>
    <row r="30" spans="1:16" x14ac:dyDescent="0.35">
      <c r="A30" s="65" t="s">
        <v>196</v>
      </c>
      <c r="B30" s="65">
        <v>55.96</v>
      </c>
      <c r="E30">
        <v>3</v>
      </c>
      <c r="F30">
        <v>3.5</v>
      </c>
      <c r="G30">
        <v>2.65</v>
      </c>
      <c r="H30">
        <v>3.88</v>
      </c>
      <c r="I30">
        <v>2.75</v>
      </c>
      <c r="J30">
        <v>3.67</v>
      </c>
      <c r="K30">
        <v>3</v>
      </c>
      <c r="L30">
        <v>2.96</v>
      </c>
      <c r="M30">
        <v>3.67</v>
      </c>
      <c r="N30">
        <v>3.88</v>
      </c>
      <c r="O30">
        <v>4.24</v>
      </c>
      <c r="P30">
        <v>3.04</v>
      </c>
    </row>
    <row r="31" spans="1:16" x14ac:dyDescent="0.35">
      <c r="A31" s="65" t="s">
        <v>197</v>
      </c>
      <c r="B31" s="65">
        <v>57.3</v>
      </c>
      <c r="E31">
        <v>3</v>
      </c>
      <c r="F31">
        <v>3.27</v>
      </c>
      <c r="G31">
        <v>2.92</v>
      </c>
      <c r="H31">
        <v>3.68</v>
      </c>
      <c r="I31">
        <v>2.54</v>
      </c>
      <c r="J31">
        <v>3.61</v>
      </c>
      <c r="K31">
        <v>3.17</v>
      </c>
      <c r="L31">
        <v>3</v>
      </c>
      <c r="M31">
        <v>3.03</v>
      </c>
      <c r="N31">
        <v>3.11</v>
      </c>
      <c r="O31">
        <v>4.3499999999999996</v>
      </c>
      <c r="P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497B-265D-4851-96F2-2BC7B1345367}">
  <dimension ref="A1:W31"/>
  <sheetViews>
    <sheetView tabSelected="1" workbookViewId="0">
      <selection activeCell="J11" sqref="J11"/>
    </sheetView>
  </sheetViews>
  <sheetFormatPr defaultRowHeight="14.5" x14ac:dyDescent="0.35"/>
  <sheetData>
    <row r="1" spans="1:23" x14ac:dyDescent="0.35">
      <c r="A1" s="66" t="s">
        <v>199</v>
      </c>
      <c r="B1" s="66" t="s">
        <v>175</v>
      </c>
      <c r="C1" s="66"/>
      <c r="D1" s="66"/>
      <c r="E1" s="66"/>
      <c r="F1" s="66"/>
      <c r="G1" s="66" t="s">
        <v>202</v>
      </c>
      <c r="H1" s="66" t="s">
        <v>200</v>
      </c>
      <c r="I1" s="66" t="s">
        <v>226</v>
      </c>
      <c r="J1" s="66" t="s">
        <v>227</v>
      </c>
      <c r="K1" s="66" t="s">
        <v>201</v>
      </c>
      <c r="L1" t="s">
        <v>119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127</v>
      </c>
      <c r="V1" t="s">
        <v>173</v>
      </c>
      <c r="W1" t="s">
        <v>174</v>
      </c>
    </row>
    <row r="2" spans="1:23" x14ac:dyDescent="0.35">
      <c r="A2" s="67">
        <v>2022</v>
      </c>
      <c r="B2" s="67" t="s">
        <v>177</v>
      </c>
      <c r="C2" s="67">
        <v>6.25</v>
      </c>
      <c r="D2" s="67">
        <v>16.666666670000001</v>
      </c>
      <c r="E2" s="67">
        <v>59.722222219999999</v>
      </c>
      <c r="F2" s="67">
        <v>17.36111111</v>
      </c>
      <c r="G2" s="67" t="s">
        <v>119</v>
      </c>
      <c r="H2" s="67">
        <v>-0.14000000000000001</v>
      </c>
      <c r="I2" s="67">
        <v>-0.03</v>
      </c>
      <c r="J2" s="67">
        <v>0.22</v>
      </c>
      <c r="K2" s="67">
        <v>-0.31</v>
      </c>
      <c r="L2">
        <v>2.91</v>
      </c>
      <c r="M2">
        <v>2.2000000000000002</v>
      </c>
      <c r="N2">
        <v>3.91</v>
      </c>
      <c r="O2">
        <v>1.91</v>
      </c>
      <c r="P2">
        <v>2.5499999999999998</v>
      </c>
      <c r="Q2">
        <v>2.1800000000000002</v>
      </c>
      <c r="R2">
        <v>2.64</v>
      </c>
      <c r="S2">
        <v>4.2699999999999996</v>
      </c>
      <c r="T2">
        <v>4.09</v>
      </c>
      <c r="U2">
        <v>4.3600000000000003</v>
      </c>
      <c r="V2">
        <v>4.09</v>
      </c>
      <c r="W2">
        <v>4.2699999999999996</v>
      </c>
    </row>
    <row r="3" spans="1:23" x14ac:dyDescent="0.35">
      <c r="A3" s="67">
        <v>2022</v>
      </c>
      <c r="B3" s="67" t="s">
        <v>183</v>
      </c>
      <c r="C3" s="67">
        <v>10</v>
      </c>
      <c r="D3" s="67">
        <v>9</v>
      </c>
      <c r="E3" s="67">
        <v>64</v>
      </c>
      <c r="F3" s="67">
        <v>17</v>
      </c>
      <c r="G3" s="67" t="s">
        <v>165</v>
      </c>
      <c r="H3" s="67">
        <v>0.02</v>
      </c>
      <c r="I3" s="67">
        <v>0.2</v>
      </c>
      <c r="J3" s="67">
        <v>0.04</v>
      </c>
      <c r="K3" s="67">
        <v>-0.28000000000000003</v>
      </c>
      <c r="L3">
        <v>2.67</v>
      </c>
      <c r="M3">
        <v>2.67</v>
      </c>
      <c r="N3">
        <v>2</v>
      </c>
      <c r="O3">
        <v>3</v>
      </c>
      <c r="P3">
        <v>2.33</v>
      </c>
      <c r="Q3">
        <v>2.67</v>
      </c>
      <c r="R3">
        <v>2</v>
      </c>
      <c r="S3">
        <v>2.33</v>
      </c>
      <c r="T3">
        <v>2.67</v>
      </c>
      <c r="U3">
        <v>4</v>
      </c>
      <c r="V3">
        <v>3.33</v>
      </c>
      <c r="W3">
        <v>2.67</v>
      </c>
    </row>
    <row r="4" spans="1:23" x14ac:dyDescent="0.35">
      <c r="A4" s="67">
        <v>2022</v>
      </c>
      <c r="B4" s="67" t="s">
        <v>188</v>
      </c>
      <c r="C4" s="67">
        <v>5.5045871560000004</v>
      </c>
      <c r="D4" s="67">
        <v>8.2568807339999992</v>
      </c>
      <c r="E4" s="67">
        <v>73.394495410000005</v>
      </c>
      <c r="F4" s="67">
        <v>12.8440367</v>
      </c>
      <c r="G4" s="67" t="s">
        <v>166</v>
      </c>
      <c r="H4" s="67">
        <v>-0.03</v>
      </c>
      <c r="I4" s="67">
        <v>0.08</v>
      </c>
      <c r="J4" s="67">
        <v>0.1</v>
      </c>
      <c r="K4" s="67">
        <v>-0.24</v>
      </c>
      <c r="L4">
        <v>3.33</v>
      </c>
      <c r="M4">
        <v>3.2</v>
      </c>
      <c r="N4">
        <v>2</v>
      </c>
      <c r="O4">
        <v>3.56</v>
      </c>
      <c r="P4">
        <v>2</v>
      </c>
      <c r="Q4">
        <v>3.13</v>
      </c>
      <c r="R4">
        <v>2.25</v>
      </c>
      <c r="S4">
        <v>2.75</v>
      </c>
      <c r="T4">
        <v>4</v>
      </c>
      <c r="U4">
        <v>3.63</v>
      </c>
      <c r="V4">
        <v>4.5</v>
      </c>
      <c r="W4">
        <v>3.33</v>
      </c>
    </row>
    <row r="5" spans="1:23" x14ac:dyDescent="0.35">
      <c r="A5" s="67">
        <v>2022</v>
      </c>
      <c r="B5" s="67" t="s">
        <v>196</v>
      </c>
      <c r="C5" s="67">
        <v>6.25</v>
      </c>
      <c r="D5" s="67">
        <v>13.39285714</v>
      </c>
      <c r="E5" s="67">
        <v>69.642857140000004</v>
      </c>
      <c r="F5" s="67">
        <v>10.71428571</v>
      </c>
      <c r="G5" s="67" t="s">
        <v>167</v>
      </c>
      <c r="H5" s="67">
        <v>-0.02</v>
      </c>
      <c r="I5" s="67">
        <v>-0.1</v>
      </c>
      <c r="J5" s="67">
        <v>0.24</v>
      </c>
      <c r="K5" s="67">
        <v>-0.34</v>
      </c>
      <c r="L5">
        <v>3.31</v>
      </c>
      <c r="M5">
        <v>3.58</v>
      </c>
      <c r="N5">
        <v>3.21</v>
      </c>
      <c r="O5">
        <v>3.86</v>
      </c>
      <c r="P5">
        <v>2.5299999999999998</v>
      </c>
      <c r="Q5">
        <v>3.5</v>
      </c>
      <c r="R5">
        <v>3.12</v>
      </c>
      <c r="S5">
        <v>2.92</v>
      </c>
      <c r="T5">
        <v>3.66</v>
      </c>
      <c r="U5">
        <v>3.56</v>
      </c>
      <c r="V5">
        <v>4.29</v>
      </c>
      <c r="W5">
        <v>3.48</v>
      </c>
    </row>
    <row r="6" spans="1:23" x14ac:dyDescent="0.35">
      <c r="A6" s="67">
        <v>2021</v>
      </c>
      <c r="B6" s="67" t="s">
        <v>178</v>
      </c>
      <c r="C6" s="67">
        <v>2.2727272730000001</v>
      </c>
      <c r="D6" s="67">
        <v>6.8181818180000002</v>
      </c>
      <c r="E6" s="67">
        <v>86.363636360000001</v>
      </c>
      <c r="F6" s="67">
        <v>4.5454545450000001</v>
      </c>
      <c r="G6" s="67" t="s">
        <v>203</v>
      </c>
      <c r="H6" s="67">
        <v>0.08</v>
      </c>
      <c r="I6" s="67">
        <v>0.03</v>
      </c>
      <c r="J6" s="67">
        <v>-0.06</v>
      </c>
      <c r="K6" s="67">
        <v>-0.24</v>
      </c>
      <c r="L6">
        <v>4.26</v>
      </c>
      <c r="M6">
        <v>3.74</v>
      </c>
      <c r="N6">
        <v>3.2</v>
      </c>
      <c r="O6">
        <v>4.1500000000000004</v>
      </c>
      <c r="P6">
        <v>2.63</v>
      </c>
      <c r="Q6">
        <v>3.45</v>
      </c>
      <c r="R6">
        <v>2.95</v>
      </c>
      <c r="S6">
        <v>2.38</v>
      </c>
      <c r="T6">
        <v>3.9</v>
      </c>
      <c r="U6">
        <v>3.88</v>
      </c>
      <c r="V6">
        <v>4.5199999999999996</v>
      </c>
      <c r="W6">
        <v>3.53</v>
      </c>
    </row>
    <row r="7" spans="1:23" x14ac:dyDescent="0.35">
      <c r="A7" s="67">
        <v>2021</v>
      </c>
      <c r="B7" s="67" t="s">
        <v>179</v>
      </c>
      <c r="C7" s="67">
        <v>8.8607594939999998</v>
      </c>
      <c r="D7" s="67">
        <v>20.253164559999998</v>
      </c>
      <c r="E7" s="67">
        <v>55.696202530000001</v>
      </c>
      <c r="F7" s="67">
        <v>15.18987342</v>
      </c>
      <c r="G7" s="67" t="s">
        <v>211</v>
      </c>
      <c r="H7" s="67">
        <v>0.28999999999999998</v>
      </c>
      <c r="I7" s="67">
        <v>-0.03</v>
      </c>
      <c r="J7" s="67">
        <v>0.17</v>
      </c>
      <c r="K7" s="67">
        <v>-0.08</v>
      </c>
      <c r="L7">
        <v>3.53</v>
      </c>
      <c r="M7">
        <v>4.41</v>
      </c>
      <c r="N7">
        <v>3</v>
      </c>
      <c r="O7">
        <v>4.18</v>
      </c>
      <c r="P7">
        <v>2.82</v>
      </c>
      <c r="Q7">
        <v>4</v>
      </c>
      <c r="R7">
        <v>3.06</v>
      </c>
      <c r="S7">
        <v>3.76</v>
      </c>
      <c r="T7">
        <v>3.65</v>
      </c>
      <c r="U7">
        <v>3.94</v>
      </c>
      <c r="V7">
        <v>4.47</v>
      </c>
      <c r="W7">
        <v>2.82</v>
      </c>
    </row>
    <row r="8" spans="1:23" x14ac:dyDescent="0.35">
      <c r="A8" s="67">
        <v>2021</v>
      </c>
      <c r="B8" s="67" t="s">
        <v>184</v>
      </c>
      <c r="C8" s="67">
        <v>11.42857143</v>
      </c>
      <c r="D8" s="67">
        <v>9.2857142859999993</v>
      </c>
      <c r="E8" s="67">
        <v>55</v>
      </c>
      <c r="F8" s="67">
        <v>24.285714290000001</v>
      </c>
      <c r="G8" s="67" t="s">
        <v>224</v>
      </c>
      <c r="H8" s="67">
        <v>0.08</v>
      </c>
      <c r="I8" s="67">
        <v>0.46</v>
      </c>
      <c r="J8" s="67">
        <v>-0.3</v>
      </c>
      <c r="K8" s="67">
        <v>-0.35</v>
      </c>
      <c r="L8">
        <v>2.44</v>
      </c>
      <c r="M8">
        <v>3.08</v>
      </c>
      <c r="N8">
        <v>2.1800000000000002</v>
      </c>
      <c r="O8">
        <v>3.11</v>
      </c>
      <c r="P8">
        <v>2</v>
      </c>
      <c r="Q8">
        <v>3.66</v>
      </c>
      <c r="R8">
        <v>2.2000000000000002</v>
      </c>
      <c r="S8">
        <v>2.31</v>
      </c>
      <c r="T8">
        <v>3.29</v>
      </c>
      <c r="U8">
        <v>3.67</v>
      </c>
      <c r="V8">
        <v>4.08</v>
      </c>
      <c r="W8">
        <v>3.08</v>
      </c>
    </row>
    <row r="9" spans="1:23" x14ac:dyDescent="0.35">
      <c r="A9" s="67">
        <v>2021</v>
      </c>
      <c r="B9" s="67" t="s">
        <v>190</v>
      </c>
      <c r="C9" s="67">
        <v>7.8651685389999999</v>
      </c>
      <c r="D9" s="67">
        <v>11.23595506</v>
      </c>
      <c r="E9" s="67">
        <v>68.539325840000004</v>
      </c>
      <c r="F9" s="67">
        <v>12.359550560000001</v>
      </c>
      <c r="G9" s="67" t="s">
        <v>225</v>
      </c>
      <c r="H9" s="67">
        <v>0.09</v>
      </c>
      <c r="I9" s="67">
        <v>-0.27</v>
      </c>
      <c r="J9" s="67">
        <v>0.24</v>
      </c>
      <c r="K9" s="67">
        <v>0.09</v>
      </c>
      <c r="L9">
        <v>3.08</v>
      </c>
      <c r="M9">
        <v>3.7</v>
      </c>
      <c r="N9">
        <v>3.17</v>
      </c>
      <c r="O9">
        <v>3.83</v>
      </c>
      <c r="P9">
        <v>2.91</v>
      </c>
      <c r="Q9">
        <v>3.57</v>
      </c>
      <c r="R9">
        <v>3.35</v>
      </c>
      <c r="S9">
        <v>3.43</v>
      </c>
      <c r="T9">
        <v>3.78</v>
      </c>
      <c r="U9">
        <v>3.78</v>
      </c>
      <c r="V9">
        <v>4.17</v>
      </c>
      <c r="W9">
        <v>3.17</v>
      </c>
    </row>
    <row r="10" spans="1:23" x14ac:dyDescent="0.35">
      <c r="A10" s="67">
        <v>2021</v>
      </c>
      <c r="B10" s="67" t="s">
        <v>191</v>
      </c>
      <c r="C10" s="67">
        <v>8.6956521739999992</v>
      </c>
      <c r="D10" s="67">
        <v>22.826086960000001</v>
      </c>
      <c r="E10" s="67">
        <v>51.630434780000002</v>
      </c>
      <c r="F10" s="67">
        <v>16.847826090000002</v>
      </c>
      <c r="G10" s="67" t="s">
        <v>172</v>
      </c>
      <c r="H10" s="67">
        <v>-0.2</v>
      </c>
      <c r="I10" s="67">
        <v>-0.22</v>
      </c>
      <c r="J10" s="67">
        <v>0.06</v>
      </c>
      <c r="K10" s="67">
        <v>-0.09</v>
      </c>
      <c r="L10">
        <v>3.27</v>
      </c>
      <c r="M10">
        <v>3.61</v>
      </c>
      <c r="N10">
        <v>2.27</v>
      </c>
      <c r="O10">
        <v>3.67</v>
      </c>
      <c r="P10">
        <v>2.4900000000000002</v>
      </c>
      <c r="Q10">
        <v>3.43</v>
      </c>
      <c r="R10">
        <v>2.87</v>
      </c>
      <c r="S10">
        <v>2.96</v>
      </c>
      <c r="T10">
        <v>2.93</v>
      </c>
      <c r="U10">
        <v>3.09</v>
      </c>
      <c r="V10">
        <v>3.68</v>
      </c>
      <c r="W10">
        <v>2.52</v>
      </c>
    </row>
    <row r="11" spans="1:23" x14ac:dyDescent="0.35">
      <c r="A11" s="67">
        <v>2021</v>
      </c>
      <c r="B11" s="67" t="s">
        <v>192</v>
      </c>
      <c r="C11" s="67">
        <v>13.636363640000001</v>
      </c>
      <c r="D11" s="67">
        <v>15.15151515</v>
      </c>
      <c r="E11" s="67">
        <v>46.969696970000001</v>
      </c>
      <c r="F11" s="67">
        <v>24.242424239999998</v>
      </c>
      <c r="G11" s="67" t="s">
        <v>127</v>
      </c>
      <c r="H11" s="67">
        <v>-8.0000000000000002E-3</v>
      </c>
      <c r="I11" s="67">
        <v>-0.21</v>
      </c>
      <c r="J11" s="67">
        <v>0.15</v>
      </c>
      <c r="K11" s="67">
        <v>0.08</v>
      </c>
      <c r="L11">
        <v>3.49</v>
      </c>
      <c r="M11">
        <v>3.81</v>
      </c>
      <c r="N11">
        <v>2.72</v>
      </c>
      <c r="O11">
        <v>3.97</v>
      </c>
      <c r="P11">
        <v>2.74</v>
      </c>
      <c r="Q11">
        <v>3.81</v>
      </c>
      <c r="R11">
        <v>2.89</v>
      </c>
      <c r="S11">
        <v>3.11</v>
      </c>
      <c r="T11">
        <v>3.78</v>
      </c>
      <c r="U11">
        <v>3.55</v>
      </c>
      <c r="V11">
        <v>4.28</v>
      </c>
      <c r="W11">
        <v>2.83</v>
      </c>
    </row>
    <row r="12" spans="1:23" x14ac:dyDescent="0.35">
      <c r="A12" s="67">
        <v>2021</v>
      </c>
      <c r="B12" s="67" t="s">
        <v>193</v>
      </c>
      <c r="C12" s="67">
        <v>9.6774193549999996</v>
      </c>
      <c r="D12" s="67">
        <v>14.51612903</v>
      </c>
      <c r="E12" s="67">
        <v>62.903225810000002</v>
      </c>
      <c r="F12" s="67">
        <v>12.90322581</v>
      </c>
      <c r="G12" s="67" t="s">
        <v>173</v>
      </c>
      <c r="H12" s="67">
        <v>-3.0000000000000001E-3</v>
      </c>
      <c r="I12" s="67">
        <v>-0.21</v>
      </c>
      <c r="J12" s="67">
        <v>0.25</v>
      </c>
      <c r="K12" s="67">
        <v>-0.1</v>
      </c>
      <c r="L12">
        <v>3.19</v>
      </c>
      <c r="M12">
        <v>3</v>
      </c>
      <c r="N12">
        <v>2.8</v>
      </c>
      <c r="O12">
        <v>3.81</v>
      </c>
      <c r="P12">
        <v>2.81</v>
      </c>
      <c r="Q12">
        <v>4.18</v>
      </c>
      <c r="R12">
        <v>3.13</v>
      </c>
      <c r="S12">
        <v>3.75</v>
      </c>
      <c r="T12">
        <v>3.73</v>
      </c>
      <c r="U12">
        <v>3.8</v>
      </c>
      <c r="V12">
        <v>4.2699999999999996</v>
      </c>
      <c r="W12">
        <v>2.8</v>
      </c>
    </row>
    <row r="13" spans="1:23" x14ac:dyDescent="0.35">
      <c r="A13" s="67">
        <v>2021</v>
      </c>
      <c r="B13" s="67" t="s">
        <v>197</v>
      </c>
      <c r="C13" s="67">
        <v>15.254237290000001</v>
      </c>
      <c r="D13" s="67">
        <v>6.7796610169999996</v>
      </c>
      <c r="E13" s="67">
        <v>65.254237290000006</v>
      </c>
      <c r="F13" s="67">
        <v>12.71186441</v>
      </c>
      <c r="G13" s="67" t="s">
        <v>216</v>
      </c>
      <c r="H13" s="67">
        <v>-0.4</v>
      </c>
      <c r="I13" s="67">
        <v>-0.18</v>
      </c>
      <c r="J13" s="67">
        <v>0.13</v>
      </c>
      <c r="K13" s="67">
        <v>-7.0000000000000007E-2</v>
      </c>
      <c r="L13">
        <v>3.63</v>
      </c>
      <c r="M13">
        <v>3.77</v>
      </c>
      <c r="N13">
        <v>3.13</v>
      </c>
      <c r="O13">
        <v>4.0999999999999996</v>
      </c>
      <c r="P13">
        <v>2.4300000000000002</v>
      </c>
      <c r="Q13">
        <v>3.93</v>
      </c>
      <c r="R13">
        <v>3.47</v>
      </c>
      <c r="S13">
        <v>3.03</v>
      </c>
      <c r="T13">
        <v>3.73</v>
      </c>
      <c r="U13">
        <v>3.7</v>
      </c>
      <c r="V13">
        <v>4.5999999999999996</v>
      </c>
      <c r="W13">
        <v>3</v>
      </c>
    </row>
    <row r="14" spans="1:23" x14ac:dyDescent="0.35">
      <c r="A14" s="67">
        <v>2020</v>
      </c>
      <c r="B14" s="67" t="s">
        <v>60</v>
      </c>
      <c r="C14" s="67">
        <v>7.407407407</v>
      </c>
      <c r="D14" s="67">
        <v>10.18518519</v>
      </c>
      <c r="E14" s="67">
        <v>70.370370370000003</v>
      </c>
      <c r="F14" s="67">
        <v>12.03703704</v>
      </c>
      <c r="G14" s="67"/>
      <c r="L14">
        <v>3.74</v>
      </c>
      <c r="M14">
        <v>3.53</v>
      </c>
      <c r="N14">
        <v>3.2</v>
      </c>
      <c r="O14">
        <v>4</v>
      </c>
      <c r="P14">
        <v>2.76</v>
      </c>
      <c r="Q14">
        <v>3.65</v>
      </c>
      <c r="R14">
        <v>3.75</v>
      </c>
      <c r="S14">
        <v>2.78</v>
      </c>
      <c r="T14">
        <v>3.65</v>
      </c>
      <c r="U14">
        <v>3.63</v>
      </c>
      <c r="V14">
        <v>4.45</v>
      </c>
      <c r="W14">
        <v>3.59</v>
      </c>
    </row>
    <row r="15" spans="1:23" x14ac:dyDescent="0.35">
      <c r="A15" s="67">
        <v>2020</v>
      </c>
      <c r="B15" s="67" t="s">
        <v>57</v>
      </c>
      <c r="C15" s="67">
        <v>9.5652173909999991</v>
      </c>
      <c r="D15" s="67">
        <v>5.2173913040000004</v>
      </c>
      <c r="E15" s="67">
        <v>69.565217390000001</v>
      </c>
      <c r="F15" s="67">
        <v>15.65217391</v>
      </c>
      <c r="G15" s="67"/>
      <c r="L15">
        <v>3.2</v>
      </c>
      <c r="M15">
        <v>3</v>
      </c>
      <c r="N15">
        <v>2.4500000000000002</v>
      </c>
      <c r="O15">
        <v>3.9</v>
      </c>
      <c r="P15">
        <v>3.06</v>
      </c>
      <c r="Q15">
        <v>3.37</v>
      </c>
      <c r="R15">
        <v>2.5499999999999998</v>
      </c>
      <c r="S15">
        <v>3.35</v>
      </c>
      <c r="T15">
        <v>4.2</v>
      </c>
      <c r="U15">
        <v>4.05</v>
      </c>
      <c r="V15">
        <v>4.3</v>
      </c>
      <c r="W15">
        <v>3.55</v>
      </c>
    </row>
    <row r="16" spans="1:23" x14ac:dyDescent="0.35">
      <c r="A16" s="67">
        <v>2020</v>
      </c>
      <c r="B16" s="67" t="s">
        <v>56</v>
      </c>
      <c r="C16" s="67">
        <v>8.9285714289999998</v>
      </c>
      <c r="D16" s="67">
        <v>5.3571428570000004</v>
      </c>
      <c r="E16" s="67">
        <v>78.571428569999995</v>
      </c>
      <c r="F16" s="67">
        <v>7.1428571429999996</v>
      </c>
      <c r="G16" s="67"/>
      <c r="L16">
        <v>3.41</v>
      </c>
      <c r="M16">
        <v>4.0999999999999996</v>
      </c>
      <c r="N16">
        <v>3</v>
      </c>
      <c r="O16">
        <v>4.08</v>
      </c>
      <c r="P16">
        <v>3.21</v>
      </c>
      <c r="Q16">
        <v>3.85</v>
      </c>
      <c r="R16">
        <v>3.44</v>
      </c>
      <c r="S16">
        <v>2.67</v>
      </c>
      <c r="T16">
        <v>3.5</v>
      </c>
      <c r="U16">
        <v>3.56</v>
      </c>
      <c r="V16">
        <v>4.46</v>
      </c>
      <c r="W16">
        <v>2.9</v>
      </c>
    </row>
    <row r="17" spans="1:23" x14ac:dyDescent="0.35">
      <c r="A17" s="67">
        <v>2020</v>
      </c>
      <c r="B17" s="67" t="s">
        <v>38</v>
      </c>
      <c r="C17" s="67">
        <v>7.692307692</v>
      </c>
      <c r="D17" s="67">
        <v>7.692307692</v>
      </c>
      <c r="E17" s="67">
        <v>71.153846150000007</v>
      </c>
      <c r="F17" s="67">
        <v>13.46153846</v>
      </c>
      <c r="G17" s="67"/>
      <c r="L17">
        <v>3.55</v>
      </c>
      <c r="M17">
        <v>3.3</v>
      </c>
      <c r="N17">
        <v>2.69</v>
      </c>
      <c r="O17">
        <v>3.75</v>
      </c>
      <c r="P17">
        <v>2.75</v>
      </c>
      <c r="Q17">
        <v>3.49</v>
      </c>
      <c r="R17">
        <v>3.15</v>
      </c>
      <c r="S17">
        <v>2.73</v>
      </c>
      <c r="T17">
        <v>4.09</v>
      </c>
      <c r="U17">
        <v>3.96</v>
      </c>
      <c r="V17">
        <v>4.68</v>
      </c>
      <c r="W17">
        <v>3.3</v>
      </c>
    </row>
    <row r="18" spans="1:23" x14ac:dyDescent="0.35">
      <c r="A18" s="67">
        <v>2020</v>
      </c>
      <c r="B18" s="67" t="s">
        <v>58</v>
      </c>
      <c r="C18" s="67">
        <v>3.90625</v>
      </c>
      <c r="D18" s="67">
        <v>12.5</v>
      </c>
      <c r="E18" s="67">
        <v>79.6875</v>
      </c>
      <c r="F18" s="67">
        <v>3.90625</v>
      </c>
      <c r="G18" s="67"/>
      <c r="L18">
        <v>3.45</v>
      </c>
      <c r="M18">
        <v>3.27</v>
      </c>
      <c r="N18">
        <v>2.5</v>
      </c>
      <c r="O18">
        <v>3.65</v>
      </c>
      <c r="P18">
        <v>2.67</v>
      </c>
      <c r="Q18">
        <v>3.61</v>
      </c>
      <c r="R18">
        <v>3.07</v>
      </c>
      <c r="S18">
        <v>3.17</v>
      </c>
      <c r="T18">
        <v>3.74</v>
      </c>
      <c r="U18">
        <v>3.53</v>
      </c>
      <c r="V18">
        <v>4.42</v>
      </c>
      <c r="W18">
        <v>3.07</v>
      </c>
    </row>
    <row r="19" spans="1:23" x14ac:dyDescent="0.35">
      <c r="A19" s="67">
        <v>2020</v>
      </c>
      <c r="B19" s="67" t="s">
        <v>59</v>
      </c>
      <c r="C19" s="67">
        <v>11.627906980000001</v>
      </c>
      <c r="D19" s="67">
        <v>8.5271317829999997</v>
      </c>
      <c r="E19" s="67">
        <v>66.666666669999998</v>
      </c>
      <c r="F19" s="67">
        <v>13.17829457</v>
      </c>
      <c r="G19" s="67"/>
      <c r="L19">
        <v>3.92</v>
      </c>
      <c r="M19">
        <v>3.37</v>
      </c>
      <c r="N19">
        <v>3.07</v>
      </c>
      <c r="O19">
        <v>3.97</v>
      </c>
      <c r="P19">
        <v>2.5299999999999998</v>
      </c>
      <c r="Q19">
        <v>3.34</v>
      </c>
      <c r="R19">
        <v>3.27</v>
      </c>
      <c r="S19">
        <v>2.4900000000000002</v>
      </c>
      <c r="T19">
        <v>3.86</v>
      </c>
      <c r="U19">
        <v>3.9</v>
      </c>
      <c r="V19">
        <v>4.54</v>
      </c>
      <c r="W19">
        <v>3.47</v>
      </c>
    </row>
    <row r="20" spans="1:23" x14ac:dyDescent="0.35">
      <c r="A20" s="67">
        <v>2019</v>
      </c>
      <c r="B20" s="67" t="s">
        <v>81</v>
      </c>
      <c r="C20" s="67">
        <v>4.0540540539999999</v>
      </c>
      <c r="D20" s="67">
        <v>5.4054054049999998</v>
      </c>
      <c r="E20" s="67">
        <v>79.054054050000005</v>
      </c>
      <c r="F20" s="67">
        <v>11.486486490000001</v>
      </c>
      <c r="G20" s="67"/>
      <c r="L20">
        <v>3.36</v>
      </c>
      <c r="M20">
        <v>3.1</v>
      </c>
      <c r="N20">
        <v>2.8</v>
      </c>
      <c r="O20">
        <v>3.77</v>
      </c>
      <c r="P20">
        <v>2.52</v>
      </c>
      <c r="Q20">
        <v>3.25</v>
      </c>
      <c r="R20">
        <v>2.89</v>
      </c>
      <c r="S20">
        <v>2.48</v>
      </c>
      <c r="T20">
        <v>3.92</v>
      </c>
      <c r="U20">
        <v>3.78</v>
      </c>
      <c r="V20">
        <v>4.34</v>
      </c>
      <c r="W20">
        <v>3.45</v>
      </c>
    </row>
    <row r="21" spans="1:23" x14ac:dyDescent="0.35">
      <c r="A21" s="67">
        <v>2019</v>
      </c>
      <c r="B21" s="67" t="s">
        <v>189</v>
      </c>
      <c r="C21" s="67">
        <v>8.8607594939999998</v>
      </c>
      <c r="D21" s="67">
        <v>10.126582279999999</v>
      </c>
      <c r="E21" s="67">
        <v>69.620253160000004</v>
      </c>
      <c r="F21" s="67">
        <v>11.39240506</v>
      </c>
      <c r="G21" s="67"/>
      <c r="L21">
        <v>2.42</v>
      </c>
      <c r="M21">
        <v>2.67</v>
      </c>
      <c r="N21">
        <v>2.93</v>
      </c>
      <c r="O21">
        <v>3</v>
      </c>
      <c r="P21">
        <v>3.05</v>
      </c>
      <c r="Q21">
        <v>3.26</v>
      </c>
      <c r="R21">
        <v>3.3</v>
      </c>
      <c r="S21">
        <v>3.35</v>
      </c>
      <c r="T21">
        <v>3.38</v>
      </c>
      <c r="U21">
        <v>3.53</v>
      </c>
      <c r="V21">
        <v>3.09</v>
      </c>
      <c r="W21">
        <v>3.76</v>
      </c>
    </row>
    <row r="22" spans="1:23" x14ac:dyDescent="0.35">
      <c r="A22" s="67">
        <v>2019</v>
      </c>
      <c r="B22" s="67" t="s">
        <v>194</v>
      </c>
      <c r="C22" s="67">
        <v>5.8333333329999997</v>
      </c>
      <c r="D22" s="67">
        <v>11.66666667</v>
      </c>
      <c r="E22" s="67">
        <v>80.833333330000002</v>
      </c>
      <c r="F22" s="67">
        <v>1.6666666670000001</v>
      </c>
      <c r="G22" s="67"/>
      <c r="L22">
        <v>3.08</v>
      </c>
      <c r="M22">
        <v>3.69</v>
      </c>
      <c r="N22">
        <v>2.89</v>
      </c>
      <c r="O22">
        <v>3.76</v>
      </c>
      <c r="P22">
        <v>2.97</v>
      </c>
      <c r="Q22">
        <v>3.89</v>
      </c>
      <c r="R22">
        <v>2.89</v>
      </c>
      <c r="S22">
        <v>3.08</v>
      </c>
      <c r="T22">
        <v>3.43</v>
      </c>
      <c r="U22">
        <v>3.58</v>
      </c>
      <c r="V22">
        <v>3.92</v>
      </c>
      <c r="W22">
        <v>3.03</v>
      </c>
    </row>
    <row r="23" spans="1:23" x14ac:dyDescent="0.35">
      <c r="A23" s="67">
        <v>2018</v>
      </c>
      <c r="B23" s="67" t="s">
        <v>181</v>
      </c>
      <c r="C23" s="67">
        <v>7.4626865670000004</v>
      </c>
      <c r="D23" s="67">
        <v>14.179104479999999</v>
      </c>
      <c r="E23" s="67">
        <v>63.432835820000001</v>
      </c>
      <c r="F23" s="67">
        <v>14.925373130000001</v>
      </c>
      <c r="G23" s="67"/>
      <c r="L23">
        <v>3.14</v>
      </c>
      <c r="M23">
        <v>3.37</v>
      </c>
      <c r="N23">
        <v>2.3199999999999998</v>
      </c>
      <c r="O23">
        <v>4</v>
      </c>
      <c r="P23">
        <v>2.4300000000000002</v>
      </c>
      <c r="Q23">
        <v>3.51</v>
      </c>
      <c r="R23">
        <v>2.74</v>
      </c>
      <c r="S23">
        <v>2.34</v>
      </c>
      <c r="T23">
        <v>3.49</v>
      </c>
      <c r="U23">
        <v>3.43</v>
      </c>
      <c r="V23">
        <v>4.2300000000000004</v>
      </c>
      <c r="W23">
        <v>3.8</v>
      </c>
    </row>
    <row r="24" spans="1:23" x14ac:dyDescent="0.35">
      <c r="A24" s="67">
        <v>2018</v>
      </c>
      <c r="B24" s="67" t="s">
        <v>182</v>
      </c>
      <c r="C24" s="67">
        <v>8.8888888890000004</v>
      </c>
      <c r="D24" s="67">
        <v>10.37037037</v>
      </c>
      <c r="E24" s="67">
        <v>70.895522389999996</v>
      </c>
      <c r="F24" s="67">
        <v>10.37037037</v>
      </c>
      <c r="G24" s="67"/>
      <c r="L24">
        <v>3.64</v>
      </c>
      <c r="M24">
        <v>3.43</v>
      </c>
      <c r="N24">
        <v>3.08</v>
      </c>
      <c r="O24">
        <v>3.64</v>
      </c>
      <c r="P24">
        <v>3</v>
      </c>
      <c r="Q24">
        <v>3.5</v>
      </c>
      <c r="R24">
        <v>3.35</v>
      </c>
      <c r="S24">
        <v>2.65</v>
      </c>
      <c r="T24">
        <v>3.88</v>
      </c>
      <c r="U24">
        <v>3.96</v>
      </c>
      <c r="V24">
        <v>4.46</v>
      </c>
      <c r="W24">
        <v>3.13</v>
      </c>
    </row>
    <row r="25" spans="1:23" x14ac:dyDescent="0.35">
      <c r="A25" s="67">
        <v>2018</v>
      </c>
      <c r="B25" s="67" t="s">
        <v>185</v>
      </c>
      <c r="C25" s="67">
        <v>8.2474226799999997</v>
      </c>
      <c r="D25" s="67">
        <v>18.556701029999999</v>
      </c>
      <c r="E25" s="67">
        <v>63.917525769999997</v>
      </c>
      <c r="F25" s="67">
        <v>9.2783505149999996</v>
      </c>
      <c r="G25" s="67"/>
      <c r="L25">
        <v>3.63</v>
      </c>
      <c r="M25">
        <v>4.0599999999999996</v>
      </c>
      <c r="N25">
        <v>3.28</v>
      </c>
      <c r="O25">
        <v>4.22</v>
      </c>
      <c r="P25">
        <v>2.61</v>
      </c>
      <c r="Q25">
        <v>3.22</v>
      </c>
      <c r="R25">
        <v>2.83</v>
      </c>
      <c r="S25">
        <v>3.06</v>
      </c>
      <c r="T25">
        <v>3.61</v>
      </c>
      <c r="U25">
        <v>3.83</v>
      </c>
      <c r="V25">
        <v>4.17</v>
      </c>
      <c r="W25">
        <v>3.28</v>
      </c>
    </row>
    <row r="26" spans="1:23" x14ac:dyDescent="0.35">
      <c r="A26" s="67">
        <v>2018</v>
      </c>
      <c r="B26" s="67" t="s">
        <v>186</v>
      </c>
      <c r="C26" s="67">
        <v>3.7313432839999998</v>
      </c>
      <c r="D26" s="67">
        <v>10.44776119</v>
      </c>
      <c r="E26" s="67">
        <v>76.865671640000002</v>
      </c>
      <c r="F26" s="67">
        <v>8.9552238810000002</v>
      </c>
      <c r="G26" s="67"/>
      <c r="L26">
        <v>3.27</v>
      </c>
      <c r="M26">
        <v>3.94</v>
      </c>
      <c r="N26">
        <v>2.5</v>
      </c>
      <c r="O26">
        <v>4.38</v>
      </c>
      <c r="P26">
        <v>2</v>
      </c>
      <c r="Q26">
        <v>3.25</v>
      </c>
      <c r="R26">
        <v>2.75</v>
      </c>
      <c r="S26">
        <v>2.56</v>
      </c>
      <c r="T26">
        <v>3.38</v>
      </c>
      <c r="U26">
        <v>3.31</v>
      </c>
      <c r="V26">
        <v>3.94</v>
      </c>
      <c r="W26">
        <v>3.94</v>
      </c>
    </row>
    <row r="27" spans="1:23" x14ac:dyDescent="0.35">
      <c r="A27" s="67">
        <v>2018</v>
      </c>
      <c r="B27" s="67" t="s">
        <v>195</v>
      </c>
      <c r="C27" s="67">
        <v>7.4380165290000004</v>
      </c>
      <c r="D27" s="67">
        <v>15.70247934</v>
      </c>
      <c r="E27" s="67">
        <v>64.462809919999998</v>
      </c>
      <c r="F27" s="67">
        <v>12.39669421</v>
      </c>
      <c r="G27" s="67"/>
      <c r="L27">
        <v>3.38</v>
      </c>
      <c r="M27">
        <v>3.91</v>
      </c>
      <c r="N27">
        <v>2.38</v>
      </c>
      <c r="O27">
        <v>3.68</v>
      </c>
      <c r="P27">
        <v>2.59</v>
      </c>
      <c r="Q27">
        <v>3.61</v>
      </c>
      <c r="R27">
        <v>3.17</v>
      </c>
      <c r="S27">
        <v>2.95</v>
      </c>
      <c r="T27">
        <v>3.5</v>
      </c>
      <c r="U27">
        <v>3.55</v>
      </c>
      <c r="V27">
        <v>4.17</v>
      </c>
      <c r="W27">
        <v>3</v>
      </c>
    </row>
    <row r="28" spans="1:23" x14ac:dyDescent="0.35">
      <c r="A28" s="67">
        <v>2017</v>
      </c>
      <c r="B28" s="67" t="s">
        <v>176</v>
      </c>
      <c r="C28" s="67">
        <v>5.8139534880000001</v>
      </c>
      <c r="D28" s="67">
        <v>8.7209302330000007</v>
      </c>
      <c r="E28" s="67">
        <v>77.906976740000005</v>
      </c>
      <c r="F28" s="67">
        <v>7.5581395349999996</v>
      </c>
      <c r="G28" s="67"/>
      <c r="L28">
        <v>3.36</v>
      </c>
      <c r="M28">
        <v>3.32</v>
      </c>
      <c r="N28">
        <v>3</v>
      </c>
      <c r="O28">
        <v>3.89</v>
      </c>
      <c r="P28">
        <v>2.33</v>
      </c>
      <c r="Q28">
        <v>2.7</v>
      </c>
      <c r="R28">
        <v>3.11</v>
      </c>
      <c r="S28">
        <v>2.63</v>
      </c>
      <c r="T28">
        <v>3.72</v>
      </c>
      <c r="U28">
        <v>3.52</v>
      </c>
      <c r="V28">
        <v>4.07</v>
      </c>
      <c r="W28">
        <v>3.18</v>
      </c>
    </row>
    <row r="29" spans="1:23" x14ac:dyDescent="0.35">
      <c r="A29" s="67">
        <v>2017</v>
      </c>
      <c r="B29" s="67" t="s">
        <v>180</v>
      </c>
      <c r="C29" s="67">
        <v>6.9364161849999997</v>
      </c>
      <c r="D29" s="67">
        <v>11.56069364</v>
      </c>
      <c r="E29" s="67">
        <v>64.73988439</v>
      </c>
      <c r="F29" s="67">
        <v>16.76300578</v>
      </c>
      <c r="G29" s="67"/>
      <c r="L29">
        <v>3.37</v>
      </c>
      <c r="M29">
        <v>3.15</v>
      </c>
      <c r="N29">
        <v>2.76</v>
      </c>
      <c r="O29">
        <v>3.78</v>
      </c>
      <c r="P29">
        <v>2.92</v>
      </c>
      <c r="Q29">
        <v>3.66</v>
      </c>
      <c r="R29">
        <v>3.25</v>
      </c>
      <c r="S29">
        <v>3.02</v>
      </c>
      <c r="T29">
        <v>4.0199999999999996</v>
      </c>
      <c r="U29">
        <v>3.73</v>
      </c>
      <c r="V29">
        <v>4.41</v>
      </c>
      <c r="W29">
        <v>3.5</v>
      </c>
    </row>
    <row r="30" spans="1:23" x14ac:dyDescent="0.35">
      <c r="A30" s="67">
        <v>2017</v>
      </c>
      <c r="B30" s="67" t="s">
        <v>187</v>
      </c>
      <c r="C30" s="67">
        <v>5</v>
      </c>
      <c r="D30" s="67">
        <v>5.5</v>
      </c>
      <c r="E30" s="67">
        <v>84.5</v>
      </c>
      <c r="F30" s="67">
        <v>5</v>
      </c>
      <c r="G30" s="67"/>
      <c r="L30">
        <v>3</v>
      </c>
      <c r="M30">
        <v>3.5</v>
      </c>
      <c r="N30">
        <v>2.65</v>
      </c>
      <c r="O30">
        <v>3.88</v>
      </c>
      <c r="P30">
        <v>2.75</v>
      </c>
      <c r="Q30">
        <v>3.67</v>
      </c>
      <c r="R30">
        <v>3</v>
      </c>
      <c r="S30">
        <v>2.96</v>
      </c>
      <c r="T30">
        <v>3.67</v>
      </c>
      <c r="U30">
        <v>3.88</v>
      </c>
      <c r="V30">
        <v>4.24</v>
      </c>
      <c r="W30">
        <v>3.04</v>
      </c>
    </row>
    <row r="31" spans="1:23" x14ac:dyDescent="0.35">
      <c r="A31" s="67">
        <v>2017</v>
      </c>
      <c r="B31" s="67" t="s">
        <v>95</v>
      </c>
      <c r="C31" s="67">
        <v>10.695187170000001</v>
      </c>
      <c r="D31" s="67">
        <v>11.764705879999999</v>
      </c>
      <c r="E31" s="67">
        <v>64.171122990000001</v>
      </c>
      <c r="F31" s="67">
        <v>13.36898396</v>
      </c>
      <c r="G31" s="67"/>
      <c r="L31">
        <v>3</v>
      </c>
      <c r="M31">
        <v>3.27</v>
      </c>
      <c r="N31">
        <v>2.92</v>
      </c>
      <c r="O31">
        <v>3.68</v>
      </c>
      <c r="P31">
        <v>2.54</v>
      </c>
      <c r="Q31">
        <v>3.61</v>
      </c>
      <c r="R31">
        <v>3.17</v>
      </c>
      <c r="S31">
        <v>3</v>
      </c>
      <c r="T31">
        <v>3.03</v>
      </c>
      <c r="U31">
        <v>3.11</v>
      </c>
      <c r="V31">
        <v>4.3499999999999996</v>
      </c>
      <c r="W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50D-99FF-4454-B5DF-55352D2C47A9}">
  <dimension ref="A1:B16"/>
  <sheetViews>
    <sheetView workbookViewId="0">
      <selection activeCell="E8" sqref="E8"/>
    </sheetView>
  </sheetViews>
  <sheetFormatPr defaultRowHeight="14.5" x14ac:dyDescent="0.35"/>
  <sheetData>
    <row r="1" spans="1:2" ht="19.5" x14ac:dyDescent="0.35">
      <c r="A1" s="91" t="s">
        <v>219</v>
      </c>
      <c r="B1" s="90">
        <v>0.15456780000000001</v>
      </c>
    </row>
    <row r="2" spans="1:2" ht="19.5" x14ac:dyDescent="0.35">
      <c r="A2" s="91" t="s">
        <v>207</v>
      </c>
      <c r="B2" s="90">
        <v>0.2548357</v>
      </c>
    </row>
    <row r="3" spans="1:2" ht="19.5" x14ac:dyDescent="0.35">
      <c r="A3" s="91" t="s">
        <v>208</v>
      </c>
      <c r="B3" s="90">
        <v>0.49806509999999998</v>
      </c>
    </row>
    <row r="4" spans="1:2" ht="19.5" x14ac:dyDescent="0.35">
      <c r="A4" s="91" t="s">
        <v>209</v>
      </c>
      <c r="B4" s="90">
        <v>0.14222750000000001</v>
      </c>
    </row>
    <row r="5" spans="1:2" ht="19.5" x14ac:dyDescent="0.35">
      <c r="A5" s="91" t="s">
        <v>210</v>
      </c>
      <c r="B5" s="90">
        <v>0.25484839999999997</v>
      </c>
    </row>
    <row r="6" spans="1:2" ht="19.5" x14ac:dyDescent="0.35">
      <c r="A6" s="91" t="s">
        <v>220</v>
      </c>
      <c r="B6" s="90">
        <v>-5.0515289999999997E-2</v>
      </c>
    </row>
    <row r="7" spans="1:2" ht="19.5" x14ac:dyDescent="0.35">
      <c r="A7" s="91" t="s">
        <v>212</v>
      </c>
      <c r="B7" s="90">
        <v>0.25493209999999999</v>
      </c>
    </row>
    <row r="8" spans="1:2" ht="19.5" x14ac:dyDescent="0.35">
      <c r="A8" s="91" t="s">
        <v>213</v>
      </c>
      <c r="B8" s="90">
        <v>-0.24317440000000001</v>
      </c>
    </row>
    <row r="9" spans="1:2" ht="19.5" x14ac:dyDescent="0.35">
      <c r="A9" s="91" t="s">
        <v>127</v>
      </c>
      <c r="B9" s="90">
        <v>-0.2880143</v>
      </c>
    </row>
    <row r="10" spans="1:2" ht="19.5" x14ac:dyDescent="0.35">
      <c r="A10" s="91" t="s">
        <v>215</v>
      </c>
      <c r="B10" s="90">
        <v>-0.33599129999999999</v>
      </c>
    </row>
    <row r="11" spans="1:2" ht="19.5" x14ac:dyDescent="0.35">
      <c r="A11" s="91" t="s">
        <v>171</v>
      </c>
      <c r="B11" s="90">
        <v>-0.25714949999999998</v>
      </c>
    </row>
    <row r="12" spans="1:2" ht="19.5" x14ac:dyDescent="0.35">
      <c r="A12" s="91" t="s">
        <v>221</v>
      </c>
      <c r="B12" s="90">
        <v>-0.128553</v>
      </c>
    </row>
    <row r="13" spans="1:2" ht="19.5" x14ac:dyDescent="0.35">
      <c r="A13" s="91" t="s">
        <v>216</v>
      </c>
      <c r="B13" s="90">
        <v>-0.12857089999999999</v>
      </c>
    </row>
    <row r="14" spans="1:2" ht="19.5" x14ac:dyDescent="0.35">
      <c r="A14" s="91" t="s">
        <v>218</v>
      </c>
      <c r="B14" s="90">
        <v>-9.727653E-2</v>
      </c>
    </row>
    <row r="15" spans="1:2" ht="19.5" x14ac:dyDescent="0.35">
      <c r="A15" s="91" t="s">
        <v>222</v>
      </c>
      <c r="B15" s="90">
        <v>-0.12584970000000001</v>
      </c>
    </row>
    <row r="16" spans="1:2" ht="19.5" x14ac:dyDescent="0.35">
      <c r="A16" s="91" t="s">
        <v>223</v>
      </c>
      <c r="B16" s="90">
        <v>-0.1490937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949D-8A83-411E-B666-317DBF946227}">
  <dimension ref="A1:Q31"/>
  <sheetViews>
    <sheetView workbookViewId="0">
      <selection activeCell="P20" sqref="P20"/>
    </sheetView>
  </sheetViews>
  <sheetFormatPr defaultRowHeight="14.5" x14ac:dyDescent="0.35"/>
  <sheetData>
    <row r="1" spans="1:17" ht="15.5" x14ac:dyDescent="0.35">
      <c r="A1" t="s">
        <v>118</v>
      </c>
      <c r="B1" t="s">
        <v>164</v>
      </c>
      <c r="C1" t="s">
        <v>119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127</v>
      </c>
      <c r="M1" t="s">
        <v>173</v>
      </c>
      <c r="N1" t="s">
        <v>174</v>
      </c>
      <c r="P1" s="90" t="s">
        <v>205</v>
      </c>
      <c r="Q1" s="90" t="s">
        <v>163</v>
      </c>
    </row>
    <row r="2" spans="1:17" ht="15.5" x14ac:dyDescent="0.35">
      <c r="A2" t="s">
        <v>10</v>
      </c>
      <c r="B2">
        <v>4.76</v>
      </c>
      <c r="C2">
        <v>3.92</v>
      </c>
      <c r="D2">
        <v>3.37</v>
      </c>
      <c r="E2">
        <v>3.07</v>
      </c>
      <c r="F2">
        <v>3.97</v>
      </c>
      <c r="G2">
        <v>2.5299999999999998</v>
      </c>
      <c r="H2">
        <v>3.34</v>
      </c>
      <c r="I2">
        <v>3.27</v>
      </c>
      <c r="J2">
        <v>2.4900000000000002</v>
      </c>
      <c r="K2">
        <v>3.86</v>
      </c>
      <c r="L2">
        <v>3.9</v>
      </c>
      <c r="M2">
        <v>4.54</v>
      </c>
      <c r="N2">
        <v>3.47</v>
      </c>
      <c r="P2" s="90" t="s">
        <v>206</v>
      </c>
      <c r="Q2" s="90">
        <v>-8.0191170000000006E-2</v>
      </c>
    </row>
    <row r="3" spans="1:17" ht="15.5" x14ac:dyDescent="0.35">
      <c r="A3" t="s">
        <v>146</v>
      </c>
      <c r="B3">
        <v>6.01</v>
      </c>
      <c r="C3">
        <v>3.14</v>
      </c>
      <c r="D3">
        <v>3.37</v>
      </c>
      <c r="E3">
        <v>2.3199999999999998</v>
      </c>
      <c r="F3">
        <v>4</v>
      </c>
      <c r="G3">
        <v>2.4300000000000002</v>
      </c>
      <c r="H3">
        <v>3.51</v>
      </c>
      <c r="I3">
        <v>2.74</v>
      </c>
      <c r="J3">
        <v>2.34</v>
      </c>
      <c r="K3">
        <v>3.49</v>
      </c>
      <c r="L3">
        <v>3.43</v>
      </c>
      <c r="M3">
        <v>4.2300000000000004</v>
      </c>
      <c r="N3">
        <v>3.8</v>
      </c>
      <c r="P3" s="90" t="s">
        <v>207</v>
      </c>
      <c r="Q3" s="90">
        <v>-0.21181240000000001</v>
      </c>
    </row>
    <row r="4" spans="1:17" ht="15.5" x14ac:dyDescent="0.35">
      <c r="A4" t="s">
        <v>135</v>
      </c>
      <c r="B4">
        <v>6.92</v>
      </c>
      <c r="C4">
        <v>2.44</v>
      </c>
      <c r="D4">
        <v>3.08</v>
      </c>
      <c r="E4">
        <v>2.1800000000000002</v>
      </c>
      <c r="F4">
        <v>3.11</v>
      </c>
      <c r="G4">
        <v>2</v>
      </c>
      <c r="H4">
        <v>3.66</v>
      </c>
      <c r="I4">
        <v>2.2000000000000002</v>
      </c>
      <c r="J4">
        <v>2.31</v>
      </c>
      <c r="K4">
        <v>3.29</v>
      </c>
      <c r="L4">
        <v>3.67</v>
      </c>
      <c r="M4">
        <v>4.08</v>
      </c>
      <c r="N4">
        <v>3.08</v>
      </c>
      <c r="P4" s="90" t="s">
        <v>208</v>
      </c>
      <c r="Q4" s="90">
        <v>-8.6763110000000004E-2</v>
      </c>
    </row>
    <row r="5" spans="1:17" ht="15.5" x14ac:dyDescent="0.35">
      <c r="A5" t="s">
        <v>137</v>
      </c>
      <c r="B5">
        <v>6.23</v>
      </c>
      <c r="C5">
        <v>3.63</v>
      </c>
      <c r="D5">
        <v>3.77</v>
      </c>
      <c r="E5">
        <v>3.13</v>
      </c>
      <c r="F5">
        <v>4.0999999999999996</v>
      </c>
      <c r="G5">
        <v>2.4300000000000002</v>
      </c>
      <c r="H5">
        <v>3.93</v>
      </c>
      <c r="I5">
        <v>3.47</v>
      </c>
      <c r="J5">
        <v>3.03</v>
      </c>
      <c r="K5">
        <v>3.73</v>
      </c>
      <c r="L5">
        <v>3.7</v>
      </c>
      <c r="M5">
        <v>4.5999999999999996</v>
      </c>
      <c r="N5">
        <v>3</v>
      </c>
      <c r="P5" s="90" t="s">
        <v>209</v>
      </c>
      <c r="Q5" s="90">
        <v>-0.28159980000000001</v>
      </c>
    </row>
    <row r="6" spans="1:17" ht="15.5" x14ac:dyDescent="0.35">
      <c r="A6" t="s">
        <v>130</v>
      </c>
      <c r="B6">
        <v>5.41</v>
      </c>
      <c r="C6">
        <v>2.67</v>
      </c>
      <c r="D6">
        <v>2.67</v>
      </c>
      <c r="E6">
        <v>2</v>
      </c>
      <c r="F6">
        <v>3</v>
      </c>
      <c r="G6">
        <v>2.33</v>
      </c>
      <c r="H6">
        <v>2.67</v>
      </c>
      <c r="I6">
        <v>2</v>
      </c>
      <c r="J6">
        <v>2.33</v>
      </c>
      <c r="K6">
        <v>2.67</v>
      </c>
      <c r="L6">
        <v>4</v>
      </c>
      <c r="M6">
        <v>3.33</v>
      </c>
      <c r="N6">
        <v>2.67</v>
      </c>
      <c r="P6" s="90" t="s">
        <v>210</v>
      </c>
      <c r="Q6" s="90">
        <v>-0.1111775</v>
      </c>
    </row>
    <row r="7" spans="1:17" ht="15.5" x14ac:dyDescent="0.35">
      <c r="A7" t="s">
        <v>30</v>
      </c>
      <c r="B7">
        <v>4.76</v>
      </c>
      <c r="C7">
        <v>3.08</v>
      </c>
      <c r="D7">
        <v>3.69</v>
      </c>
      <c r="E7">
        <v>2.89</v>
      </c>
      <c r="F7">
        <v>3.76</v>
      </c>
      <c r="G7">
        <v>2.97</v>
      </c>
      <c r="H7">
        <v>3.89</v>
      </c>
      <c r="I7">
        <v>2.89</v>
      </c>
      <c r="J7">
        <v>3.08</v>
      </c>
      <c r="K7">
        <v>3.43</v>
      </c>
      <c r="L7">
        <v>3.58</v>
      </c>
      <c r="M7">
        <v>3.92</v>
      </c>
      <c r="N7">
        <v>3.03</v>
      </c>
      <c r="P7" s="90" t="s">
        <v>211</v>
      </c>
      <c r="Q7" s="90">
        <v>0.57182259999999996</v>
      </c>
    </row>
    <row r="8" spans="1:17" ht="15.5" x14ac:dyDescent="0.35">
      <c r="A8" t="s">
        <v>158</v>
      </c>
      <c r="B8">
        <v>4.75</v>
      </c>
      <c r="C8">
        <v>3.36</v>
      </c>
      <c r="D8">
        <v>3.32</v>
      </c>
      <c r="E8">
        <v>3</v>
      </c>
      <c r="F8">
        <v>3.89</v>
      </c>
      <c r="G8">
        <v>2.33</v>
      </c>
      <c r="H8">
        <v>2.7</v>
      </c>
      <c r="I8">
        <v>3.11</v>
      </c>
      <c r="J8">
        <v>2.63</v>
      </c>
      <c r="K8">
        <v>3.72</v>
      </c>
      <c r="L8">
        <v>3.52</v>
      </c>
      <c r="M8">
        <v>4.07</v>
      </c>
      <c r="N8">
        <v>3.18</v>
      </c>
      <c r="P8" s="90" t="s">
        <v>212</v>
      </c>
      <c r="Q8" s="90">
        <v>-0.20290569999999999</v>
      </c>
    </row>
    <row r="9" spans="1:17" ht="15.5" x14ac:dyDescent="0.35">
      <c r="A9" t="s">
        <v>159</v>
      </c>
      <c r="B9">
        <v>6.04</v>
      </c>
      <c r="C9">
        <v>3.37</v>
      </c>
      <c r="D9">
        <v>3.15</v>
      </c>
      <c r="E9">
        <v>2.76</v>
      </c>
      <c r="F9">
        <v>3.78</v>
      </c>
      <c r="G9">
        <v>2.92</v>
      </c>
      <c r="H9">
        <v>3.66</v>
      </c>
      <c r="I9">
        <v>3.25</v>
      </c>
      <c r="J9">
        <v>3.02</v>
      </c>
      <c r="K9">
        <v>4.0199999999999996</v>
      </c>
      <c r="L9">
        <v>3.73</v>
      </c>
      <c r="M9">
        <v>4.41</v>
      </c>
      <c r="N9">
        <v>3.5</v>
      </c>
      <c r="P9" s="90" t="s">
        <v>213</v>
      </c>
      <c r="Q9" s="90">
        <v>-1.5730689999999999E-2</v>
      </c>
    </row>
    <row r="10" spans="1:17" ht="15.5" x14ac:dyDescent="0.35">
      <c r="A10" t="s">
        <v>116</v>
      </c>
      <c r="B10">
        <v>5.51</v>
      </c>
      <c r="C10">
        <v>3.63</v>
      </c>
      <c r="D10">
        <v>4.0599999999999996</v>
      </c>
      <c r="E10">
        <v>3.28</v>
      </c>
      <c r="F10">
        <v>4.22</v>
      </c>
      <c r="G10">
        <v>2.61</v>
      </c>
      <c r="H10">
        <v>3.22</v>
      </c>
      <c r="I10">
        <v>2.83</v>
      </c>
      <c r="J10">
        <v>3.06</v>
      </c>
      <c r="K10">
        <v>3.61</v>
      </c>
      <c r="L10">
        <v>3.83</v>
      </c>
      <c r="M10">
        <v>4.17</v>
      </c>
      <c r="N10">
        <v>3.28</v>
      </c>
      <c r="P10" s="90" t="s">
        <v>127</v>
      </c>
      <c r="Q10" s="90">
        <v>7.2131810000000005E-2</v>
      </c>
    </row>
    <row r="11" spans="1:17" ht="15.5" x14ac:dyDescent="0.35">
      <c r="A11" t="s">
        <v>82</v>
      </c>
      <c r="B11">
        <v>6.28</v>
      </c>
      <c r="C11">
        <v>3.27</v>
      </c>
      <c r="D11">
        <v>3.61</v>
      </c>
      <c r="E11">
        <v>2.27</v>
      </c>
      <c r="F11">
        <v>3.67</v>
      </c>
      <c r="G11">
        <v>2.4900000000000002</v>
      </c>
      <c r="H11">
        <v>3.43</v>
      </c>
      <c r="I11">
        <v>2.87</v>
      </c>
      <c r="J11">
        <v>2.96</v>
      </c>
      <c r="K11">
        <v>2.93</v>
      </c>
      <c r="L11">
        <v>3.09</v>
      </c>
      <c r="M11">
        <v>3.68</v>
      </c>
      <c r="N11">
        <v>2.52</v>
      </c>
      <c r="P11" s="90" t="s">
        <v>214</v>
      </c>
      <c r="Q11" s="90">
        <v>1.786298E-3</v>
      </c>
    </row>
    <row r="12" spans="1:17" ht="15.5" x14ac:dyDescent="0.35">
      <c r="A12" t="s">
        <v>55</v>
      </c>
      <c r="B12">
        <v>5.28</v>
      </c>
      <c r="C12">
        <v>3.2</v>
      </c>
      <c r="D12">
        <v>3</v>
      </c>
      <c r="E12">
        <v>2.4500000000000002</v>
      </c>
      <c r="F12">
        <v>3.9</v>
      </c>
      <c r="G12">
        <v>3.06</v>
      </c>
      <c r="H12">
        <v>3.37</v>
      </c>
      <c r="I12">
        <v>2.5499999999999998</v>
      </c>
      <c r="J12">
        <v>3.35</v>
      </c>
      <c r="K12">
        <v>4.2</v>
      </c>
      <c r="L12">
        <v>4.05</v>
      </c>
      <c r="M12">
        <v>4.3</v>
      </c>
      <c r="N12">
        <v>3.55</v>
      </c>
      <c r="P12" s="90" t="s">
        <v>215</v>
      </c>
      <c r="Q12" s="90">
        <v>8.8619119999999996E-2</v>
      </c>
    </row>
    <row r="13" spans="1:17" ht="15.5" x14ac:dyDescent="0.35">
      <c r="A13" t="s">
        <v>132</v>
      </c>
      <c r="B13">
        <v>5.43</v>
      </c>
      <c r="C13">
        <v>3.31</v>
      </c>
      <c r="D13">
        <v>3.58</v>
      </c>
      <c r="E13">
        <v>3.21</v>
      </c>
      <c r="F13">
        <v>3.86</v>
      </c>
      <c r="G13">
        <v>2.5299999999999998</v>
      </c>
      <c r="H13">
        <v>3.5</v>
      </c>
      <c r="I13">
        <v>3.12</v>
      </c>
      <c r="J13">
        <v>2.92</v>
      </c>
      <c r="K13">
        <v>3.66</v>
      </c>
      <c r="L13">
        <v>3.56</v>
      </c>
      <c r="M13">
        <v>4.29</v>
      </c>
      <c r="N13">
        <v>3.48</v>
      </c>
      <c r="P13" s="90" t="s">
        <v>216</v>
      </c>
      <c r="Q13" s="90">
        <v>-0.15859190000000001</v>
      </c>
    </row>
    <row r="14" spans="1:17" ht="15.5" x14ac:dyDescent="0.35">
      <c r="A14" t="s">
        <v>139</v>
      </c>
      <c r="B14">
        <v>6.84</v>
      </c>
      <c r="C14">
        <v>3.41</v>
      </c>
      <c r="D14">
        <v>4.0999999999999996</v>
      </c>
      <c r="E14">
        <v>3</v>
      </c>
      <c r="F14">
        <v>4.08</v>
      </c>
      <c r="G14">
        <v>3.21</v>
      </c>
      <c r="H14">
        <v>3.85</v>
      </c>
      <c r="I14">
        <v>3.44</v>
      </c>
      <c r="J14">
        <v>2.67</v>
      </c>
      <c r="K14">
        <v>3.5</v>
      </c>
      <c r="L14">
        <v>3.56</v>
      </c>
      <c r="M14">
        <v>4.46</v>
      </c>
      <c r="N14">
        <v>2.9</v>
      </c>
      <c r="P14" s="90" t="s">
        <v>217</v>
      </c>
      <c r="Q14" s="90">
        <v>-0.23691019999999999</v>
      </c>
    </row>
    <row r="15" spans="1:17" ht="15.5" x14ac:dyDescent="0.35">
      <c r="A15" t="s">
        <v>160</v>
      </c>
      <c r="B15">
        <v>5.72</v>
      </c>
      <c r="C15">
        <v>3</v>
      </c>
      <c r="D15">
        <v>3.5</v>
      </c>
      <c r="E15">
        <v>2.65</v>
      </c>
      <c r="F15">
        <v>3.88</v>
      </c>
      <c r="G15">
        <v>2.75</v>
      </c>
      <c r="H15">
        <v>3.67</v>
      </c>
      <c r="I15">
        <v>3</v>
      </c>
      <c r="J15">
        <v>2.96</v>
      </c>
      <c r="K15">
        <v>3.67</v>
      </c>
      <c r="L15">
        <v>3.88</v>
      </c>
      <c r="M15">
        <v>4.24</v>
      </c>
      <c r="N15">
        <v>3.04</v>
      </c>
      <c r="P15" s="90" t="s">
        <v>218</v>
      </c>
      <c r="Q15" s="90">
        <v>-0.19362109999999999</v>
      </c>
    </row>
    <row r="16" spans="1:17" ht="15.5" x14ac:dyDescent="0.35">
      <c r="A16" t="s">
        <v>161</v>
      </c>
      <c r="B16">
        <v>5.72</v>
      </c>
      <c r="C16">
        <v>3</v>
      </c>
      <c r="D16">
        <v>3.27</v>
      </c>
      <c r="E16">
        <v>2.92</v>
      </c>
      <c r="F16">
        <v>3.68</v>
      </c>
      <c r="G16">
        <v>2.54</v>
      </c>
      <c r="H16">
        <v>3.61</v>
      </c>
      <c r="I16">
        <v>3.17</v>
      </c>
      <c r="J16">
        <v>3</v>
      </c>
      <c r="K16">
        <v>3.03</v>
      </c>
      <c r="L16">
        <v>3.11</v>
      </c>
      <c r="M16">
        <v>4.3499999999999996</v>
      </c>
      <c r="N16">
        <v>3</v>
      </c>
      <c r="P16" s="90"/>
      <c r="Q16" s="90"/>
    </row>
    <row r="17" spans="1:14" x14ac:dyDescent="0.35">
      <c r="A17" t="s">
        <v>142</v>
      </c>
      <c r="B17">
        <v>3.36</v>
      </c>
      <c r="C17">
        <v>2.42</v>
      </c>
      <c r="D17">
        <v>2.67</v>
      </c>
      <c r="E17">
        <v>2.93</v>
      </c>
      <c r="F17">
        <v>3</v>
      </c>
      <c r="G17">
        <v>3.05</v>
      </c>
      <c r="H17">
        <v>3.26</v>
      </c>
      <c r="I17">
        <v>3.3</v>
      </c>
      <c r="J17">
        <v>3.35</v>
      </c>
      <c r="K17">
        <v>3.38</v>
      </c>
      <c r="L17">
        <v>3.53</v>
      </c>
      <c r="M17">
        <v>3.09</v>
      </c>
      <c r="N17">
        <v>3.76</v>
      </c>
    </row>
    <row r="18" spans="1:14" x14ac:dyDescent="0.35">
      <c r="A18" t="s">
        <v>85</v>
      </c>
      <c r="B18">
        <v>5.09</v>
      </c>
      <c r="C18">
        <v>3.36</v>
      </c>
      <c r="D18">
        <v>3.1</v>
      </c>
      <c r="E18">
        <v>2.8</v>
      </c>
      <c r="F18">
        <v>3.77</v>
      </c>
      <c r="G18">
        <v>2.52</v>
      </c>
      <c r="H18">
        <v>3.25</v>
      </c>
      <c r="I18">
        <v>2.89</v>
      </c>
      <c r="J18">
        <v>2.48</v>
      </c>
      <c r="K18">
        <v>3.92</v>
      </c>
      <c r="L18">
        <v>3.78</v>
      </c>
      <c r="M18">
        <v>4.34</v>
      </c>
      <c r="N18">
        <v>3.45</v>
      </c>
    </row>
    <row r="19" spans="1:14" x14ac:dyDescent="0.35">
      <c r="A19" t="s">
        <v>115</v>
      </c>
      <c r="B19">
        <v>6</v>
      </c>
      <c r="C19">
        <v>3.27</v>
      </c>
      <c r="D19">
        <v>3.94</v>
      </c>
      <c r="E19">
        <v>2.5</v>
      </c>
      <c r="F19">
        <v>4.38</v>
      </c>
      <c r="G19">
        <v>2</v>
      </c>
      <c r="H19">
        <v>3.25</v>
      </c>
      <c r="I19">
        <v>2.75</v>
      </c>
      <c r="J19">
        <v>2.56</v>
      </c>
      <c r="K19">
        <v>3.38</v>
      </c>
      <c r="L19">
        <v>3.31</v>
      </c>
      <c r="M19">
        <v>3.94</v>
      </c>
      <c r="N19">
        <v>3.94</v>
      </c>
    </row>
    <row r="20" spans="1:14" x14ac:dyDescent="0.35">
      <c r="A20" t="s">
        <v>138</v>
      </c>
      <c r="B20">
        <v>5.75</v>
      </c>
      <c r="C20">
        <v>3.74</v>
      </c>
      <c r="D20">
        <v>3.53</v>
      </c>
      <c r="E20">
        <v>3.2</v>
      </c>
      <c r="F20">
        <v>4</v>
      </c>
      <c r="G20">
        <v>2.76</v>
      </c>
      <c r="H20">
        <v>3.65</v>
      </c>
      <c r="I20">
        <v>3.75</v>
      </c>
      <c r="J20">
        <v>2.78</v>
      </c>
      <c r="K20">
        <v>3.65</v>
      </c>
      <c r="L20">
        <v>3.63</v>
      </c>
      <c r="M20">
        <v>4.45</v>
      </c>
      <c r="N20">
        <v>3.59</v>
      </c>
    </row>
    <row r="21" spans="1:14" x14ac:dyDescent="0.35">
      <c r="A21" t="s">
        <v>84</v>
      </c>
      <c r="B21">
        <v>5.79</v>
      </c>
      <c r="C21">
        <v>3.19</v>
      </c>
      <c r="D21">
        <v>3</v>
      </c>
      <c r="E21">
        <v>2.8</v>
      </c>
      <c r="F21">
        <v>3.81</v>
      </c>
      <c r="G21">
        <v>2.81</v>
      </c>
      <c r="H21">
        <v>4.18</v>
      </c>
      <c r="I21">
        <v>3.13</v>
      </c>
      <c r="J21">
        <v>3.75</v>
      </c>
      <c r="K21">
        <v>3.73</v>
      </c>
      <c r="L21">
        <v>3.8</v>
      </c>
      <c r="M21">
        <v>4.2699999999999996</v>
      </c>
      <c r="N21">
        <v>2.8</v>
      </c>
    </row>
    <row r="22" spans="1:14" x14ac:dyDescent="0.35">
      <c r="A22" t="s">
        <v>140</v>
      </c>
      <c r="B22">
        <v>7</v>
      </c>
      <c r="C22">
        <v>3.55</v>
      </c>
      <c r="D22">
        <v>3.3</v>
      </c>
      <c r="E22">
        <v>2.69</v>
      </c>
      <c r="F22">
        <v>3.75</v>
      </c>
      <c r="G22">
        <v>2.75</v>
      </c>
      <c r="H22">
        <v>3.49</v>
      </c>
      <c r="I22">
        <v>3.15</v>
      </c>
      <c r="J22">
        <v>2.73</v>
      </c>
      <c r="K22">
        <v>4.09</v>
      </c>
      <c r="L22">
        <v>3.96</v>
      </c>
      <c r="M22">
        <v>4.68</v>
      </c>
      <c r="N22">
        <v>3.3</v>
      </c>
    </row>
    <row r="23" spans="1:14" x14ac:dyDescent="0.35">
      <c r="A23" t="s">
        <v>136</v>
      </c>
      <c r="B23">
        <v>6.17</v>
      </c>
      <c r="C23">
        <v>3.08</v>
      </c>
      <c r="D23">
        <v>3.7</v>
      </c>
      <c r="E23">
        <v>3.17</v>
      </c>
      <c r="F23">
        <v>3.83</v>
      </c>
      <c r="G23">
        <v>2.91</v>
      </c>
      <c r="H23">
        <v>3.57</v>
      </c>
      <c r="I23">
        <v>3.35</v>
      </c>
      <c r="J23">
        <v>3.43</v>
      </c>
      <c r="K23">
        <v>3.78</v>
      </c>
      <c r="L23">
        <v>3.78</v>
      </c>
      <c r="M23">
        <v>4.17</v>
      </c>
      <c r="N23">
        <v>3.17</v>
      </c>
    </row>
    <row r="24" spans="1:14" x14ac:dyDescent="0.35">
      <c r="A24" t="s">
        <v>141</v>
      </c>
      <c r="B24">
        <v>5.73</v>
      </c>
      <c r="C24">
        <v>3.45</v>
      </c>
      <c r="D24">
        <v>3.27</v>
      </c>
      <c r="E24">
        <v>2.5</v>
      </c>
      <c r="F24">
        <v>3.65</v>
      </c>
      <c r="G24">
        <v>2.67</v>
      </c>
      <c r="H24">
        <v>3.61</v>
      </c>
      <c r="I24">
        <v>3.07</v>
      </c>
      <c r="J24">
        <v>3.17</v>
      </c>
      <c r="K24">
        <v>3.74</v>
      </c>
      <c r="L24">
        <v>3.53</v>
      </c>
      <c r="M24">
        <v>4.42</v>
      </c>
      <c r="N24">
        <v>3.07</v>
      </c>
    </row>
    <row r="25" spans="1:14" x14ac:dyDescent="0.35">
      <c r="A25" t="s">
        <v>133</v>
      </c>
      <c r="B25">
        <v>5.12</v>
      </c>
      <c r="C25">
        <v>4.26</v>
      </c>
      <c r="D25">
        <v>3.74</v>
      </c>
      <c r="E25">
        <v>3.2</v>
      </c>
      <c r="F25">
        <v>4.1500000000000004</v>
      </c>
      <c r="G25">
        <v>2.63</v>
      </c>
      <c r="H25">
        <v>3.45</v>
      </c>
      <c r="I25">
        <v>2.95</v>
      </c>
      <c r="J25">
        <v>2.38</v>
      </c>
      <c r="K25">
        <v>3.9</v>
      </c>
      <c r="L25">
        <v>3.88</v>
      </c>
      <c r="M25">
        <v>4.5199999999999996</v>
      </c>
      <c r="N25">
        <v>3.53</v>
      </c>
    </row>
    <row r="26" spans="1:14" x14ac:dyDescent="0.35">
      <c r="A26" t="s">
        <v>117</v>
      </c>
      <c r="B26">
        <v>4.88</v>
      </c>
      <c r="C26">
        <v>2.91</v>
      </c>
      <c r="D26">
        <v>2.2000000000000002</v>
      </c>
      <c r="E26">
        <v>3.91</v>
      </c>
      <c r="F26">
        <v>1.91</v>
      </c>
      <c r="G26">
        <v>2.5499999999999998</v>
      </c>
      <c r="H26">
        <v>2.1800000000000002</v>
      </c>
      <c r="I26">
        <v>2.64</v>
      </c>
      <c r="J26">
        <v>4.2699999999999996</v>
      </c>
      <c r="K26">
        <v>4.09</v>
      </c>
      <c r="L26">
        <v>4.3600000000000003</v>
      </c>
      <c r="M26">
        <v>4.09</v>
      </c>
      <c r="N26">
        <v>4.2699999999999996</v>
      </c>
    </row>
    <row r="27" spans="1:14" x14ac:dyDescent="0.35">
      <c r="A27" t="s">
        <v>131</v>
      </c>
      <c r="B27">
        <v>4.8499999999999996</v>
      </c>
      <c r="C27">
        <v>3.33</v>
      </c>
      <c r="D27">
        <v>3.2</v>
      </c>
      <c r="E27">
        <v>2</v>
      </c>
      <c r="F27">
        <v>3.56</v>
      </c>
      <c r="G27">
        <v>2</v>
      </c>
      <c r="H27">
        <v>3.13</v>
      </c>
      <c r="I27">
        <v>2.25</v>
      </c>
      <c r="J27">
        <v>2.75</v>
      </c>
      <c r="K27">
        <v>4</v>
      </c>
      <c r="L27">
        <v>3.63</v>
      </c>
      <c r="M27">
        <v>4.5</v>
      </c>
      <c r="N27">
        <v>3.33</v>
      </c>
    </row>
    <row r="28" spans="1:14" x14ac:dyDescent="0.35">
      <c r="A28" t="s">
        <v>83</v>
      </c>
      <c r="B28">
        <v>6.79</v>
      </c>
      <c r="C28">
        <v>3.49</v>
      </c>
      <c r="D28">
        <v>3.81</v>
      </c>
      <c r="E28">
        <v>2.72</v>
      </c>
      <c r="F28">
        <v>3.97</v>
      </c>
      <c r="G28">
        <v>2.74</v>
      </c>
      <c r="H28">
        <v>3.81</v>
      </c>
      <c r="I28">
        <v>2.89</v>
      </c>
      <c r="J28">
        <v>3.11</v>
      </c>
      <c r="K28">
        <v>3.78</v>
      </c>
      <c r="L28">
        <v>3.55</v>
      </c>
      <c r="M28">
        <v>4.28</v>
      </c>
      <c r="N28">
        <v>2.83</v>
      </c>
    </row>
    <row r="29" spans="1:14" x14ac:dyDescent="0.35">
      <c r="A29" t="s">
        <v>157</v>
      </c>
      <c r="B29">
        <v>5.39</v>
      </c>
      <c r="C29">
        <v>3.38</v>
      </c>
      <c r="D29">
        <v>3.91</v>
      </c>
      <c r="E29">
        <v>2.38</v>
      </c>
      <c r="F29">
        <v>3.68</v>
      </c>
      <c r="G29">
        <v>2.59</v>
      </c>
      <c r="H29">
        <v>3.61</v>
      </c>
      <c r="I29">
        <v>3.17</v>
      </c>
      <c r="J29">
        <v>2.95</v>
      </c>
      <c r="K29">
        <v>3.5</v>
      </c>
      <c r="L29">
        <v>3.55</v>
      </c>
      <c r="M29">
        <v>4.17</v>
      </c>
      <c r="N29">
        <v>3</v>
      </c>
    </row>
    <row r="30" spans="1:14" x14ac:dyDescent="0.35">
      <c r="A30" t="s">
        <v>114</v>
      </c>
      <c r="B30">
        <v>6.45</v>
      </c>
      <c r="C30">
        <v>3.64</v>
      </c>
      <c r="D30">
        <v>3.43</v>
      </c>
      <c r="E30">
        <v>3.08</v>
      </c>
      <c r="F30">
        <v>3.64</v>
      </c>
      <c r="G30">
        <v>3</v>
      </c>
      <c r="H30">
        <v>3.5</v>
      </c>
      <c r="I30">
        <v>3.35</v>
      </c>
      <c r="J30">
        <v>2.65</v>
      </c>
      <c r="K30">
        <v>3.88</v>
      </c>
      <c r="L30">
        <v>3.96</v>
      </c>
      <c r="M30">
        <v>4.46</v>
      </c>
      <c r="N30">
        <v>3.13</v>
      </c>
    </row>
    <row r="31" spans="1:14" x14ac:dyDescent="0.35">
      <c r="A31" t="s">
        <v>134</v>
      </c>
      <c r="B31">
        <v>5.74</v>
      </c>
      <c r="C31">
        <v>3.53</v>
      </c>
      <c r="D31">
        <v>4.41</v>
      </c>
      <c r="E31">
        <v>3</v>
      </c>
      <c r="F31">
        <v>4.18</v>
      </c>
      <c r="G31">
        <v>2.82</v>
      </c>
      <c r="H31">
        <v>4</v>
      </c>
      <c r="I31">
        <v>3.06</v>
      </c>
      <c r="J31">
        <v>3.76</v>
      </c>
      <c r="K31">
        <v>3.65</v>
      </c>
      <c r="L31">
        <v>3.94</v>
      </c>
      <c r="M31">
        <v>4.47</v>
      </c>
      <c r="N31">
        <v>2.82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47A191A116CC4E90459EA7CA809AD8" ma:contentTypeVersion="2" ma:contentTypeDescription="Create a new document." ma:contentTypeScope="" ma:versionID="85514811843a842f61f514cfd3620643">
  <xsd:schema xmlns:xsd="http://www.w3.org/2001/XMLSchema" xmlns:xs="http://www.w3.org/2001/XMLSchema" xmlns:p="http://schemas.microsoft.com/office/2006/metadata/properties" xmlns:ns3="aa624837-371d-4c56-89cb-7191fb4dac38" targetNamespace="http://schemas.microsoft.com/office/2006/metadata/properties" ma:root="true" ma:fieldsID="2dee136fca29023c3eb3d59954105aa0" ns3:_="">
    <xsd:import namespace="aa624837-371d-4c56-89cb-7191fb4dac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4837-371d-4c56-89cb-7191fb4da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6138D-FCAE-4F6E-B994-0371E1692A8B}">
  <ds:schemaRefs>
    <ds:schemaRef ds:uri="aa624837-371d-4c56-89cb-7191fb4dac38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92C99BE-98D1-4ED5-A64B-096451C0C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C691D-50D5-46FE-BF6F-D821689E09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24837-371d-4c56-89cb-7191fb4da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Biking_master_sheet</vt:lpstr>
      <vt:lpstr>weighted_income</vt:lpstr>
      <vt:lpstr>weighted_means_correct</vt:lpstr>
      <vt:lpstr>Income_biking</vt:lpstr>
      <vt:lpstr>Age_biking</vt:lpstr>
      <vt:lpstr>MS_biking</vt:lpstr>
      <vt:lpstr>HS_biking</vt:lpstr>
      <vt:lpstr>Edu_biking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2022-06-24T17:20:05Z</dcterms:created>
  <dcterms:modified xsi:type="dcterms:W3CDTF">2022-07-28T18:17:14Z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0x0101001F47A191A116CC4E90459EA7CA809AD8</vt:lpwstr>
  </property>
</Properties>
</file>