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860778-1CF6-41FD-8C21-A11F120176A0}" xr6:coauthVersionLast="47" xr6:coauthVersionMax="47" xr10:uidLastSave="{00000000-0000-0000-0000-000000000000}"/>
  <bookViews>
    <workbookView xWindow="-108" yWindow="-108" windowWidth="23256" windowHeight="13176" firstSheet="1" activeTab="5" xr2:uid="{00000000-000D-0000-FFFF-FFFF00000000}"/>
  </bookViews>
  <sheets>
    <sheet name="Capacited plant LM1" sheetId="5" r:id="rId1"/>
    <sheet name="Gravity Model" sheetId="6" r:id="rId2"/>
    <sheet name="Capacited plant LM" sheetId="1" r:id="rId3"/>
    <sheet name="Lot sizing" sheetId="4" r:id="rId4"/>
    <sheet name="Aggregate planning" sheetId="3" r:id="rId5"/>
    <sheet name="Capacited plant LM exc" sheetId="2" r:id="rId6"/>
  </sheets>
  <definedNames>
    <definedName name="solver_adj" localSheetId="4" hidden="1">'Aggregate planning'!$B$5:$I$10</definedName>
    <definedName name="solver_adj" localSheetId="2" hidden="1">'Capacited plant LM'!$C$12:$H$16</definedName>
    <definedName name="solver_adj" localSheetId="5" hidden="1">'Capacited plant LM exc'!$B$13:$E$18</definedName>
    <definedName name="solver_adj" localSheetId="0" hidden="1">'Capacited plant LM1'!$B$14:$H$18</definedName>
    <definedName name="solver_adj" localSheetId="1" hidden="1">'Gravity Model'!$B$16:$B$17</definedName>
    <definedName name="solver_cvg" localSheetId="4" hidden="1">0.0001</definedName>
    <definedName name="solver_cvg" localSheetId="2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drv" localSheetId="4" hidden="1">2</definedName>
    <definedName name="solver_drv" localSheetId="2" hidden="1">1</definedName>
    <definedName name="solver_drv" localSheetId="5" hidden="1">2</definedName>
    <definedName name="solver_drv" localSheetId="0" hidden="1">2</definedName>
    <definedName name="solver_drv" localSheetId="1" hidden="1">1</definedName>
    <definedName name="solver_eng" localSheetId="4" hidden="1">2</definedName>
    <definedName name="solver_eng" localSheetId="2" hidden="1">2</definedName>
    <definedName name="solver_eng" localSheetId="5" hidden="1">2</definedName>
    <definedName name="solver_eng" localSheetId="0" hidden="1">2</definedName>
    <definedName name="solver_eng" localSheetId="1" hidden="1">1</definedName>
    <definedName name="solver_est" localSheetId="4" hidden="1">1</definedName>
    <definedName name="solver_est" localSheetId="2" hidden="1">1</definedName>
    <definedName name="solver_est" localSheetId="5" hidden="1">1</definedName>
    <definedName name="solver_est" localSheetId="0" hidden="1">1</definedName>
    <definedName name="solver_est" localSheetId="1" hidden="1">1</definedName>
    <definedName name="solver_itr" localSheetId="4" hidden="1">2147483647</definedName>
    <definedName name="solver_itr" localSheetId="2" hidden="1">100</definedName>
    <definedName name="solver_itr" localSheetId="5" hidden="1">2147483647</definedName>
    <definedName name="solver_itr" localSheetId="0" hidden="1">2147483647</definedName>
    <definedName name="solver_itr" localSheetId="1" hidden="1">2147483647</definedName>
    <definedName name="solver_lhs1" localSheetId="4" hidden="1">'Aggregate planning'!$B$5:$I$10</definedName>
    <definedName name="solver_lhs1" localSheetId="2" hidden="1">'Capacited plant LM'!$C$12:$H$16</definedName>
    <definedName name="solver_lhs1" localSheetId="5" hidden="1">'Capacited plant LM exc'!$B$13:$D$18</definedName>
    <definedName name="solver_lhs1" localSheetId="0" hidden="1">'Capacited plant LM1'!$B$14:$F$18</definedName>
    <definedName name="solver_lhs2" localSheetId="4" hidden="1">'Aggregate planning'!$G$10</definedName>
    <definedName name="solver_lhs2" localSheetId="2" hidden="1">'Capacited plant LM'!$C$15:$E$16</definedName>
    <definedName name="solver_lhs2" localSheetId="5" hidden="1">'Capacited plant LM exc'!$B$23:$B$28</definedName>
    <definedName name="solver_lhs2" localSheetId="0" hidden="1">'Capacited plant LM1'!$B$22:$B$26</definedName>
    <definedName name="solver_lhs3" localSheetId="4" hidden="1">'Aggregate planning'!$M$5:$M$10</definedName>
    <definedName name="solver_lhs3" localSheetId="2" hidden="1">'Capacited plant LM'!$C$20:$C$24</definedName>
    <definedName name="solver_lhs3" localSheetId="5" hidden="1">'Capacited plant LM exc'!$B$31:$D$31</definedName>
    <definedName name="solver_lhs3" localSheetId="0" hidden="1">'Capacited plant LM1'!$B$28:$F$28</definedName>
    <definedName name="solver_lhs4" localSheetId="4" hidden="1">'Aggregate planning'!$N$5:$N$10</definedName>
    <definedName name="solver_lhs4" localSheetId="2" hidden="1">'Capacited plant LM'!$C$27:$H$27</definedName>
    <definedName name="solver_lhs4" localSheetId="5" hidden="1">'Capacited plant LM exc'!$E$13:$E$18</definedName>
    <definedName name="solver_lhs4" localSheetId="0" hidden="1">'Capacited plant LM1'!$G$14:$H$18</definedName>
    <definedName name="solver_lhs5" localSheetId="4" hidden="1">'Aggregate planning'!$O$5:$O$10</definedName>
    <definedName name="solver_lhs5" localSheetId="2" hidden="1">'Capacited plant LM'!$F$12:$H$14</definedName>
    <definedName name="solver_lhs6" localSheetId="4" hidden="1">'Aggregate planning'!$P$5:$P$10</definedName>
    <definedName name="solver_lhs7" localSheetId="4" hidden="1">'Aggregate planning'!$F$10</definedName>
    <definedName name="solver_lin" localSheetId="4" hidden="1">2</definedName>
    <definedName name="solver_lin" localSheetId="2" hidden="1">2</definedName>
    <definedName name="solver_mip" localSheetId="4" hidden="1">2147483647</definedName>
    <definedName name="solver_mip" localSheetId="2" hidden="1">2147483647</definedName>
    <definedName name="solver_mip" localSheetId="5" hidden="1">2147483647</definedName>
    <definedName name="solver_mip" localSheetId="0" hidden="1">2147483647</definedName>
    <definedName name="solver_mip" localSheetId="1" hidden="1">2147483647</definedName>
    <definedName name="solver_mni" localSheetId="4" hidden="1">30</definedName>
    <definedName name="solver_mni" localSheetId="2" hidden="1">30</definedName>
    <definedName name="solver_mni" localSheetId="5" hidden="1">30</definedName>
    <definedName name="solver_mni" localSheetId="0" hidden="1">30</definedName>
    <definedName name="solver_mni" localSheetId="1" hidden="1">30</definedName>
    <definedName name="solver_mrt" localSheetId="4" hidden="1">0.075</definedName>
    <definedName name="solver_mrt" localSheetId="2" hidden="1">0.075</definedName>
    <definedName name="solver_mrt" localSheetId="5" hidden="1">0.075</definedName>
    <definedName name="solver_mrt" localSheetId="0" hidden="1">0.075</definedName>
    <definedName name="solver_mrt" localSheetId="1" hidden="1">0.075</definedName>
    <definedName name="solver_msl" localSheetId="4" hidden="1">2</definedName>
    <definedName name="solver_msl" localSheetId="2" hidden="1">2</definedName>
    <definedName name="solver_msl" localSheetId="5" hidden="1">2</definedName>
    <definedName name="solver_msl" localSheetId="0" hidden="1">2</definedName>
    <definedName name="solver_msl" localSheetId="1" hidden="1">2</definedName>
    <definedName name="solver_neg" localSheetId="4" hidden="1">1</definedName>
    <definedName name="solver_neg" localSheetId="2" hidden="1">1</definedName>
    <definedName name="solver_neg" localSheetId="5" hidden="1">2</definedName>
    <definedName name="solver_neg" localSheetId="0" hidden="1">2</definedName>
    <definedName name="solver_neg" localSheetId="1" hidden="1">2</definedName>
    <definedName name="solver_nod" localSheetId="4" hidden="1">2147483647</definedName>
    <definedName name="solver_nod" localSheetId="2" hidden="1">2147483647</definedName>
    <definedName name="solver_nod" localSheetId="5" hidden="1">2147483647</definedName>
    <definedName name="solver_nod" localSheetId="0" hidden="1">2147483647</definedName>
    <definedName name="solver_nod" localSheetId="1" hidden="1">2147483647</definedName>
    <definedName name="solver_num" localSheetId="4" hidden="1">7</definedName>
    <definedName name="solver_num" localSheetId="2" hidden="1">5</definedName>
    <definedName name="solver_num" localSheetId="5" hidden="1">4</definedName>
    <definedName name="solver_num" localSheetId="0" hidden="1">4</definedName>
    <definedName name="solver_num" localSheetId="1" hidden="1">0</definedName>
    <definedName name="solver_nwt" localSheetId="4" hidden="1">1</definedName>
    <definedName name="solver_nwt" localSheetId="2" hidden="1">1</definedName>
    <definedName name="solver_nwt" localSheetId="5" hidden="1">1</definedName>
    <definedName name="solver_nwt" localSheetId="0" hidden="1">1</definedName>
    <definedName name="solver_nwt" localSheetId="1" hidden="1">1</definedName>
    <definedName name="solver_opt" localSheetId="4" hidden="1">'Aggregate planning'!$C$22</definedName>
    <definedName name="solver_opt" localSheetId="2" hidden="1">'Capacited plant LM'!$C$30</definedName>
    <definedName name="solver_opt" localSheetId="5" hidden="1">'Capacited plant LM exc'!$B$35</definedName>
    <definedName name="solver_opt" localSheetId="0" hidden="1">'Capacited plant LM1'!$B$31</definedName>
    <definedName name="solver_opt" localSheetId="1" hidden="1">'Gravity Model'!$B$19</definedName>
    <definedName name="solver_pre" localSheetId="4" hidden="1">0.000001</definedName>
    <definedName name="solver_pre" localSheetId="2" hidden="1">0.000001</definedName>
    <definedName name="solver_pre" localSheetId="5" hidden="1">0.000001</definedName>
    <definedName name="solver_pre" localSheetId="0" hidden="1">0.000001</definedName>
    <definedName name="solver_pre" localSheetId="1" hidden="1">0.000001</definedName>
    <definedName name="solver_rbv" localSheetId="4" hidden="1">2</definedName>
    <definedName name="solver_rbv" localSheetId="2" hidden="1">1</definedName>
    <definedName name="solver_rbv" localSheetId="5" hidden="1">2</definedName>
    <definedName name="solver_rbv" localSheetId="0" hidden="1">2</definedName>
    <definedName name="solver_rbv" localSheetId="1" hidden="1">1</definedName>
    <definedName name="solver_rel1" localSheetId="4" hidden="1">4</definedName>
    <definedName name="solver_rel1" localSheetId="2" hidden="1">3</definedName>
    <definedName name="solver_rel1" localSheetId="5" hidden="1">3</definedName>
    <definedName name="solver_rel1" localSheetId="0" hidden="1">3</definedName>
    <definedName name="solver_rel2" localSheetId="4" hidden="1">2</definedName>
    <definedName name="solver_rel2" localSheetId="2" hidden="1">2</definedName>
    <definedName name="solver_rel2" localSheetId="5" hidden="1">3</definedName>
    <definedName name="solver_rel2" localSheetId="0" hidden="1">3</definedName>
    <definedName name="solver_rel3" localSheetId="4" hidden="1">2</definedName>
    <definedName name="solver_rel3" localSheetId="2" hidden="1">3</definedName>
    <definedName name="solver_rel3" localSheetId="5" hidden="1">2</definedName>
    <definedName name="solver_rel3" localSheetId="0" hidden="1">2</definedName>
    <definedName name="solver_rel4" localSheetId="4" hidden="1">3</definedName>
    <definedName name="solver_rel4" localSheetId="2" hidden="1">2</definedName>
    <definedName name="solver_rel4" localSheetId="5" hidden="1">5</definedName>
    <definedName name="solver_rel4" localSheetId="0" hidden="1">5</definedName>
    <definedName name="solver_rel5" localSheetId="4" hidden="1">2</definedName>
    <definedName name="solver_rel5" localSheetId="2" hidden="1">2</definedName>
    <definedName name="solver_rel6" localSheetId="4" hidden="1">3</definedName>
    <definedName name="solver_rel7" localSheetId="4" hidden="1">3</definedName>
    <definedName name="solver_rhs1" localSheetId="4" hidden="1">"integer"</definedName>
    <definedName name="solver_rhs1" localSheetId="2" hidden="1">0</definedName>
    <definedName name="solver_rhs1" localSheetId="5" hidden="1">0</definedName>
    <definedName name="solver_rhs1" localSheetId="0" hidden="1">0</definedName>
    <definedName name="solver_rhs2" localSheetId="4" hidden="1">0</definedName>
    <definedName name="solver_rhs2" localSheetId="2" hidden="1">0</definedName>
    <definedName name="solver_rhs2" localSheetId="5" hidden="1">0</definedName>
    <definedName name="solver_rhs2" localSheetId="0" hidden="1">0</definedName>
    <definedName name="solver_rhs3" localSheetId="4" hidden="1">0</definedName>
    <definedName name="solver_rhs3" localSheetId="2" hidden="1">0</definedName>
    <definedName name="solver_rhs3" localSheetId="5" hidden="1">0</definedName>
    <definedName name="solver_rhs3" localSheetId="0" hidden="1">0</definedName>
    <definedName name="solver_rhs4" localSheetId="4" hidden="1">0</definedName>
    <definedName name="solver_rhs4" localSheetId="2" hidden="1">0</definedName>
    <definedName name="solver_rhs4" localSheetId="5" hidden="1">"binary"</definedName>
    <definedName name="solver_rhs4" localSheetId="0" hidden="1">"binary"</definedName>
    <definedName name="solver_rhs5" localSheetId="4" hidden="1">0</definedName>
    <definedName name="solver_rhs5" localSheetId="2" hidden="1">0</definedName>
    <definedName name="solver_rhs6" localSheetId="4" hidden="1">0</definedName>
    <definedName name="solver_rhs7" localSheetId="4" hidden="1">500</definedName>
    <definedName name="solver_rlx" localSheetId="4" hidden="1">2</definedName>
    <definedName name="solver_rlx" localSheetId="2" hidden="1">2</definedName>
    <definedName name="solver_rlx" localSheetId="5" hidden="1">2</definedName>
    <definedName name="solver_rlx" localSheetId="0" hidden="1">2</definedName>
    <definedName name="solver_rlx" localSheetId="1" hidden="1">2</definedName>
    <definedName name="solver_rsd" localSheetId="4" hidden="1">0</definedName>
    <definedName name="solver_rsd" localSheetId="2" hidden="1">0</definedName>
    <definedName name="solver_rsd" localSheetId="5" hidden="1">0</definedName>
    <definedName name="solver_rsd" localSheetId="0" hidden="1">0</definedName>
    <definedName name="solver_rsd" localSheetId="1" hidden="1">0</definedName>
    <definedName name="solver_scl" localSheetId="4" hidden="1">2</definedName>
    <definedName name="solver_scl" localSheetId="2" hidden="1">2</definedName>
    <definedName name="solver_scl" localSheetId="5" hidden="1">2</definedName>
    <definedName name="solver_scl" localSheetId="0" hidden="1">2</definedName>
    <definedName name="solver_scl" localSheetId="1" hidden="1">1</definedName>
    <definedName name="solver_sho" localSheetId="4" hidden="1">2</definedName>
    <definedName name="solver_sho" localSheetId="2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sz" localSheetId="4" hidden="1">100</definedName>
    <definedName name="solver_ssz" localSheetId="2" hidden="1">100</definedName>
    <definedName name="solver_ssz" localSheetId="5" hidden="1">100</definedName>
    <definedName name="solver_ssz" localSheetId="0" hidden="1">100</definedName>
    <definedName name="solver_ssz" localSheetId="1" hidden="1">100</definedName>
    <definedName name="solver_tim" localSheetId="4" hidden="1">2147483647</definedName>
    <definedName name="solver_tim" localSheetId="2" hidden="1">100</definedName>
    <definedName name="solver_tim" localSheetId="5" hidden="1">2147483647</definedName>
    <definedName name="solver_tim" localSheetId="0" hidden="1">2147483647</definedName>
    <definedName name="solver_tim" localSheetId="1" hidden="1">2147483647</definedName>
    <definedName name="solver_tol" localSheetId="4" hidden="1">0.01</definedName>
    <definedName name="solver_tol" localSheetId="2" hidden="1">0.05</definedName>
    <definedName name="solver_tol" localSheetId="5" hidden="1">0.01</definedName>
    <definedName name="solver_tol" localSheetId="0" hidden="1">0.01</definedName>
    <definedName name="solver_tol" localSheetId="1" hidden="1">0.01</definedName>
    <definedName name="solver_typ" localSheetId="4" hidden="1">2</definedName>
    <definedName name="solver_typ" localSheetId="2" hidden="1">2</definedName>
    <definedName name="solver_typ" localSheetId="5" hidden="1">2</definedName>
    <definedName name="solver_typ" localSheetId="0" hidden="1">2</definedName>
    <definedName name="solver_typ" localSheetId="1" hidden="1">2</definedName>
    <definedName name="solver_val" localSheetId="4" hidden="1">0</definedName>
    <definedName name="solver_val" localSheetId="2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er" localSheetId="4" hidden="1">3</definedName>
    <definedName name="solver_ver" localSheetId="2" hidden="1">3</definedName>
    <definedName name="solver_ver" localSheetId="5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4" l="1"/>
  <c r="G31" i="2"/>
  <c r="G30" i="2"/>
  <c r="G29" i="2" a="1"/>
  <c r="G29" i="2" s="1"/>
  <c r="G28" i="2" a="1"/>
  <c r="G28" i="2" s="1"/>
  <c r="G27" i="2" a="1"/>
  <c r="G27" i="2" s="1"/>
  <c r="G26" i="2" a="1"/>
  <c r="G26" i="2" s="1"/>
  <c r="G25" i="2"/>
  <c r="G24" i="2"/>
  <c r="E19" i="6"/>
  <c r="E18" i="6"/>
  <c r="E17" i="6"/>
  <c r="E16" i="6"/>
  <c r="C31" i="2"/>
  <c r="D31" i="2"/>
  <c r="B31" i="2"/>
  <c r="J24" i="1"/>
  <c r="J23" i="1"/>
  <c r="J22" i="1" a="1"/>
  <c r="J22" i="1" s="1"/>
  <c r="J21" i="1" a="1"/>
  <c r="J21" i="1" s="1"/>
  <c r="J20" i="1" a="1"/>
  <c r="J20" i="1" s="1"/>
  <c r="J19" i="1" a="1"/>
  <c r="J19" i="1" s="1"/>
  <c r="J18" i="1" a="1"/>
  <c r="J18" i="1"/>
  <c r="J17" i="1"/>
  <c r="J16" i="1"/>
  <c r="G6" i="6"/>
  <c r="G7" i="6"/>
  <c r="G8" i="6"/>
  <c r="G9" i="6"/>
  <c r="G10" i="6"/>
  <c r="G11" i="6"/>
  <c r="G12" i="6"/>
  <c r="G5" i="6"/>
  <c r="J28" i="5"/>
  <c r="J27" i="5"/>
  <c r="J26" i="5" a="1"/>
  <c r="J26" i="5" s="1"/>
  <c r="J25" i="5" a="1"/>
  <c r="J25" i="5"/>
  <c r="J24" i="5" a="1"/>
  <c r="J24" i="5" s="1"/>
  <c r="J23" i="5" a="1"/>
  <c r="J23" i="5"/>
  <c r="J22" i="5"/>
  <c r="J21" i="5"/>
  <c r="B31" i="5"/>
  <c r="C28" i="5"/>
  <c r="D28" i="5"/>
  <c r="E28" i="5"/>
  <c r="F28" i="5"/>
  <c r="B28" i="5"/>
  <c r="B23" i="5"/>
  <c r="B24" i="5"/>
  <c r="B25" i="5"/>
  <c r="B26" i="5"/>
  <c r="B22" i="5"/>
  <c r="B19" i="6" l="1"/>
  <c r="K67" i="4"/>
  <c r="F67" i="4"/>
  <c r="G63" i="4"/>
  <c r="H67" i="4" s="1"/>
  <c r="N54" i="4"/>
  <c r="H54" i="4"/>
  <c r="F54" i="4"/>
  <c r="J54" i="4" s="1"/>
  <c r="N53" i="4"/>
  <c r="N51" i="4"/>
  <c r="N50" i="4"/>
  <c r="N48" i="4"/>
  <c r="N47" i="4"/>
  <c r="N46" i="4"/>
  <c r="F43" i="4"/>
  <c r="G39" i="4"/>
  <c r="H43" i="4" s="1"/>
  <c r="N35" i="4"/>
  <c r="F32" i="4"/>
  <c r="F30" i="4"/>
  <c r="G28" i="4" s="1"/>
  <c r="H32" i="4" s="1"/>
  <c r="C28" i="4"/>
  <c r="H21" i="4"/>
  <c r="F21" i="4"/>
  <c r="J21" i="4" s="1"/>
  <c r="C17" i="4"/>
  <c r="F10" i="4"/>
  <c r="J10" i="4" s="1"/>
  <c r="C6" i="4"/>
  <c r="J67" i="4" l="1"/>
  <c r="J32" i="4"/>
  <c r="J43" i="4"/>
  <c r="P6" i="3" l="1"/>
  <c r="P7" i="3"/>
  <c r="P8" i="3"/>
  <c r="P9" i="3"/>
  <c r="P10" i="3"/>
  <c r="P5" i="3"/>
  <c r="G26" i="3" l="1"/>
  <c r="G25" i="3"/>
  <c r="G27" i="3" s="1"/>
  <c r="K23" i="3"/>
  <c r="K22" i="3"/>
  <c r="K21" i="3" a="1"/>
  <c r="K20" i="3" a="1"/>
  <c r="I20" i="3"/>
  <c r="H20" i="3"/>
  <c r="G20" i="3"/>
  <c r="F20" i="3"/>
  <c r="E20" i="3"/>
  <c r="D20" i="3"/>
  <c r="C20" i="3"/>
  <c r="B20" i="3"/>
  <c r="K19" i="3" a="1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K17" i="3"/>
  <c r="I17" i="3"/>
  <c r="H17" i="3"/>
  <c r="G17" i="3"/>
  <c r="F17" i="3"/>
  <c r="E17" i="3"/>
  <c r="D17" i="3"/>
  <c r="C17" i="3"/>
  <c r="B17" i="3"/>
  <c r="K16" i="3"/>
  <c r="I16" i="3"/>
  <c r="H16" i="3"/>
  <c r="G16" i="3"/>
  <c r="F16" i="3"/>
  <c r="E16" i="3"/>
  <c r="D16" i="3"/>
  <c r="C16" i="3"/>
  <c r="B16" i="3"/>
  <c r="K15" i="3" a="1"/>
  <c r="K15" i="3" s="1"/>
  <c r="I15" i="3"/>
  <c r="H15" i="3"/>
  <c r="G15" i="3"/>
  <c r="F15" i="3"/>
  <c r="E15" i="3"/>
  <c r="D15" i="3"/>
  <c r="C15" i="3"/>
  <c r="B15" i="3"/>
  <c r="K14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K18" i="3" s="1" a="1"/>
  <c r="K18" i="3" s="1"/>
  <c r="K20" i="3" l="1"/>
  <c r="K21" i="3"/>
  <c r="C22" i="3"/>
  <c r="K13" i="3" s="1"/>
  <c r="K19" i="3"/>
  <c r="C30" i="1" l="1"/>
  <c r="D27" i="1"/>
  <c r="E27" i="1"/>
  <c r="F27" i="1"/>
  <c r="G27" i="1"/>
  <c r="H27" i="1"/>
  <c r="C27" i="1"/>
  <c r="C21" i="1"/>
  <c r="C22" i="1"/>
  <c r="C23" i="1"/>
  <c r="C24" i="1"/>
  <c r="C20" i="1"/>
  <c r="B35" i="2"/>
  <c r="B28" i="2"/>
  <c r="B27" i="2"/>
  <c r="B26" i="2"/>
  <c r="B25" i="2"/>
  <c r="B24" i="2"/>
  <c r="B23" i="2"/>
  <c r="C33" i="1"/>
  <c r="D34" i="1" l="1"/>
  <c r="D33" i="1"/>
  <c r="C34" i="1"/>
  <c r="E33" i="1" l="1"/>
  <c r="E34" i="1" l="1"/>
  <c r="E35" i="1" s="1"/>
</calcChain>
</file>

<file path=xl/sharedStrings.xml><?xml version="1.0" encoding="utf-8"?>
<sst xmlns="http://schemas.openxmlformats.org/spreadsheetml/2006/main" count="301" uniqueCount="151">
  <si>
    <t xml:space="preserve">Baltimore </t>
  </si>
  <si>
    <t>Cheyenne</t>
  </si>
  <si>
    <t>Salt Lake City</t>
  </si>
  <si>
    <t>Memphis</t>
  </si>
  <si>
    <t>Wichita</t>
  </si>
  <si>
    <t>Atlanta</t>
  </si>
  <si>
    <t>Boston</t>
  </si>
  <si>
    <t>Chicago</t>
  </si>
  <si>
    <t>Denver</t>
  </si>
  <si>
    <t>Omaha</t>
  </si>
  <si>
    <t>Portland</t>
  </si>
  <si>
    <t>contraint</t>
  </si>
  <si>
    <t>Supply City</t>
  </si>
  <si>
    <t>Excess Capacity</t>
  </si>
  <si>
    <t>Unmet Demand</t>
  </si>
  <si>
    <t>cost</t>
  </si>
  <si>
    <t>Objective Function</t>
  </si>
  <si>
    <t>TelecomOne</t>
  </si>
  <si>
    <t>HighOptic</t>
  </si>
  <si>
    <t>Fixed cost</t>
  </si>
  <si>
    <t>Var Cost</t>
  </si>
  <si>
    <t>Total</t>
  </si>
  <si>
    <t>TelecmOne</t>
  </si>
  <si>
    <t>Mothly capacity</t>
  </si>
  <si>
    <t>Mothly Fixed Cost</t>
  </si>
  <si>
    <t>Monthly Demand</t>
  </si>
  <si>
    <t>Plants</t>
  </si>
  <si>
    <t>Capacity</t>
  </si>
  <si>
    <t>Fixed Cost/year</t>
  </si>
  <si>
    <t>Cost to M1</t>
  </si>
  <si>
    <t>Cost to M2</t>
  </si>
  <si>
    <t>Cost to M3</t>
  </si>
  <si>
    <t>A</t>
  </si>
  <si>
    <t>B</t>
  </si>
  <si>
    <t>C</t>
  </si>
  <si>
    <t>D</t>
  </si>
  <si>
    <t>E</t>
  </si>
  <si>
    <t>F</t>
  </si>
  <si>
    <t>Demand</t>
  </si>
  <si>
    <t>d.v.</t>
  </si>
  <si>
    <t>plants</t>
  </si>
  <si>
    <t>plant (1=open)</t>
  </si>
  <si>
    <t>constraints</t>
  </si>
  <si>
    <t>excess capacity</t>
  </si>
  <si>
    <t>unmet demand</t>
  </si>
  <si>
    <t>M1</t>
  </si>
  <si>
    <t>M2</t>
  </si>
  <si>
    <t>M3</t>
  </si>
  <si>
    <t>O.F.</t>
  </si>
  <si>
    <t>Aggregate Plan Decision Variables</t>
  </si>
  <si>
    <t>Contraints</t>
  </si>
  <si>
    <t>Ht</t>
  </si>
  <si>
    <t>tL</t>
  </si>
  <si>
    <t>Wt</t>
  </si>
  <si>
    <t>Ot</t>
  </si>
  <si>
    <t>It</t>
  </si>
  <si>
    <t>St</t>
  </si>
  <si>
    <t>Ct</t>
  </si>
  <si>
    <t>Pt</t>
  </si>
  <si>
    <t>Period</t>
  </si>
  <si>
    <t>Hired</t>
  </si>
  <si>
    <t>Laid Off</t>
  </si>
  <si>
    <t>Workforce</t>
  </si>
  <si>
    <t>Overtime</t>
  </si>
  <si>
    <t>Inventory</t>
  </si>
  <si>
    <t>Stockout</t>
  </si>
  <si>
    <t>Subcontract</t>
  </si>
  <si>
    <t>Production</t>
  </si>
  <si>
    <t>Aggregate Plan Cost</t>
  </si>
  <si>
    <t>Hiring</t>
  </si>
  <si>
    <t>Layoff</t>
  </si>
  <si>
    <t>Regular Time</t>
  </si>
  <si>
    <t>Material</t>
  </si>
  <si>
    <t>Total Cost</t>
  </si>
  <si>
    <t>Average inventory</t>
  </si>
  <si>
    <t>Average time in inventory</t>
  </si>
  <si>
    <t>Lot for Lot</t>
  </si>
  <si>
    <t>Week</t>
  </si>
  <si>
    <t>Gross Requirements</t>
  </si>
  <si>
    <t>set up cost</t>
  </si>
  <si>
    <t>Scheduled Receipts</t>
  </si>
  <si>
    <t>Holding cost</t>
  </si>
  <si>
    <t>Projected On Hand</t>
  </si>
  <si>
    <t>Lead Time</t>
  </si>
  <si>
    <t>2 Weeks</t>
  </si>
  <si>
    <t>Net Requirements</t>
  </si>
  <si>
    <t>Planned Order Receipts</t>
  </si>
  <si>
    <t>Planned Order Releases</t>
  </si>
  <si>
    <t>SET UP COST $</t>
  </si>
  <si>
    <t>HOLDING COST $</t>
  </si>
  <si>
    <t>TOTAL COST</t>
  </si>
  <si>
    <t>EOQ</t>
  </si>
  <si>
    <t>POQ</t>
  </si>
  <si>
    <t>PPB</t>
  </si>
  <si>
    <t>EPP</t>
  </si>
  <si>
    <t>Net Req.</t>
  </si>
  <si>
    <t>HPP</t>
  </si>
  <si>
    <t>Periods Combined</t>
  </si>
  <si>
    <t>Trual Lot Size</t>
  </si>
  <si>
    <t>Part Periods</t>
  </si>
  <si>
    <t>3*0</t>
  </si>
  <si>
    <t>4,5</t>
  </si>
  <si>
    <t>3+0</t>
  </si>
  <si>
    <t>3*0 + 0*1</t>
  </si>
  <si>
    <t>4,5,6</t>
  </si>
  <si>
    <t>3*0 + 0*1 +150 *2</t>
  </si>
  <si>
    <t>150*0</t>
  </si>
  <si>
    <t>6,7</t>
  </si>
  <si>
    <t>150+120</t>
  </si>
  <si>
    <t>150*0+ 120*1</t>
  </si>
  <si>
    <t>Silver meal</t>
  </si>
  <si>
    <t>c(1)</t>
  </si>
  <si>
    <t>c(2)</t>
  </si>
  <si>
    <t>4,5.6</t>
  </si>
  <si>
    <t>c(3)</t>
  </si>
  <si>
    <t>7,8</t>
  </si>
  <si>
    <t>Wagner</t>
  </si>
  <si>
    <t>fix this please</t>
  </si>
  <si>
    <t>Input-Costs,Capacities,Demand</t>
  </si>
  <si>
    <t>Demand Region     Production and Transporttaion Cost per 1,000,000 Units</t>
  </si>
  <si>
    <t>Fixed Cost</t>
  </si>
  <si>
    <t>Low capacity</t>
  </si>
  <si>
    <t>High capacity</t>
  </si>
  <si>
    <t>Supply Region</t>
  </si>
  <si>
    <t>N.America</t>
  </si>
  <si>
    <t>S.America</t>
  </si>
  <si>
    <t>Europe</t>
  </si>
  <si>
    <t>Asia</t>
  </si>
  <si>
    <t>Africa</t>
  </si>
  <si>
    <t>Plant</t>
  </si>
  <si>
    <t>(1=open)</t>
  </si>
  <si>
    <t>Sources/                  Markets</t>
  </si>
  <si>
    <t>$/Ton Mile</t>
  </si>
  <si>
    <t>Tons</t>
  </si>
  <si>
    <t>Coordinates</t>
  </si>
  <si>
    <t>Fn</t>
  </si>
  <si>
    <t>Dn</t>
  </si>
  <si>
    <t>xn</t>
  </si>
  <si>
    <t>yn</t>
  </si>
  <si>
    <t>dn</t>
  </si>
  <si>
    <t>Sorces</t>
  </si>
  <si>
    <t>Buffalo</t>
  </si>
  <si>
    <t>St. Louis</t>
  </si>
  <si>
    <t>Jacksonville</t>
  </si>
  <si>
    <t>Philadelphia</t>
  </si>
  <si>
    <t>New York</t>
  </si>
  <si>
    <t>Facility Location</t>
  </si>
  <si>
    <t>x=</t>
  </si>
  <si>
    <t>y=</t>
  </si>
  <si>
    <t>Cost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</si>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</sst>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5" xfId="0" applyBorder="1"/>
    <xf numFmtId="0" fontId="0" fillId="4" borderId="1" xfId="0" applyFill="1" applyBorder="1"/>
    <xf numFmtId="0" fontId="0" fillId="4" borderId="5" xfId="0" applyFill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0" fillId="5" borderId="0" xfId="0" applyFill="1"/>
    <xf numFmtId="0" fontId="0" fillId="6" borderId="0" xfId="0" applyFill="1"/>
    <xf numFmtId="0" fontId="1" fillId="0" borderId="10" xfId="0" applyFont="1" applyBorder="1" applyAlignment="1">
      <alignment horizontal="center" vertical="top" wrapText="1"/>
    </xf>
    <xf numFmtId="0" fontId="0" fillId="3" borderId="0" xfId="0" applyFill="1"/>
    <xf numFmtId="0" fontId="1" fillId="3" borderId="0" xfId="0" applyFont="1" applyFill="1" applyAlignment="1">
      <alignment horizontal="center" vertical="top" wrapText="1"/>
    </xf>
    <xf numFmtId="0" fontId="0" fillId="7" borderId="1" xfId="0" applyFill="1" applyBorder="1"/>
    <xf numFmtId="0" fontId="0" fillId="5" borderId="1" xfId="0" applyFill="1" applyBorder="1"/>
    <xf numFmtId="0" fontId="0" fillId="7" borderId="0" xfId="0" applyFill="1"/>
    <xf numFmtId="0" fontId="1" fillId="7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4" borderId="0" xfId="0" applyFill="1"/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0DE6-4098-4E5D-8ABF-7444F2AE10DD}">
  <dimension ref="A1:J31"/>
  <sheetViews>
    <sheetView workbookViewId="0">
      <selection activeCell="E1" sqref="E1"/>
    </sheetView>
  </sheetViews>
  <sheetFormatPr defaultRowHeight="14.4" x14ac:dyDescent="0.3"/>
  <sheetData>
    <row r="1" spans="1:10" x14ac:dyDescent="0.3">
      <c r="A1" t="s">
        <v>118</v>
      </c>
    </row>
    <row r="2" spans="1:10" x14ac:dyDescent="0.3">
      <c r="B2" s="49" t="s">
        <v>119</v>
      </c>
      <c r="C2" s="49"/>
      <c r="D2" s="49"/>
      <c r="E2" s="49"/>
      <c r="F2" s="49"/>
      <c r="G2" t="s">
        <v>120</v>
      </c>
      <c r="H2" t="s">
        <v>121</v>
      </c>
      <c r="I2" t="s">
        <v>120</v>
      </c>
      <c r="J2" t="s">
        <v>122</v>
      </c>
    </row>
    <row r="3" spans="1:10" x14ac:dyDescent="0.3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</row>
    <row r="4" spans="1:10" x14ac:dyDescent="0.3">
      <c r="A4" t="s">
        <v>124</v>
      </c>
      <c r="B4">
        <v>81</v>
      </c>
      <c r="C4">
        <v>92</v>
      </c>
      <c r="D4">
        <v>101</v>
      </c>
      <c r="E4">
        <v>130</v>
      </c>
      <c r="F4">
        <v>115</v>
      </c>
      <c r="G4">
        <v>6000</v>
      </c>
      <c r="H4">
        <v>10</v>
      </c>
      <c r="I4">
        <v>9000</v>
      </c>
      <c r="J4">
        <v>20</v>
      </c>
    </row>
    <row r="5" spans="1:10" x14ac:dyDescent="0.3">
      <c r="A5" t="s">
        <v>125</v>
      </c>
      <c r="B5">
        <v>117</v>
      </c>
      <c r="C5">
        <v>77</v>
      </c>
      <c r="D5">
        <v>108</v>
      </c>
      <c r="E5">
        <v>98</v>
      </c>
      <c r="F5">
        <v>100</v>
      </c>
      <c r="G5">
        <v>4500</v>
      </c>
      <c r="H5">
        <v>10</v>
      </c>
      <c r="I5">
        <v>6750</v>
      </c>
      <c r="J5">
        <v>20</v>
      </c>
    </row>
    <row r="6" spans="1:10" x14ac:dyDescent="0.3">
      <c r="A6" t="s">
        <v>126</v>
      </c>
      <c r="B6">
        <v>102</v>
      </c>
      <c r="C6">
        <v>105</v>
      </c>
      <c r="D6">
        <v>95</v>
      </c>
      <c r="E6">
        <v>119</v>
      </c>
      <c r="F6">
        <v>111</v>
      </c>
      <c r="G6">
        <v>6500</v>
      </c>
      <c r="H6">
        <v>10</v>
      </c>
      <c r="I6">
        <v>9750</v>
      </c>
      <c r="J6">
        <v>20</v>
      </c>
    </row>
    <row r="7" spans="1:10" x14ac:dyDescent="0.3">
      <c r="A7" t="s">
        <v>127</v>
      </c>
      <c r="B7">
        <v>115</v>
      </c>
      <c r="C7">
        <v>125</v>
      </c>
      <c r="D7">
        <v>90</v>
      </c>
      <c r="E7">
        <v>59</v>
      </c>
      <c r="F7">
        <v>74</v>
      </c>
      <c r="G7">
        <v>4100</v>
      </c>
      <c r="H7">
        <v>10</v>
      </c>
      <c r="I7">
        <v>6150</v>
      </c>
      <c r="J7">
        <v>20</v>
      </c>
    </row>
    <row r="8" spans="1:10" x14ac:dyDescent="0.3">
      <c r="A8" t="s">
        <v>128</v>
      </c>
      <c r="B8">
        <v>142</v>
      </c>
      <c r="C8">
        <v>100</v>
      </c>
      <c r="D8">
        <v>103</v>
      </c>
      <c r="E8">
        <v>105</v>
      </c>
      <c r="F8">
        <v>71</v>
      </c>
      <c r="G8">
        <v>4000</v>
      </c>
      <c r="H8">
        <v>10</v>
      </c>
      <c r="I8">
        <v>6000</v>
      </c>
      <c r="J8">
        <v>20</v>
      </c>
    </row>
    <row r="9" spans="1:10" x14ac:dyDescent="0.3">
      <c r="A9" t="s">
        <v>38</v>
      </c>
      <c r="B9">
        <v>12</v>
      </c>
      <c r="C9">
        <v>8</v>
      </c>
      <c r="D9">
        <v>14</v>
      </c>
      <c r="E9">
        <v>16</v>
      </c>
      <c r="F9">
        <v>7</v>
      </c>
    </row>
    <row r="12" spans="1:10" x14ac:dyDescent="0.3">
      <c r="B12" s="49" t="s">
        <v>119</v>
      </c>
      <c r="C12" s="49"/>
      <c r="D12" s="49"/>
      <c r="E12" s="49"/>
      <c r="F12" s="49"/>
      <c r="G12" t="s">
        <v>129</v>
      </c>
      <c r="H12" t="s">
        <v>129</v>
      </c>
    </row>
    <row r="13" spans="1:10" x14ac:dyDescent="0.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130</v>
      </c>
      <c r="H13" t="s">
        <v>130</v>
      </c>
    </row>
    <row r="14" spans="1:10" x14ac:dyDescent="0.3">
      <c r="A14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0" x14ac:dyDescent="0.3">
      <c r="A15" t="s">
        <v>125</v>
      </c>
      <c r="B15">
        <v>12.000000000000002</v>
      </c>
      <c r="C15">
        <v>7.9999999999999982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10" x14ac:dyDescent="0.3">
      <c r="A16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0" x14ac:dyDescent="0.3">
      <c r="A17" t="s">
        <v>127</v>
      </c>
      <c r="B17">
        <v>0</v>
      </c>
      <c r="C17">
        <v>0</v>
      </c>
      <c r="D17">
        <v>4.0000000000000036</v>
      </c>
      <c r="E17">
        <v>15.999999999999998</v>
      </c>
      <c r="F17">
        <v>0</v>
      </c>
      <c r="G17">
        <v>0</v>
      </c>
      <c r="H17">
        <v>1</v>
      </c>
    </row>
    <row r="18" spans="1:10" x14ac:dyDescent="0.3">
      <c r="A18" t="s">
        <v>128</v>
      </c>
      <c r="B18">
        <v>0</v>
      </c>
      <c r="C18">
        <v>0</v>
      </c>
      <c r="D18">
        <v>9.9999999999999964</v>
      </c>
      <c r="E18">
        <v>0</v>
      </c>
      <c r="F18">
        <v>7</v>
      </c>
      <c r="G18">
        <v>0</v>
      </c>
      <c r="H18">
        <v>1</v>
      </c>
    </row>
    <row r="20" spans="1:10" x14ac:dyDescent="0.3">
      <c r="A20" t="s">
        <v>11</v>
      </c>
    </row>
    <row r="21" spans="1:10" x14ac:dyDescent="0.3">
      <c r="A21" t="s">
        <v>123</v>
      </c>
      <c r="B21" t="s">
        <v>13</v>
      </c>
      <c r="J21">
        <f>MIN($B$31)</f>
        <v>23751</v>
      </c>
    </row>
    <row r="22" spans="1:10" x14ac:dyDescent="0.3">
      <c r="A22" t="s">
        <v>124</v>
      </c>
      <c r="B22" s="29">
        <f>G14*H4 + H14*J4 - SUM(B14:F14)</f>
        <v>0</v>
      </c>
      <c r="J22">
        <f>COUNT($B$14:$H$18)</f>
        <v>35</v>
      </c>
    </row>
    <row r="23" spans="1:10" x14ac:dyDescent="0.3">
      <c r="A23" t="s">
        <v>125</v>
      </c>
      <c r="B23" s="29">
        <f t="shared" ref="B23:B26" si="0">G15*H5 + H15*J5 - SUM(B15:F15)</f>
        <v>0</v>
      </c>
      <c r="J23" t="b">
        <f t="array" ref="J23">$B$14:$F$18&gt;=0</f>
        <v>1</v>
      </c>
    </row>
    <row r="24" spans="1:10" x14ac:dyDescent="0.3">
      <c r="A24" t="s">
        <v>126</v>
      </c>
      <c r="B24" s="29">
        <f t="shared" si="0"/>
        <v>0</v>
      </c>
      <c r="J24" t="b">
        <f t="array" ref="J24">$B$22:$B$26&gt;=0</f>
        <v>1</v>
      </c>
    </row>
    <row r="25" spans="1:10" x14ac:dyDescent="0.3">
      <c r="A25" t="s">
        <v>127</v>
      </c>
      <c r="B25" s="29">
        <f t="shared" si="0"/>
        <v>0</v>
      </c>
      <c r="J25" t="b">
        <f t="array" ref="J25">$B$28:$F$28=0</f>
        <v>1</v>
      </c>
    </row>
    <row r="26" spans="1:10" x14ac:dyDescent="0.3">
      <c r="A26" t="s">
        <v>128</v>
      </c>
      <c r="B26" s="29">
        <f t="shared" si="0"/>
        <v>3.0000000000000036</v>
      </c>
      <c r="J26" t="b">
        <f t="array" ref="J26">($G$14:$H$18=0)+($G$14:$H$18=1)=1</f>
        <v>1</v>
      </c>
    </row>
    <row r="27" spans="1:10" x14ac:dyDescent="0.3"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J27">
        <f>{32767,32767,0.000001,0.01,TRUE,FALSE,FALSE,1,2,1,0.0001,FALSE}</f>
        <v>32767</v>
      </c>
    </row>
    <row r="28" spans="1:10" x14ac:dyDescent="0.3">
      <c r="A28" t="s">
        <v>14</v>
      </c>
      <c r="B28">
        <f>B9 - SUM(B14:B18)</f>
        <v>0</v>
      </c>
      <c r="C28">
        <f t="shared" ref="C28:F28" si="1">C9 - SUM(C14:C18)</f>
        <v>0</v>
      </c>
      <c r="D28">
        <f t="shared" si="1"/>
        <v>0</v>
      </c>
      <c r="E28">
        <f t="shared" si="1"/>
        <v>0</v>
      </c>
      <c r="F28">
        <f t="shared" si="1"/>
        <v>0</v>
      </c>
      <c r="J28">
        <f>{0,0,2,100,0,FALSE,FALSE,0.075,0,0,FALSE,30}</f>
        <v>0</v>
      </c>
    </row>
    <row r="30" spans="1:10" x14ac:dyDescent="0.3">
      <c r="A30" t="s">
        <v>16</v>
      </c>
    </row>
    <row r="31" spans="1:10" x14ac:dyDescent="0.3">
      <c r="A31" t="s">
        <v>15</v>
      </c>
      <c r="B31" s="29">
        <f>SUMPRODUCT(B14:F18,B4:F8) + SUMPRODUCT(G14:G18,G4:G8) + SUMPRODUCT(H14:H18,I4:I8)</f>
        <v>23751</v>
      </c>
    </row>
  </sheetData>
  <mergeCells count="2">
    <mergeCell ref="B2:F2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46E-06C2-4505-B222-61A4546AC971}">
  <dimension ref="A3:G19"/>
  <sheetViews>
    <sheetView workbookViewId="0">
      <selection activeCell="E16" sqref="E16"/>
    </sheetView>
  </sheetViews>
  <sheetFormatPr defaultRowHeight="14.4" x14ac:dyDescent="0.3"/>
  <cols>
    <col min="7" max="7" width="9.5546875" bestFit="1" customWidth="1"/>
  </cols>
  <sheetData>
    <row r="3" spans="1:7" x14ac:dyDescent="0.3">
      <c r="B3" t="s">
        <v>131</v>
      </c>
      <c r="C3" t="s">
        <v>132</v>
      </c>
      <c r="D3" t="s">
        <v>133</v>
      </c>
      <c r="E3" t="s">
        <v>134</v>
      </c>
    </row>
    <row r="4" spans="1:7" x14ac:dyDescent="0.3"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7" x14ac:dyDescent="0.3">
      <c r="A5" t="s">
        <v>140</v>
      </c>
      <c r="B5" t="s">
        <v>141</v>
      </c>
      <c r="C5">
        <v>0.9</v>
      </c>
      <c r="D5">
        <v>500</v>
      </c>
      <c r="E5">
        <v>700</v>
      </c>
      <c r="F5">
        <v>1200</v>
      </c>
      <c r="G5" s="50">
        <f>SQRT(($B$16-E5)^2+($B$17-F5)^2)</f>
        <v>318.55256615452231</v>
      </c>
    </row>
    <row r="6" spans="1:7" x14ac:dyDescent="0.3">
      <c r="B6" t="s">
        <v>3</v>
      </c>
      <c r="C6">
        <v>0.95</v>
      </c>
      <c r="D6">
        <v>300</v>
      </c>
      <c r="E6">
        <v>250</v>
      </c>
      <c r="F6">
        <v>600</v>
      </c>
      <c r="G6" s="50">
        <f t="shared" ref="G6:G12" si="0">SQRT(($B$16-E6)^2+($B$17-F6)^2)</f>
        <v>515.31085502785174</v>
      </c>
    </row>
    <row r="7" spans="1:7" x14ac:dyDescent="0.3">
      <c r="B7" t="s">
        <v>142</v>
      </c>
      <c r="C7">
        <v>0.85</v>
      </c>
      <c r="D7">
        <v>700</v>
      </c>
      <c r="E7">
        <v>225</v>
      </c>
      <c r="F7">
        <v>825</v>
      </c>
      <c r="G7" s="50">
        <f t="shared" si="0"/>
        <v>459.85001861662386</v>
      </c>
    </row>
    <row r="8" spans="1:7" x14ac:dyDescent="0.3">
      <c r="A8" t="s">
        <v>150</v>
      </c>
      <c r="B8" t="s">
        <v>5</v>
      </c>
      <c r="C8">
        <v>1.5</v>
      </c>
      <c r="D8">
        <v>225</v>
      </c>
      <c r="E8">
        <v>600</v>
      </c>
      <c r="F8">
        <v>500</v>
      </c>
      <c r="G8" s="50">
        <f t="shared" si="0"/>
        <v>390.5530864999767</v>
      </c>
    </row>
    <row r="9" spans="1:7" x14ac:dyDescent="0.3">
      <c r="B9" t="s">
        <v>6</v>
      </c>
      <c r="C9">
        <v>1.5</v>
      </c>
      <c r="D9">
        <v>150</v>
      </c>
      <c r="E9">
        <v>1050</v>
      </c>
      <c r="F9">
        <v>1200</v>
      </c>
      <c r="G9" s="50">
        <f t="shared" si="0"/>
        <v>486.89102019713636</v>
      </c>
    </row>
    <row r="10" spans="1:7" x14ac:dyDescent="0.3">
      <c r="B10" t="s">
        <v>143</v>
      </c>
      <c r="C10">
        <v>1.5</v>
      </c>
      <c r="D10">
        <v>250</v>
      </c>
      <c r="E10">
        <v>800</v>
      </c>
      <c r="F10">
        <v>300</v>
      </c>
      <c r="G10" s="50">
        <f t="shared" si="0"/>
        <v>593.97700978652085</v>
      </c>
    </row>
    <row r="11" spans="1:7" x14ac:dyDescent="0.3">
      <c r="B11" t="s">
        <v>144</v>
      </c>
      <c r="C11">
        <v>1.5</v>
      </c>
      <c r="D11">
        <v>175</v>
      </c>
      <c r="E11">
        <v>925</v>
      </c>
      <c r="F11">
        <v>975</v>
      </c>
      <c r="G11" s="50">
        <f t="shared" si="0"/>
        <v>260.8396711227885</v>
      </c>
    </row>
    <row r="12" spans="1:7" x14ac:dyDescent="0.3">
      <c r="B12" t="s">
        <v>145</v>
      </c>
      <c r="C12">
        <v>1.5</v>
      </c>
      <c r="D12">
        <v>300</v>
      </c>
      <c r="E12">
        <v>1000</v>
      </c>
      <c r="F12">
        <v>1080</v>
      </c>
      <c r="G12" s="50">
        <f t="shared" si="0"/>
        <v>375.19654225190624</v>
      </c>
    </row>
    <row r="14" spans="1:7" x14ac:dyDescent="0.3">
      <c r="A14" t="s">
        <v>146</v>
      </c>
    </row>
    <row r="16" spans="1:7" x14ac:dyDescent="0.3">
      <c r="A16" t="s">
        <v>147</v>
      </c>
      <c r="B16">
        <v>681.30410265003297</v>
      </c>
      <c r="E16">
        <f>MIN($B$19)</f>
        <v>1265235.3921204968</v>
      </c>
    </row>
    <row r="17" spans="1:5" x14ac:dyDescent="0.3">
      <c r="A17" t="s">
        <v>148</v>
      </c>
      <c r="B17">
        <v>881.99653960072885</v>
      </c>
      <c r="E17">
        <f>COUNT($B$16:$B$17)</f>
        <v>2</v>
      </c>
    </row>
    <row r="18" spans="1:5" x14ac:dyDescent="0.3">
      <c r="E18">
        <f>{32767,32767,0.000001,0.01,FALSE,FALSE,TRUE,1,1,1,0.0001,FALSE}</f>
        <v>32767</v>
      </c>
    </row>
    <row r="19" spans="1:5" x14ac:dyDescent="0.3">
      <c r="A19" t="s">
        <v>149</v>
      </c>
      <c r="B19">
        <f>SUMPRODUCT(G5:G12,D5:D12,C5:C12)</f>
        <v>1265235.3921204968</v>
      </c>
      <c r="E19">
        <f>{0,0,1,100,0,FALSE,TRUE,0.075,0,0,FALSE,30}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10" zoomScaleNormal="100" workbookViewId="0">
      <selection activeCell="E39" sqref="E39"/>
    </sheetView>
  </sheetViews>
  <sheetFormatPr defaultRowHeight="14.4" x14ac:dyDescent="0.3"/>
  <cols>
    <col min="1" max="1" width="15.5546875" customWidth="1"/>
    <col min="2" max="2" width="17.33203125" customWidth="1"/>
    <col min="3" max="3" width="15.44140625" customWidth="1"/>
    <col min="4" max="4" width="13.44140625" customWidth="1"/>
    <col min="5" max="5" width="12.88671875" customWidth="1"/>
    <col min="8" max="8" width="12.44140625" customWidth="1"/>
    <col min="9" max="9" width="15.88671875" customWidth="1"/>
    <col min="10" max="10" width="15.6640625" customWidth="1"/>
  </cols>
  <sheetData>
    <row r="1" spans="1:10" x14ac:dyDescent="0.3">
      <c r="B1" s="2"/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24</v>
      </c>
      <c r="J1" s="3" t="s">
        <v>23</v>
      </c>
    </row>
    <row r="2" spans="1:10" x14ac:dyDescent="0.3">
      <c r="A2" s="6" t="s">
        <v>17</v>
      </c>
      <c r="B2" s="3" t="s">
        <v>0</v>
      </c>
      <c r="C2" s="5">
        <v>1675</v>
      </c>
      <c r="D2" s="5">
        <v>400</v>
      </c>
      <c r="E2" s="5">
        <v>685</v>
      </c>
      <c r="F2" s="2">
        <v>1630</v>
      </c>
      <c r="G2" s="2">
        <v>1160</v>
      </c>
      <c r="H2" s="2">
        <v>2800</v>
      </c>
      <c r="I2" s="2">
        <v>7650</v>
      </c>
      <c r="J2" s="2">
        <v>18</v>
      </c>
    </row>
    <row r="3" spans="1:10" x14ac:dyDescent="0.3">
      <c r="A3" s="6"/>
      <c r="B3" s="3" t="s">
        <v>3</v>
      </c>
      <c r="C3" s="5">
        <v>380</v>
      </c>
      <c r="D3" s="5">
        <v>1355</v>
      </c>
      <c r="E3" s="5">
        <v>543</v>
      </c>
      <c r="F3" s="2">
        <v>1045</v>
      </c>
      <c r="G3" s="2">
        <v>665</v>
      </c>
      <c r="H3" s="2">
        <v>2321</v>
      </c>
      <c r="I3" s="2">
        <v>4100</v>
      </c>
      <c r="J3" s="2">
        <v>22</v>
      </c>
    </row>
    <row r="4" spans="1:10" x14ac:dyDescent="0.3">
      <c r="A4" s="6"/>
      <c r="B4" s="3" t="s">
        <v>4</v>
      </c>
      <c r="C4" s="5">
        <v>922</v>
      </c>
      <c r="D4" s="5">
        <v>1646</v>
      </c>
      <c r="E4" s="5">
        <v>700</v>
      </c>
      <c r="F4" s="2">
        <v>508</v>
      </c>
      <c r="G4" s="2">
        <v>311</v>
      </c>
      <c r="H4" s="2">
        <v>1797</v>
      </c>
      <c r="I4" s="2">
        <v>2200</v>
      </c>
      <c r="J4" s="2">
        <v>31</v>
      </c>
    </row>
    <row r="5" spans="1:10" x14ac:dyDescent="0.3">
      <c r="A5" s="7" t="s">
        <v>18</v>
      </c>
      <c r="B5" s="3" t="s">
        <v>2</v>
      </c>
      <c r="C5" s="2">
        <v>1925</v>
      </c>
      <c r="D5" s="2">
        <v>2400</v>
      </c>
      <c r="E5" s="2">
        <v>1450</v>
      </c>
      <c r="F5" s="4">
        <v>500</v>
      </c>
      <c r="G5" s="4">
        <v>950</v>
      </c>
      <c r="H5" s="4">
        <v>800</v>
      </c>
      <c r="I5" s="2">
        <v>5000</v>
      </c>
      <c r="J5" s="2">
        <v>27</v>
      </c>
    </row>
    <row r="6" spans="1:10" x14ac:dyDescent="0.3">
      <c r="A6" s="8"/>
      <c r="B6" s="3" t="s">
        <v>1</v>
      </c>
      <c r="C6" s="2">
        <v>1460</v>
      </c>
      <c r="D6" s="2">
        <v>1940</v>
      </c>
      <c r="E6" s="2">
        <v>970</v>
      </c>
      <c r="F6" s="4">
        <v>100</v>
      </c>
      <c r="G6" s="4">
        <v>495</v>
      </c>
      <c r="H6" s="4">
        <v>1200</v>
      </c>
      <c r="I6" s="2">
        <v>3500</v>
      </c>
      <c r="J6" s="2">
        <v>24</v>
      </c>
    </row>
    <row r="7" spans="1:10" x14ac:dyDescent="0.3">
      <c r="A7" s="2"/>
      <c r="B7" s="3" t="s">
        <v>25</v>
      </c>
      <c r="C7" s="2">
        <v>10</v>
      </c>
      <c r="D7" s="2">
        <v>8</v>
      </c>
      <c r="E7" s="2">
        <v>14</v>
      </c>
      <c r="F7" s="2">
        <v>6</v>
      </c>
      <c r="G7" s="2">
        <v>7</v>
      </c>
      <c r="H7" s="2">
        <v>11</v>
      </c>
      <c r="I7" s="2"/>
      <c r="J7" s="2"/>
    </row>
    <row r="11" spans="1:10" x14ac:dyDescent="0.3">
      <c r="B11" s="2"/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10" x14ac:dyDescent="0.3">
      <c r="A12" s="51" t="s">
        <v>17</v>
      </c>
      <c r="B12" s="3" t="s">
        <v>0</v>
      </c>
      <c r="C12" s="29">
        <v>0</v>
      </c>
      <c r="D12" s="29">
        <v>8</v>
      </c>
      <c r="E12" s="29">
        <v>2</v>
      </c>
      <c r="F12" s="2">
        <v>0</v>
      </c>
      <c r="G12" s="2">
        <v>0</v>
      </c>
      <c r="H12" s="2">
        <v>0</v>
      </c>
    </row>
    <row r="13" spans="1:10" x14ac:dyDescent="0.3">
      <c r="A13" s="51"/>
      <c r="B13" s="3" t="s">
        <v>3</v>
      </c>
      <c r="C13" s="29">
        <v>10</v>
      </c>
      <c r="D13" s="29">
        <v>0</v>
      </c>
      <c r="E13" s="29">
        <v>12</v>
      </c>
      <c r="F13" s="2">
        <v>0</v>
      </c>
      <c r="G13" s="2">
        <v>0</v>
      </c>
      <c r="H13" s="2">
        <v>0</v>
      </c>
    </row>
    <row r="14" spans="1:10" x14ac:dyDescent="0.3">
      <c r="A14" s="51"/>
      <c r="B14" s="3" t="s">
        <v>4</v>
      </c>
      <c r="C14" s="29">
        <v>0</v>
      </c>
      <c r="D14" s="29">
        <v>0</v>
      </c>
      <c r="E14" s="29">
        <v>0</v>
      </c>
      <c r="F14" s="2">
        <v>0</v>
      </c>
      <c r="G14" s="2">
        <v>0</v>
      </c>
      <c r="H14" s="2">
        <v>0</v>
      </c>
    </row>
    <row r="15" spans="1:10" x14ac:dyDescent="0.3">
      <c r="A15" s="52" t="s">
        <v>18</v>
      </c>
      <c r="B15" s="3" t="s">
        <v>2</v>
      </c>
      <c r="C15" s="2">
        <v>0</v>
      </c>
      <c r="D15" s="2">
        <v>0</v>
      </c>
      <c r="E15" s="2">
        <v>0</v>
      </c>
      <c r="F15" s="29">
        <v>0</v>
      </c>
      <c r="G15" s="29">
        <v>0</v>
      </c>
      <c r="H15" s="29">
        <v>11</v>
      </c>
    </row>
    <row r="16" spans="1:10" x14ac:dyDescent="0.3">
      <c r="A16" s="53"/>
      <c r="B16" s="3" t="s">
        <v>1</v>
      </c>
      <c r="C16" s="2">
        <v>0</v>
      </c>
      <c r="D16" s="2">
        <v>0</v>
      </c>
      <c r="E16" s="2">
        <v>0</v>
      </c>
      <c r="F16" s="29">
        <v>6</v>
      </c>
      <c r="G16" s="29">
        <v>7</v>
      </c>
      <c r="H16" s="29">
        <v>0</v>
      </c>
      <c r="J16">
        <f>MIN($C$30)</f>
        <v>27751</v>
      </c>
    </row>
    <row r="17" spans="1:10" x14ac:dyDescent="0.3">
      <c r="A17" s="1"/>
      <c r="B17" s="1"/>
      <c r="J17">
        <f>COUNT($C$12:$H$16)</f>
        <v>30</v>
      </c>
    </row>
    <row r="18" spans="1:10" x14ac:dyDescent="0.3">
      <c r="B18" s="1" t="s">
        <v>11</v>
      </c>
      <c r="J18" t="b">
        <f t="array" ref="J18">$C$12:$H$16&gt;=0</f>
        <v>1</v>
      </c>
    </row>
    <row r="19" spans="1:10" x14ac:dyDescent="0.3">
      <c r="B19" s="3" t="s">
        <v>12</v>
      </c>
      <c r="C19" s="3" t="s">
        <v>13</v>
      </c>
      <c r="J19" t="b">
        <f t="array" ref="J19">$C$15:$E$16=0</f>
        <v>1</v>
      </c>
    </row>
    <row r="20" spans="1:10" x14ac:dyDescent="0.3">
      <c r="B20" s="2" t="s">
        <v>0</v>
      </c>
      <c r="C20" s="2">
        <f>J2-SUM(C12:H12)</f>
        <v>8</v>
      </c>
      <c r="J20" t="b">
        <f t="array" ref="J20">$C$20:$C$24&gt;=0</f>
        <v>1</v>
      </c>
    </row>
    <row r="21" spans="1:10" x14ac:dyDescent="0.3">
      <c r="B21" s="2" t="s">
        <v>3</v>
      </c>
      <c r="C21" s="2">
        <f t="shared" ref="C21:C24" si="0">J3-SUM(C13:H13)</f>
        <v>0</v>
      </c>
      <c r="J21" t="b">
        <f t="array" ref="J21">$C$27:$H$27=0</f>
        <v>1</v>
      </c>
    </row>
    <row r="22" spans="1:10" x14ac:dyDescent="0.3">
      <c r="B22" s="2" t="s">
        <v>4</v>
      </c>
      <c r="C22" s="2">
        <f t="shared" si="0"/>
        <v>31</v>
      </c>
      <c r="J22" t="b">
        <f t="array" ref="J22">$F$12:$H$14=0</f>
        <v>1</v>
      </c>
    </row>
    <row r="23" spans="1:10" x14ac:dyDescent="0.3">
      <c r="B23" s="2" t="s">
        <v>2</v>
      </c>
      <c r="C23" s="2">
        <f t="shared" si="0"/>
        <v>16</v>
      </c>
      <c r="J23">
        <f>{100,100,0.000001,0.05,TRUE,FALSE,FALSE,1,1,1,0.0001,TRUE}</f>
        <v>100</v>
      </c>
    </row>
    <row r="24" spans="1:10" x14ac:dyDescent="0.3">
      <c r="B24" s="2" t="s">
        <v>1</v>
      </c>
      <c r="C24" s="2">
        <f t="shared" si="0"/>
        <v>11</v>
      </c>
      <c r="J24">
        <f>{100,100,2,100,0,FALSE,TRUE,0.075,0,0,FALSE,30}</f>
        <v>100</v>
      </c>
    </row>
    <row r="25" spans="1:10" x14ac:dyDescent="0.3">
      <c r="B25" s="2"/>
    </row>
    <row r="26" spans="1:10" x14ac:dyDescent="0.3">
      <c r="B26" s="2"/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</row>
    <row r="27" spans="1:10" x14ac:dyDescent="0.3">
      <c r="B27" s="2" t="s">
        <v>14</v>
      </c>
      <c r="C27" s="2">
        <f>C7-SUM(C12:C16)</f>
        <v>0</v>
      </c>
      <c r="D27" s="2">
        <f t="shared" ref="D27:H27" si="1">D7-SUM(D12:D16)</f>
        <v>0</v>
      </c>
      <c r="E27" s="2">
        <f t="shared" si="1"/>
        <v>0</v>
      </c>
      <c r="F27" s="2">
        <f t="shared" si="1"/>
        <v>0</v>
      </c>
      <c r="G27" s="2">
        <f t="shared" si="1"/>
        <v>0</v>
      </c>
      <c r="H27" s="2">
        <f t="shared" si="1"/>
        <v>0</v>
      </c>
    </row>
    <row r="29" spans="1:10" x14ac:dyDescent="0.3">
      <c r="B29" s="1" t="s">
        <v>16</v>
      </c>
    </row>
    <row r="30" spans="1:10" x14ac:dyDescent="0.3">
      <c r="B30" s="2" t="s">
        <v>15</v>
      </c>
      <c r="C30" s="2">
        <f>SUMPRODUCT(C2:H6,C12:H16)</f>
        <v>27751</v>
      </c>
    </row>
    <row r="32" spans="1:10" x14ac:dyDescent="0.3">
      <c r="C32" s="1" t="s">
        <v>19</v>
      </c>
      <c r="D32" s="1" t="s">
        <v>20</v>
      </c>
      <c r="E32" s="1" t="s">
        <v>21</v>
      </c>
    </row>
    <row r="33" spans="2:5" x14ac:dyDescent="0.3">
      <c r="B33" t="s">
        <v>22</v>
      </c>
      <c r="C33">
        <f>I2+I3+I4</f>
        <v>13950</v>
      </c>
      <c r="D33">
        <f>SUMPRODUCT(C2:E4,C12:E14)</f>
        <v>14886</v>
      </c>
      <c r="E33">
        <f>SUM(C33:D33)</f>
        <v>28836</v>
      </c>
    </row>
    <row r="34" spans="2:5" x14ac:dyDescent="0.3">
      <c r="B34" t="s">
        <v>18</v>
      </c>
      <c r="C34">
        <f>I5+I6</f>
        <v>8500</v>
      </c>
      <c r="D34">
        <f>SUMPRODUCT(F5:H6,F15:H16)</f>
        <v>12865</v>
      </c>
      <c r="E34">
        <f>SUM(C34:D34)</f>
        <v>21365</v>
      </c>
    </row>
    <row r="35" spans="2:5" x14ac:dyDescent="0.3">
      <c r="E35" s="1">
        <f>E33+E34</f>
        <v>50201</v>
      </c>
    </row>
  </sheetData>
  <mergeCells count="4">
    <mergeCell ref="A2:A4"/>
    <mergeCell ref="A5:A6"/>
    <mergeCell ref="A12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520A-CAFE-42D3-A9C1-621FE4366949}">
  <dimension ref="A1:S67"/>
  <sheetViews>
    <sheetView zoomScale="115" zoomScaleNormal="115" workbookViewId="0">
      <selection sqref="A1:M2"/>
    </sheetView>
  </sheetViews>
  <sheetFormatPr defaultRowHeight="14.4" x14ac:dyDescent="0.3"/>
  <sheetData>
    <row r="1" spans="1:14" x14ac:dyDescent="0.3">
      <c r="A1" s="16" t="s">
        <v>76</v>
      </c>
      <c r="B1" s="17" t="s">
        <v>77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20"/>
    </row>
    <row r="2" spans="1:14" x14ac:dyDescent="0.3">
      <c r="A2" s="21"/>
      <c r="B2" s="22">
        <v>0</v>
      </c>
      <c r="C2" s="23">
        <v>1</v>
      </c>
      <c r="D2" s="23">
        <v>2</v>
      </c>
      <c r="E2" s="23">
        <v>3</v>
      </c>
      <c r="F2" s="23">
        <v>4</v>
      </c>
      <c r="G2" s="23">
        <v>5</v>
      </c>
      <c r="H2" s="23">
        <v>6</v>
      </c>
      <c r="I2" s="23">
        <v>7</v>
      </c>
      <c r="J2" s="23">
        <v>8</v>
      </c>
      <c r="K2" s="24">
        <v>9</v>
      </c>
      <c r="L2" s="25"/>
      <c r="M2" s="25"/>
      <c r="N2" s="25"/>
    </row>
    <row r="3" spans="1:14" x14ac:dyDescent="0.3">
      <c r="A3" s="26"/>
      <c r="B3" s="27"/>
      <c r="C3" s="27"/>
      <c r="D3" s="27"/>
      <c r="E3" s="27"/>
      <c r="F3" s="27"/>
      <c r="G3" s="27"/>
    </row>
    <row r="4" spans="1:14" x14ac:dyDescent="0.3">
      <c r="A4" s="2" t="s">
        <v>78</v>
      </c>
      <c r="B4" s="2"/>
      <c r="C4" s="2">
        <v>150</v>
      </c>
      <c r="D4" s="2">
        <v>0</v>
      </c>
      <c r="E4" s="2">
        <v>0</v>
      </c>
      <c r="F4" s="2">
        <v>120</v>
      </c>
      <c r="G4" s="2">
        <v>0</v>
      </c>
      <c r="H4" s="2">
        <v>150</v>
      </c>
      <c r="I4" s="2">
        <v>120</v>
      </c>
      <c r="J4" s="2">
        <v>0</v>
      </c>
      <c r="K4" s="28"/>
      <c r="M4" t="s">
        <v>79</v>
      </c>
      <c r="N4">
        <v>100</v>
      </c>
    </row>
    <row r="5" spans="1:14" x14ac:dyDescent="0.3">
      <c r="A5" s="2" t="s">
        <v>80</v>
      </c>
      <c r="B5" s="2"/>
      <c r="C5" s="2">
        <v>230</v>
      </c>
      <c r="D5" s="2"/>
      <c r="E5" s="2"/>
      <c r="F5" s="2"/>
      <c r="G5" s="2"/>
      <c r="H5" s="2"/>
      <c r="I5" s="2"/>
      <c r="J5" s="2"/>
      <c r="K5" s="28"/>
      <c r="M5" t="s">
        <v>81</v>
      </c>
      <c r="N5">
        <v>1</v>
      </c>
    </row>
    <row r="6" spans="1:14" x14ac:dyDescent="0.3">
      <c r="A6" s="2" t="s">
        <v>82</v>
      </c>
      <c r="B6" s="2">
        <v>37</v>
      </c>
      <c r="C6" s="2">
        <f>B6</f>
        <v>37</v>
      </c>
      <c r="D6" s="2">
        <v>117</v>
      </c>
      <c r="E6" s="2">
        <v>117</v>
      </c>
      <c r="F6" s="2">
        <v>117</v>
      </c>
      <c r="G6" s="2">
        <v>0</v>
      </c>
      <c r="H6" s="2">
        <v>0</v>
      </c>
      <c r="I6" s="2">
        <v>0</v>
      </c>
      <c r="J6" s="2">
        <v>0</v>
      </c>
      <c r="K6" s="28"/>
      <c r="M6" t="s">
        <v>83</v>
      </c>
      <c r="N6" t="s">
        <v>84</v>
      </c>
    </row>
    <row r="7" spans="1:14" x14ac:dyDescent="0.3">
      <c r="A7" s="2" t="s">
        <v>85</v>
      </c>
      <c r="B7" s="2"/>
      <c r="C7" s="2"/>
      <c r="D7" s="2"/>
      <c r="E7" s="2"/>
      <c r="F7" s="2">
        <v>3</v>
      </c>
      <c r="G7" s="2"/>
      <c r="H7" s="2">
        <v>150</v>
      </c>
      <c r="I7" s="2">
        <v>120</v>
      </c>
      <c r="J7" s="2"/>
      <c r="K7" s="28"/>
    </row>
    <row r="8" spans="1:14" x14ac:dyDescent="0.3">
      <c r="A8" s="2" t="s">
        <v>86</v>
      </c>
      <c r="B8" s="2"/>
      <c r="C8" s="2"/>
      <c r="D8" s="2"/>
      <c r="E8" s="2"/>
      <c r="F8" s="2">
        <v>3</v>
      </c>
      <c r="G8" s="2"/>
      <c r="H8" s="2">
        <v>150</v>
      </c>
      <c r="I8" s="2">
        <v>120</v>
      </c>
      <c r="J8" s="2"/>
      <c r="K8" s="28"/>
    </row>
    <row r="9" spans="1:14" x14ac:dyDescent="0.3">
      <c r="A9" s="2" t="s">
        <v>87</v>
      </c>
      <c r="B9" s="2"/>
      <c r="C9" s="2"/>
      <c r="D9" s="2">
        <v>3</v>
      </c>
      <c r="E9" s="2"/>
      <c r="F9" s="2">
        <v>150</v>
      </c>
      <c r="G9" s="29">
        <v>120</v>
      </c>
      <c r="H9" s="29"/>
      <c r="I9" s="2"/>
      <c r="J9" s="2"/>
      <c r="K9" s="30"/>
    </row>
    <row r="10" spans="1:14" x14ac:dyDescent="0.3">
      <c r="A10" s="54"/>
      <c r="B10" s="54"/>
      <c r="C10" s="54"/>
      <c r="D10" s="54"/>
      <c r="E10" s="54" t="s">
        <v>88</v>
      </c>
      <c r="F10" s="54">
        <f>COUNT(D9,F9,G9)*N4</f>
        <v>300</v>
      </c>
      <c r="G10" s="54" t="s">
        <v>89</v>
      </c>
      <c r="H10" s="54">
        <f>SUM(D6:J6)*1</f>
        <v>351</v>
      </c>
      <c r="I10" s="54" t="s">
        <v>90</v>
      </c>
      <c r="J10" s="54">
        <f>F10+H10</f>
        <v>651</v>
      </c>
      <c r="K10" s="54"/>
    </row>
    <row r="11" spans="1:14" x14ac:dyDescent="0.3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</row>
    <row r="12" spans="1:14" x14ac:dyDescent="0.3">
      <c r="A12" s="55" t="s">
        <v>91</v>
      </c>
      <c r="B12" s="56" t="s">
        <v>77</v>
      </c>
      <c r="C12" s="56"/>
      <c r="D12" s="56"/>
      <c r="E12" s="56"/>
      <c r="F12" s="56"/>
      <c r="G12" s="56"/>
      <c r="H12" s="56"/>
      <c r="I12" s="56"/>
      <c r="J12" s="56"/>
      <c r="K12" s="57"/>
      <c r="L12" s="33"/>
      <c r="M12" s="33"/>
      <c r="N12" s="25"/>
    </row>
    <row r="13" spans="1:14" x14ac:dyDescent="0.3">
      <c r="A13" s="58"/>
      <c r="B13" s="59">
        <v>0</v>
      </c>
      <c r="C13" s="60">
        <v>1</v>
      </c>
      <c r="D13" s="60">
        <v>2</v>
      </c>
      <c r="E13" s="60">
        <v>3</v>
      </c>
      <c r="F13" s="60">
        <v>4</v>
      </c>
      <c r="G13" s="60">
        <v>5</v>
      </c>
      <c r="H13" s="60">
        <v>6</v>
      </c>
      <c r="I13" s="60">
        <v>7</v>
      </c>
      <c r="J13" s="60">
        <v>8</v>
      </c>
      <c r="K13" s="61">
        <v>9</v>
      </c>
      <c r="L13" s="25"/>
    </row>
    <row r="14" spans="1:14" x14ac:dyDescent="0.3">
      <c r="A14" s="62"/>
      <c r="B14" s="63"/>
      <c r="C14" s="63"/>
      <c r="D14" s="63"/>
      <c r="E14" s="63"/>
      <c r="F14" s="63"/>
      <c r="G14" s="63"/>
      <c r="H14" s="54"/>
      <c r="I14" s="54"/>
      <c r="J14" s="54"/>
      <c r="K14" s="54"/>
    </row>
    <row r="15" spans="1:14" x14ac:dyDescent="0.3">
      <c r="A15" s="29" t="s">
        <v>78</v>
      </c>
      <c r="B15" s="29"/>
      <c r="C15" s="29">
        <v>150</v>
      </c>
      <c r="D15" s="29">
        <v>0</v>
      </c>
      <c r="E15" s="29">
        <v>0</v>
      </c>
      <c r="F15" s="29">
        <v>120</v>
      </c>
      <c r="G15" s="29">
        <v>0</v>
      </c>
      <c r="H15" s="29">
        <v>150</v>
      </c>
      <c r="I15" s="29">
        <v>120</v>
      </c>
      <c r="J15" s="29">
        <v>0</v>
      </c>
      <c r="K15" s="30"/>
      <c r="L15" t="s">
        <v>91</v>
      </c>
      <c r="M15">
        <v>230</v>
      </c>
    </row>
    <row r="16" spans="1:14" x14ac:dyDescent="0.3">
      <c r="A16" s="29" t="s">
        <v>80</v>
      </c>
      <c r="B16" s="29"/>
      <c r="C16" s="29">
        <v>230</v>
      </c>
      <c r="D16" s="29"/>
      <c r="E16" s="29"/>
      <c r="F16" s="29"/>
      <c r="G16" s="29"/>
      <c r="H16" s="29"/>
      <c r="I16" s="29"/>
      <c r="J16" s="29"/>
      <c r="K16" s="30"/>
    </row>
    <row r="17" spans="1:11" x14ac:dyDescent="0.3">
      <c r="A17" s="29" t="s">
        <v>82</v>
      </c>
      <c r="B17" s="29">
        <v>37</v>
      </c>
      <c r="C17" s="29">
        <f>B17</f>
        <v>37</v>
      </c>
      <c r="D17" s="29">
        <v>117</v>
      </c>
      <c r="E17" s="29">
        <v>117</v>
      </c>
      <c r="F17" s="29">
        <v>117</v>
      </c>
      <c r="G17" s="29">
        <v>227</v>
      </c>
      <c r="H17" s="29">
        <v>227</v>
      </c>
      <c r="I17" s="29">
        <v>77</v>
      </c>
      <c r="J17" s="29">
        <v>187</v>
      </c>
      <c r="K17" s="30">
        <v>187</v>
      </c>
    </row>
    <row r="18" spans="1:11" x14ac:dyDescent="0.3">
      <c r="A18" s="29" t="s">
        <v>85</v>
      </c>
      <c r="B18" s="29"/>
      <c r="C18" s="29"/>
      <c r="D18" s="29"/>
      <c r="E18" s="29"/>
      <c r="F18" s="29">
        <v>3</v>
      </c>
      <c r="G18" s="29"/>
      <c r="H18" s="29">
        <v>0</v>
      </c>
      <c r="I18" s="29">
        <v>43</v>
      </c>
      <c r="J18" s="29">
        <v>0</v>
      </c>
      <c r="K18" s="30"/>
    </row>
    <row r="19" spans="1:11" x14ac:dyDescent="0.3">
      <c r="A19" s="29" t="s">
        <v>86</v>
      </c>
      <c r="B19" s="29"/>
      <c r="C19" s="29"/>
      <c r="D19" s="29"/>
      <c r="E19" s="29"/>
      <c r="F19" s="29">
        <v>230</v>
      </c>
      <c r="G19" s="29"/>
      <c r="H19" s="29">
        <v>0</v>
      </c>
      <c r="I19" s="29">
        <v>230</v>
      </c>
      <c r="J19" s="29">
        <v>0</v>
      </c>
      <c r="K19" s="30"/>
    </row>
    <row r="20" spans="1:11" x14ac:dyDescent="0.3">
      <c r="A20" s="29" t="s">
        <v>87</v>
      </c>
      <c r="B20" s="29"/>
      <c r="C20" s="29"/>
      <c r="D20" s="29">
        <v>230</v>
      </c>
      <c r="E20" s="29"/>
      <c r="F20" s="29"/>
      <c r="G20" s="29">
        <v>230</v>
      </c>
      <c r="H20" s="29"/>
      <c r="I20" s="29"/>
      <c r="J20" s="29"/>
      <c r="K20" s="30"/>
    </row>
    <row r="21" spans="1:11" x14ac:dyDescent="0.3">
      <c r="A21" s="54"/>
      <c r="B21" s="54"/>
      <c r="C21" s="54"/>
      <c r="D21" s="54"/>
      <c r="E21" s="54" t="s">
        <v>88</v>
      </c>
      <c r="F21" s="54">
        <f>COUNT(B20:K20) *$N$4</f>
        <v>200</v>
      </c>
      <c r="G21" s="54" t="s">
        <v>89</v>
      </c>
      <c r="H21" s="54">
        <f>SUM(D17:K17)*1</f>
        <v>1256</v>
      </c>
      <c r="I21" s="54" t="s">
        <v>90</v>
      </c>
      <c r="J21" s="54">
        <f>F21+H21</f>
        <v>1456</v>
      </c>
      <c r="K21" s="54"/>
    </row>
    <row r="22" spans="1:11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1" x14ac:dyDescent="0.3">
      <c r="A23" s="55" t="s">
        <v>92</v>
      </c>
      <c r="B23" s="56" t="s">
        <v>77</v>
      </c>
      <c r="C23" s="56"/>
      <c r="D23" s="56"/>
      <c r="E23" s="56"/>
      <c r="F23" s="56"/>
      <c r="G23" s="56"/>
      <c r="H23" s="56"/>
      <c r="I23" s="56"/>
      <c r="J23" s="56"/>
      <c r="K23" s="57"/>
    </row>
    <row r="24" spans="1:11" x14ac:dyDescent="0.3">
      <c r="A24" s="58"/>
      <c r="B24" s="59">
        <v>0</v>
      </c>
      <c r="C24" s="60">
        <v>1</v>
      </c>
      <c r="D24" s="60">
        <v>2</v>
      </c>
      <c r="E24" s="60">
        <v>3</v>
      </c>
      <c r="F24" s="60">
        <v>4</v>
      </c>
      <c r="G24" s="60">
        <v>5</v>
      </c>
      <c r="H24" s="60">
        <v>6</v>
      </c>
      <c r="I24" s="60">
        <v>7</v>
      </c>
      <c r="J24" s="60">
        <v>8</v>
      </c>
      <c r="K24" s="61">
        <v>9</v>
      </c>
    </row>
    <row r="25" spans="1:11" x14ac:dyDescent="0.3">
      <c r="A25" s="62"/>
      <c r="B25" s="63"/>
      <c r="C25" s="63"/>
      <c r="D25" s="63"/>
      <c r="E25" s="63"/>
      <c r="F25" s="63"/>
      <c r="G25" s="63"/>
      <c r="H25" s="54"/>
      <c r="I25" s="54"/>
      <c r="J25" s="54"/>
      <c r="K25" s="54"/>
    </row>
    <row r="26" spans="1:11" x14ac:dyDescent="0.3">
      <c r="A26" s="29" t="s">
        <v>78</v>
      </c>
      <c r="B26" s="29"/>
      <c r="C26" s="29">
        <v>150</v>
      </c>
      <c r="D26" s="29">
        <v>0</v>
      </c>
      <c r="E26" s="29">
        <v>0</v>
      </c>
      <c r="F26" s="29">
        <v>120</v>
      </c>
      <c r="G26" s="29">
        <v>0</v>
      </c>
      <c r="H26" s="29">
        <v>150</v>
      </c>
      <c r="I26" s="29">
        <v>120</v>
      </c>
      <c r="J26" s="29">
        <v>0</v>
      </c>
      <c r="K26" s="30"/>
    </row>
    <row r="27" spans="1:11" x14ac:dyDescent="0.3">
      <c r="A27" s="29" t="s">
        <v>80</v>
      </c>
      <c r="B27" s="29"/>
      <c r="C27" s="29">
        <v>230</v>
      </c>
      <c r="D27" s="29"/>
      <c r="E27" s="29"/>
      <c r="F27" s="29"/>
      <c r="G27" s="29"/>
      <c r="H27" s="29"/>
      <c r="I27" s="29"/>
      <c r="J27" s="29"/>
      <c r="K27" s="30"/>
    </row>
    <row r="28" spans="1:11" x14ac:dyDescent="0.3">
      <c r="A28" s="29" t="s">
        <v>82</v>
      </c>
      <c r="B28" s="29">
        <v>37</v>
      </c>
      <c r="C28" s="29">
        <f>B28</f>
        <v>37</v>
      </c>
      <c r="D28" s="29">
        <v>117</v>
      </c>
      <c r="E28" s="29">
        <v>117</v>
      </c>
      <c r="F28" s="29">
        <v>117</v>
      </c>
      <c r="G28" s="29">
        <f>F30-F26+F28</f>
        <v>150</v>
      </c>
      <c r="H28" s="29">
        <v>150</v>
      </c>
      <c r="I28" s="29">
        <v>0</v>
      </c>
      <c r="J28" s="29">
        <v>0</v>
      </c>
      <c r="K28" s="30"/>
    </row>
    <row r="29" spans="1:11" x14ac:dyDescent="0.3">
      <c r="A29" s="29" t="s">
        <v>85</v>
      </c>
      <c r="B29" s="29"/>
      <c r="C29" s="29"/>
      <c r="D29" s="29"/>
      <c r="E29" s="29"/>
      <c r="F29" s="29">
        <v>3</v>
      </c>
      <c r="G29" s="29"/>
      <c r="H29" s="29">
        <v>0</v>
      </c>
      <c r="I29" s="29">
        <v>120</v>
      </c>
      <c r="J29" s="29"/>
      <c r="K29" s="30"/>
    </row>
    <row r="30" spans="1:11" x14ac:dyDescent="0.3">
      <c r="A30" s="29" t="s">
        <v>86</v>
      </c>
      <c r="B30" s="29"/>
      <c r="C30" s="29"/>
      <c r="D30" s="29"/>
      <c r="E30" s="29"/>
      <c r="F30" s="29">
        <f>SUM(G26:H26)+F29</f>
        <v>153</v>
      </c>
      <c r="G30" s="29"/>
      <c r="H30" s="29"/>
      <c r="I30" s="29">
        <v>120</v>
      </c>
      <c r="J30" s="29"/>
      <c r="K30" s="30"/>
    </row>
    <row r="31" spans="1:11" x14ac:dyDescent="0.3">
      <c r="A31" s="29" t="s">
        <v>87</v>
      </c>
      <c r="B31" s="29"/>
      <c r="C31" s="29"/>
      <c r="D31" s="29">
        <v>3</v>
      </c>
      <c r="E31" s="29"/>
      <c r="F31" s="29"/>
      <c r="G31" s="29">
        <v>120</v>
      </c>
      <c r="H31" s="29"/>
      <c r="I31" s="29"/>
      <c r="J31" s="29"/>
      <c r="K31" s="30"/>
    </row>
    <row r="32" spans="1:11" x14ac:dyDescent="0.3">
      <c r="A32" s="54"/>
      <c r="B32" s="54"/>
      <c r="C32" s="54"/>
      <c r="D32" s="54"/>
      <c r="E32" s="54" t="s">
        <v>88</v>
      </c>
      <c r="F32" s="54">
        <f>COUNT(B31:K31) *$N$4</f>
        <v>200</v>
      </c>
      <c r="G32" s="54" t="s">
        <v>89</v>
      </c>
      <c r="H32" s="54">
        <f>SUM(D28:J28)*1</f>
        <v>651</v>
      </c>
      <c r="I32" s="54" t="s">
        <v>90</v>
      </c>
      <c r="J32" s="54">
        <f>F32+H32</f>
        <v>851</v>
      </c>
      <c r="K32" s="54"/>
    </row>
    <row r="34" spans="1:19" x14ac:dyDescent="0.3">
      <c r="A34" s="16" t="s">
        <v>93</v>
      </c>
      <c r="B34" s="32" t="s">
        <v>77</v>
      </c>
      <c r="C34" s="32"/>
      <c r="D34" s="32"/>
      <c r="E34" s="32"/>
      <c r="F34" s="32"/>
      <c r="G34" s="32"/>
      <c r="H34" s="32"/>
      <c r="I34" s="32"/>
      <c r="J34" s="32"/>
      <c r="K34" s="17"/>
    </row>
    <row r="35" spans="1:19" x14ac:dyDescent="0.3">
      <c r="A35" s="21"/>
      <c r="B35" s="22">
        <v>0</v>
      </c>
      <c r="C35" s="34">
        <v>1</v>
      </c>
      <c r="D35" s="34">
        <v>2</v>
      </c>
      <c r="E35" s="34">
        <v>3</v>
      </c>
      <c r="F35" s="36">
        <v>4</v>
      </c>
      <c r="G35" s="36">
        <v>5</v>
      </c>
      <c r="H35" s="37">
        <v>6</v>
      </c>
      <c r="I35" s="37">
        <v>7</v>
      </c>
      <c r="J35" s="34">
        <v>8</v>
      </c>
      <c r="K35" s="35">
        <v>9</v>
      </c>
      <c r="M35" t="s">
        <v>94</v>
      </c>
      <c r="N35">
        <f>100/1</f>
        <v>100</v>
      </c>
    </row>
    <row r="36" spans="1:19" x14ac:dyDescent="0.3">
      <c r="A36" s="26"/>
      <c r="B36" s="27"/>
      <c r="C36" s="27"/>
      <c r="D36" s="27"/>
      <c r="E36" s="27"/>
      <c r="F36" s="27"/>
      <c r="G36" s="27"/>
    </row>
    <row r="37" spans="1:19" x14ac:dyDescent="0.3">
      <c r="A37" s="2" t="s">
        <v>78</v>
      </c>
      <c r="B37" s="2"/>
      <c r="C37" s="2">
        <v>150</v>
      </c>
      <c r="D37" s="2">
        <v>0</v>
      </c>
      <c r="E37" s="2">
        <v>0</v>
      </c>
      <c r="F37" s="2">
        <v>120</v>
      </c>
      <c r="G37" s="2">
        <v>0</v>
      </c>
      <c r="H37" s="2">
        <v>150</v>
      </c>
      <c r="I37" s="2">
        <v>120</v>
      </c>
      <c r="J37" s="2">
        <v>0</v>
      </c>
      <c r="K37" s="28"/>
      <c r="L37" t="s">
        <v>59</v>
      </c>
      <c r="M37" t="s">
        <v>95</v>
      </c>
      <c r="N37" t="s">
        <v>96</v>
      </c>
      <c r="P37" t="s">
        <v>97</v>
      </c>
      <c r="Q37" t="s">
        <v>98</v>
      </c>
      <c r="R37" t="s">
        <v>99</v>
      </c>
    </row>
    <row r="38" spans="1:19" x14ac:dyDescent="0.3">
      <c r="A38" s="2" t="s">
        <v>80</v>
      </c>
      <c r="B38" s="2"/>
      <c r="C38" s="2">
        <v>230</v>
      </c>
      <c r="D38" s="2"/>
      <c r="E38" s="2"/>
      <c r="F38" s="2"/>
      <c r="G38" s="2"/>
      <c r="H38" s="2"/>
      <c r="I38" s="2"/>
      <c r="J38" s="2"/>
      <c r="K38" s="28"/>
      <c r="P38">
        <v>4</v>
      </c>
      <c r="Q38">
        <v>3</v>
      </c>
      <c r="R38" t="s">
        <v>100</v>
      </c>
      <c r="S38">
        <v>0</v>
      </c>
    </row>
    <row r="39" spans="1:19" x14ac:dyDescent="0.3">
      <c r="A39" s="2" t="s">
        <v>82</v>
      </c>
      <c r="B39" s="2">
        <v>37</v>
      </c>
      <c r="C39" s="2">
        <v>37</v>
      </c>
      <c r="D39" s="2">
        <v>117</v>
      </c>
      <c r="E39" s="2">
        <v>117</v>
      </c>
      <c r="F39" s="2">
        <v>117</v>
      </c>
      <c r="G39" s="2">
        <f>F41-F40</f>
        <v>0</v>
      </c>
      <c r="H39" s="2">
        <v>0</v>
      </c>
      <c r="I39" s="2">
        <v>120</v>
      </c>
      <c r="J39" s="2">
        <v>0</v>
      </c>
      <c r="K39" s="28"/>
      <c r="P39" s="38" t="s">
        <v>101</v>
      </c>
      <c r="Q39" s="38" t="s">
        <v>102</v>
      </c>
      <c r="R39" s="38" t="s">
        <v>103</v>
      </c>
      <c r="S39">
        <v>0</v>
      </c>
    </row>
    <row r="40" spans="1:19" x14ac:dyDescent="0.3">
      <c r="A40" s="2" t="s">
        <v>85</v>
      </c>
      <c r="B40" s="2"/>
      <c r="C40" s="2"/>
      <c r="D40" s="2"/>
      <c r="E40" s="2"/>
      <c r="F40" s="2">
        <v>3</v>
      </c>
      <c r="G40" s="2"/>
      <c r="H40" s="2">
        <v>150</v>
      </c>
      <c r="I40" s="2">
        <v>120</v>
      </c>
      <c r="J40" s="2"/>
      <c r="K40" s="28"/>
      <c r="P40" t="s">
        <v>104</v>
      </c>
      <c r="Q40">
        <v>153</v>
      </c>
      <c r="R40" t="s">
        <v>105</v>
      </c>
      <c r="S40">
        <v>300</v>
      </c>
    </row>
    <row r="41" spans="1:19" x14ac:dyDescent="0.3">
      <c r="A41" s="2" t="s">
        <v>86</v>
      </c>
      <c r="B41" s="2"/>
      <c r="C41" s="2"/>
      <c r="D41" s="2"/>
      <c r="E41" s="2"/>
      <c r="F41" s="2">
        <v>3</v>
      </c>
      <c r="G41" s="2"/>
      <c r="H41" s="2">
        <v>270</v>
      </c>
      <c r="I41" s="2"/>
      <c r="J41" s="2"/>
      <c r="K41" s="28"/>
    </row>
    <row r="42" spans="1:19" x14ac:dyDescent="0.3">
      <c r="A42" s="2" t="s">
        <v>87</v>
      </c>
      <c r="B42" s="2"/>
      <c r="C42" s="2"/>
      <c r="D42" s="2">
        <v>3</v>
      </c>
      <c r="E42" s="2"/>
      <c r="F42" s="2"/>
      <c r="G42" s="29">
        <v>270</v>
      </c>
      <c r="H42" s="29"/>
      <c r="I42" s="2"/>
      <c r="J42" s="2"/>
      <c r="K42" s="30"/>
      <c r="P42">
        <v>6</v>
      </c>
      <c r="Q42">
        <v>150</v>
      </c>
      <c r="R42" t="s">
        <v>106</v>
      </c>
      <c r="S42">
        <v>0</v>
      </c>
    </row>
    <row r="43" spans="1:19" x14ac:dyDescent="0.3">
      <c r="E43" t="s">
        <v>88</v>
      </c>
      <c r="F43" s="31">
        <f>COUNT(B42:K42) *$N$4</f>
        <v>200</v>
      </c>
      <c r="G43" t="s">
        <v>89</v>
      </c>
      <c r="H43" s="31">
        <f>SUM(D39:J39)*1</f>
        <v>471</v>
      </c>
      <c r="I43" t="s">
        <v>90</v>
      </c>
      <c r="J43" s="31">
        <f>F43+H43</f>
        <v>671</v>
      </c>
      <c r="P43" s="39" t="s">
        <v>107</v>
      </c>
      <c r="Q43" s="39" t="s">
        <v>108</v>
      </c>
      <c r="R43" s="39" t="s">
        <v>109</v>
      </c>
      <c r="S43">
        <v>120</v>
      </c>
    </row>
    <row r="45" spans="1:19" x14ac:dyDescent="0.3">
      <c r="A45" s="16" t="s">
        <v>110</v>
      </c>
      <c r="B45" s="32" t="s">
        <v>77</v>
      </c>
      <c r="C45" s="32"/>
      <c r="D45" s="32"/>
      <c r="E45" s="32"/>
      <c r="F45" s="32"/>
      <c r="G45" s="32"/>
      <c r="H45" s="32"/>
      <c r="I45" s="32"/>
      <c r="J45" s="32"/>
      <c r="K45" s="17"/>
    </row>
    <row r="46" spans="1:19" x14ac:dyDescent="0.3">
      <c r="A46" s="21"/>
      <c r="B46" s="22">
        <v>0</v>
      </c>
      <c r="C46" s="34">
        <v>1</v>
      </c>
      <c r="D46" s="34">
        <v>2</v>
      </c>
      <c r="E46" s="34">
        <v>3</v>
      </c>
      <c r="F46" s="34">
        <v>4</v>
      </c>
      <c r="G46" s="34">
        <v>5</v>
      </c>
      <c r="H46" s="34">
        <v>6</v>
      </c>
      <c r="I46" s="34">
        <v>7</v>
      </c>
      <c r="J46" s="34">
        <v>8</v>
      </c>
      <c r="K46" s="35">
        <v>9</v>
      </c>
      <c r="L46" s="40">
        <v>4</v>
      </c>
      <c r="M46" s="41" t="s">
        <v>111</v>
      </c>
      <c r="N46" s="42">
        <f>100</f>
        <v>100</v>
      </c>
    </row>
    <row r="47" spans="1:19" x14ac:dyDescent="0.3">
      <c r="A47" s="26"/>
      <c r="B47" s="27"/>
      <c r="C47" s="27"/>
      <c r="D47" s="27"/>
      <c r="E47" s="27"/>
      <c r="F47" s="27"/>
      <c r="G47" s="27"/>
      <c r="L47" t="s">
        <v>101</v>
      </c>
      <c r="M47" s="41" t="s">
        <v>112</v>
      </c>
      <c r="N47" s="41">
        <f>(100+1*(0))/2</f>
        <v>50</v>
      </c>
    </row>
    <row r="48" spans="1:19" x14ac:dyDescent="0.3">
      <c r="A48" s="2" t="s">
        <v>78</v>
      </c>
      <c r="B48" s="2"/>
      <c r="C48" s="2">
        <v>150</v>
      </c>
      <c r="D48" s="2">
        <v>0</v>
      </c>
      <c r="E48" s="2">
        <v>0</v>
      </c>
      <c r="F48" s="5">
        <v>120</v>
      </c>
      <c r="G48" s="5">
        <v>0</v>
      </c>
      <c r="H48" s="43">
        <v>150</v>
      </c>
      <c r="I48" s="44">
        <v>120</v>
      </c>
      <c r="J48" s="44">
        <v>0</v>
      </c>
      <c r="K48" s="28"/>
      <c r="L48" t="s">
        <v>113</v>
      </c>
      <c r="M48" s="2" t="s">
        <v>114</v>
      </c>
      <c r="N48" s="2">
        <f>(100+(1*0)+(2*120))/3</f>
        <v>113.33333333333333</v>
      </c>
    </row>
    <row r="49" spans="1:14" x14ac:dyDescent="0.3">
      <c r="A49" s="2" t="s">
        <v>80</v>
      </c>
      <c r="B49" s="2"/>
      <c r="C49" s="2">
        <v>230</v>
      </c>
      <c r="D49" s="2"/>
      <c r="E49" s="2"/>
      <c r="F49" s="2"/>
      <c r="G49" s="2"/>
      <c r="H49" s="2"/>
      <c r="I49" s="2"/>
      <c r="J49" s="2"/>
      <c r="K49" s="28"/>
    </row>
    <row r="50" spans="1:14" x14ac:dyDescent="0.3">
      <c r="A50" s="2" t="s">
        <v>82</v>
      </c>
      <c r="B50" s="2">
        <v>37</v>
      </c>
      <c r="C50" s="2">
        <v>117</v>
      </c>
      <c r="D50" s="2">
        <v>117</v>
      </c>
      <c r="E50" s="2">
        <v>117</v>
      </c>
      <c r="F50" s="2">
        <v>117</v>
      </c>
      <c r="G50" s="2"/>
      <c r="H50" s="2">
        <v>0</v>
      </c>
      <c r="I50" s="2">
        <v>0</v>
      </c>
      <c r="J50" s="2"/>
      <c r="K50" s="28"/>
      <c r="L50">
        <v>6</v>
      </c>
      <c r="M50" s="45" t="s">
        <v>111</v>
      </c>
      <c r="N50" s="46">
        <f>100</f>
        <v>100</v>
      </c>
    </row>
    <row r="51" spans="1:14" x14ac:dyDescent="0.3">
      <c r="A51" s="2" t="s">
        <v>85</v>
      </c>
      <c r="B51" s="2"/>
      <c r="C51" s="2"/>
      <c r="D51" s="2"/>
      <c r="E51" s="2"/>
      <c r="F51" s="2">
        <v>3</v>
      </c>
      <c r="G51" s="2"/>
      <c r="H51" s="2">
        <v>150</v>
      </c>
      <c r="I51" s="2">
        <v>120</v>
      </c>
      <c r="J51" s="2"/>
      <c r="K51" s="28"/>
      <c r="L51" t="s">
        <v>107</v>
      </c>
      <c r="M51" t="s">
        <v>112</v>
      </c>
      <c r="N51">
        <f>(100+1*(120))/2</f>
        <v>110</v>
      </c>
    </row>
    <row r="52" spans="1:14" x14ac:dyDescent="0.3">
      <c r="A52" s="2" t="s">
        <v>86</v>
      </c>
      <c r="B52" s="2"/>
      <c r="C52" s="2"/>
      <c r="D52" s="2"/>
      <c r="E52" s="2"/>
      <c r="F52" s="2">
        <v>3</v>
      </c>
      <c r="G52" s="2"/>
      <c r="H52" s="2">
        <v>150</v>
      </c>
      <c r="I52" s="2">
        <v>120</v>
      </c>
      <c r="J52" s="2"/>
      <c r="K52" s="28"/>
    </row>
    <row r="53" spans="1:14" x14ac:dyDescent="0.3">
      <c r="A53" s="2" t="s">
        <v>87</v>
      </c>
      <c r="B53" s="2"/>
      <c r="C53" s="2"/>
      <c r="D53" s="2">
        <v>3</v>
      </c>
      <c r="E53" s="2"/>
      <c r="F53" s="2">
        <v>150</v>
      </c>
      <c r="G53" s="29"/>
      <c r="H53" s="29">
        <v>120</v>
      </c>
      <c r="I53" s="2"/>
      <c r="J53" s="2"/>
      <c r="K53" s="30"/>
      <c r="L53">
        <v>7</v>
      </c>
      <c r="M53" s="38" t="s">
        <v>111</v>
      </c>
      <c r="N53" s="47">
        <f>100</f>
        <v>100</v>
      </c>
    </row>
    <row r="54" spans="1:14" x14ac:dyDescent="0.3">
      <c r="E54" t="s">
        <v>88</v>
      </c>
      <c r="F54" s="31">
        <f>COUNT(B53:K53) *$N$4</f>
        <v>300</v>
      </c>
      <c r="G54" t="s">
        <v>89</v>
      </c>
      <c r="H54" s="31">
        <f>SUM(D50:J50)*1</f>
        <v>351</v>
      </c>
      <c r="I54" t="s">
        <v>90</v>
      </c>
      <c r="J54" s="31">
        <f>F54+H54</f>
        <v>651</v>
      </c>
      <c r="L54" t="s">
        <v>115</v>
      </c>
      <c r="M54" s="38" t="s">
        <v>112</v>
      </c>
      <c r="N54" s="38">
        <f>(100+1*(0))/2</f>
        <v>50</v>
      </c>
    </row>
    <row r="56" spans="1:14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4" x14ac:dyDescent="0.3">
      <c r="A57" s="48"/>
      <c r="B57" s="33"/>
      <c r="C57" s="25"/>
      <c r="D57" s="25"/>
      <c r="E57" s="25"/>
      <c r="F57" s="25"/>
      <c r="G57" s="25"/>
      <c r="H57" s="25"/>
      <c r="I57" s="25"/>
      <c r="J57" s="25"/>
      <c r="K57" s="25"/>
    </row>
    <row r="58" spans="1:14" x14ac:dyDescent="0.3">
      <c r="A58" s="16" t="s">
        <v>116</v>
      </c>
      <c r="B58" s="32" t="s">
        <v>77</v>
      </c>
      <c r="C58" s="32"/>
      <c r="D58" s="32"/>
      <c r="E58" s="32"/>
      <c r="F58" s="32"/>
      <c r="G58" s="32"/>
      <c r="H58" s="32"/>
      <c r="I58" s="32"/>
      <c r="J58" s="32"/>
      <c r="K58" s="17"/>
    </row>
    <row r="59" spans="1:14" x14ac:dyDescent="0.3">
      <c r="A59" s="21"/>
      <c r="B59" s="22">
        <v>0</v>
      </c>
      <c r="C59" s="34">
        <v>1</v>
      </c>
      <c r="D59" s="34">
        <v>2</v>
      </c>
      <c r="E59" s="34">
        <v>3</v>
      </c>
      <c r="F59" s="34">
        <v>4</v>
      </c>
      <c r="G59" s="34">
        <v>5</v>
      </c>
      <c r="H59" s="34">
        <v>6</v>
      </c>
      <c r="I59" s="34">
        <v>7</v>
      </c>
      <c r="J59" s="34">
        <v>8</v>
      </c>
      <c r="K59" s="35">
        <v>9</v>
      </c>
    </row>
    <row r="60" spans="1:14" x14ac:dyDescent="0.3">
      <c r="A60" s="26"/>
      <c r="B60" s="27"/>
      <c r="C60" s="27"/>
      <c r="D60" s="27"/>
      <c r="E60" s="27"/>
      <c r="F60" s="27"/>
      <c r="G60" s="27"/>
    </row>
    <row r="61" spans="1:14" x14ac:dyDescent="0.3">
      <c r="A61" s="2" t="s">
        <v>78</v>
      </c>
      <c r="B61" s="2"/>
      <c r="C61" s="2">
        <v>150</v>
      </c>
      <c r="D61" s="2">
        <v>0</v>
      </c>
      <c r="E61" s="2">
        <v>0</v>
      </c>
      <c r="F61" s="2">
        <v>120</v>
      </c>
      <c r="G61" s="2">
        <v>0</v>
      </c>
      <c r="H61" s="2">
        <v>150</v>
      </c>
      <c r="I61" s="2">
        <v>120</v>
      </c>
      <c r="J61" s="2">
        <v>0</v>
      </c>
      <c r="K61" s="28"/>
    </row>
    <row r="62" spans="1:14" x14ac:dyDescent="0.3">
      <c r="A62" s="2" t="s">
        <v>80</v>
      </c>
      <c r="B62" s="2"/>
      <c r="C62" s="2">
        <v>230</v>
      </c>
      <c r="D62" s="2"/>
      <c r="E62" s="2"/>
      <c r="F62" s="2"/>
      <c r="G62" s="2"/>
      <c r="H62" s="2"/>
      <c r="I62" s="2"/>
      <c r="J62" s="2"/>
      <c r="K62" s="28"/>
    </row>
    <row r="63" spans="1:14" x14ac:dyDescent="0.3">
      <c r="A63" s="2" t="s">
        <v>82</v>
      </c>
      <c r="B63" s="2">
        <v>37</v>
      </c>
      <c r="C63" s="2">
        <v>117</v>
      </c>
      <c r="D63" s="2">
        <v>117</v>
      </c>
      <c r="E63" s="2">
        <v>117</v>
      </c>
      <c r="F63" s="2">
        <v>117</v>
      </c>
      <c r="G63" s="2">
        <f>F65-F64</f>
        <v>0</v>
      </c>
      <c r="H63" s="2">
        <v>0</v>
      </c>
      <c r="I63" s="2">
        <v>120</v>
      </c>
      <c r="J63" s="2"/>
      <c r="K63" s="28"/>
    </row>
    <row r="64" spans="1:14" x14ac:dyDescent="0.3">
      <c r="A64" s="2" t="s">
        <v>85</v>
      </c>
      <c r="B64" s="2"/>
      <c r="C64" s="2"/>
      <c r="D64" s="2"/>
      <c r="E64" s="2"/>
      <c r="F64" s="2">
        <v>3</v>
      </c>
      <c r="G64" s="2"/>
      <c r="H64" s="2">
        <v>150</v>
      </c>
      <c r="I64" s="2">
        <v>120</v>
      </c>
      <c r="J64" s="2"/>
      <c r="K64" s="28"/>
    </row>
    <row r="65" spans="1:12" x14ac:dyDescent="0.3">
      <c r="A65" s="2" t="s">
        <v>86</v>
      </c>
      <c r="B65" s="2"/>
      <c r="C65" s="2"/>
      <c r="D65" s="2"/>
      <c r="E65" s="2"/>
      <c r="F65" s="2">
        <v>3</v>
      </c>
      <c r="G65" s="2"/>
      <c r="H65" s="2">
        <v>270</v>
      </c>
      <c r="I65" s="2"/>
      <c r="J65" s="2"/>
      <c r="K65" s="28"/>
    </row>
    <row r="66" spans="1:12" x14ac:dyDescent="0.3">
      <c r="A66" s="2" t="s">
        <v>87</v>
      </c>
      <c r="B66" s="2"/>
      <c r="C66" s="2"/>
      <c r="D66" s="2">
        <v>3</v>
      </c>
      <c r="E66" s="2"/>
      <c r="F66" s="2">
        <v>270</v>
      </c>
      <c r="G66" s="29"/>
      <c r="H66" s="29"/>
      <c r="I66" s="2"/>
      <c r="J66" s="2"/>
      <c r="K66" s="30"/>
    </row>
    <row r="67" spans="1:12" x14ac:dyDescent="0.3">
      <c r="E67" t="s">
        <v>88</v>
      </c>
      <c r="F67" s="31">
        <f>COUNT(B66:K66) *$N$4</f>
        <v>200</v>
      </c>
      <c r="G67" t="s">
        <v>89</v>
      </c>
      <c r="H67" s="31">
        <f>SUM(D63:J63)*1</f>
        <v>471</v>
      </c>
      <c r="I67" t="s">
        <v>90</v>
      </c>
      <c r="J67" s="31">
        <f>F67+H67</f>
        <v>671</v>
      </c>
      <c r="K67">
        <f>651</f>
        <v>651</v>
      </c>
      <c r="L67" t="s">
        <v>117</v>
      </c>
    </row>
  </sheetData>
  <mergeCells count="20">
    <mergeCell ref="A60:G60"/>
    <mergeCell ref="A45:A46"/>
    <mergeCell ref="B45:K45"/>
    <mergeCell ref="A47:G47"/>
    <mergeCell ref="A56:A57"/>
    <mergeCell ref="B56:K56"/>
    <mergeCell ref="A58:A59"/>
    <mergeCell ref="B58:K58"/>
    <mergeCell ref="A23:A24"/>
    <mergeCell ref="B23:K23"/>
    <mergeCell ref="A25:G25"/>
    <mergeCell ref="A34:A35"/>
    <mergeCell ref="B34:K34"/>
    <mergeCell ref="A36:G36"/>
    <mergeCell ref="A1:A2"/>
    <mergeCell ref="B1:M1"/>
    <mergeCell ref="A3:G3"/>
    <mergeCell ref="A12:A13"/>
    <mergeCell ref="B12:K12"/>
    <mergeCell ref="A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workbookViewId="0">
      <selection activeCell="L21" sqref="L21"/>
    </sheetView>
  </sheetViews>
  <sheetFormatPr defaultRowHeight="14.4" x14ac:dyDescent="0.3"/>
  <sheetData>
    <row r="1" spans="1:16" x14ac:dyDescent="0.3">
      <c r="A1" s="1" t="s">
        <v>49</v>
      </c>
      <c r="M1" s="1" t="s">
        <v>50</v>
      </c>
    </row>
    <row r="2" spans="1:16" x14ac:dyDescent="0.3">
      <c r="A2" s="14"/>
      <c r="B2" s="14" t="s">
        <v>51</v>
      </c>
      <c r="C2" s="14" t="s">
        <v>52</v>
      </c>
      <c r="D2" s="14" t="s">
        <v>53</v>
      </c>
      <c r="E2" s="14" t="s">
        <v>54</v>
      </c>
      <c r="F2" s="14" t="s">
        <v>55</v>
      </c>
      <c r="G2" s="14" t="s">
        <v>56</v>
      </c>
      <c r="H2" s="14" t="s">
        <v>57</v>
      </c>
      <c r="I2" s="14" t="s">
        <v>58</v>
      </c>
      <c r="J2" s="14" t="s">
        <v>35</v>
      </c>
    </row>
    <row r="3" spans="1:16" x14ac:dyDescent="0.3">
      <c r="A3" s="14" t="s">
        <v>59</v>
      </c>
      <c r="B3" s="14" t="s">
        <v>60</v>
      </c>
      <c r="C3" s="14" t="s">
        <v>61</v>
      </c>
      <c r="D3" s="14" t="s">
        <v>62</v>
      </c>
      <c r="E3" s="14" t="s">
        <v>63</v>
      </c>
      <c r="F3" s="14" t="s">
        <v>64</v>
      </c>
      <c r="G3" s="14" t="s">
        <v>65</v>
      </c>
      <c r="H3" s="14" t="s">
        <v>66</v>
      </c>
      <c r="I3" s="14" t="s">
        <v>67</v>
      </c>
      <c r="J3" s="14"/>
      <c r="M3" s="3" t="s">
        <v>62</v>
      </c>
      <c r="N3" s="3" t="s">
        <v>27</v>
      </c>
      <c r="O3" s="3" t="s">
        <v>64</v>
      </c>
      <c r="P3" s="3" t="s">
        <v>63</v>
      </c>
    </row>
    <row r="4" spans="1:16" x14ac:dyDescent="0.3">
      <c r="A4" s="14">
        <v>0</v>
      </c>
      <c r="B4" s="15">
        <v>0</v>
      </c>
      <c r="C4" s="15">
        <v>0</v>
      </c>
      <c r="D4" s="14">
        <v>80</v>
      </c>
      <c r="E4" s="15">
        <v>0</v>
      </c>
      <c r="F4" s="14">
        <v>1000</v>
      </c>
      <c r="G4" s="15">
        <v>0</v>
      </c>
      <c r="H4" s="15">
        <v>0</v>
      </c>
      <c r="I4" s="15">
        <v>0</v>
      </c>
      <c r="J4" s="15"/>
      <c r="M4" s="2"/>
      <c r="N4" s="2"/>
      <c r="O4" s="2"/>
      <c r="P4" s="2"/>
    </row>
    <row r="5" spans="1:16" x14ac:dyDescent="0.3">
      <c r="A5" s="14">
        <v>1</v>
      </c>
      <c r="B5" s="15">
        <v>0</v>
      </c>
      <c r="C5" s="15">
        <v>16</v>
      </c>
      <c r="D5" s="15">
        <v>64</v>
      </c>
      <c r="E5" s="15">
        <v>0</v>
      </c>
      <c r="F5" s="15">
        <v>1960</v>
      </c>
      <c r="G5" s="15">
        <v>0</v>
      </c>
      <c r="H5" s="15">
        <v>0</v>
      </c>
      <c r="I5" s="15">
        <v>2560</v>
      </c>
      <c r="J5" s="14">
        <v>1600</v>
      </c>
      <c r="M5" s="2">
        <f>D5-D4-B5+C5</f>
        <v>0</v>
      </c>
      <c r="N5" s="2">
        <f>40*D5+E5/4-I5</f>
        <v>0</v>
      </c>
      <c r="O5" s="2">
        <f>F4-G4+I5+H5-J5-F5+G5</f>
        <v>0</v>
      </c>
      <c r="P5" s="2">
        <f>10*D5+E5</f>
        <v>640</v>
      </c>
    </row>
    <row r="6" spans="1:16" x14ac:dyDescent="0.3">
      <c r="A6" s="14">
        <v>2</v>
      </c>
      <c r="B6" s="15">
        <v>0</v>
      </c>
      <c r="C6" s="15">
        <v>0</v>
      </c>
      <c r="D6" s="15">
        <v>64</v>
      </c>
      <c r="E6" s="15">
        <v>0</v>
      </c>
      <c r="F6" s="15">
        <v>1520</v>
      </c>
      <c r="G6" s="15">
        <v>0</v>
      </c>
      <c r="H6" s="15">
        <v>0</v>
      </c>
      <c r="I6" s="15">
        <v>2560</v>
      </c>
      <c r="J6" s="14">
        <v>3000</v>
      </c>
      <c r="M6" s="2">
        <f t="shared" ref="M6:M10" si="0">D6-D5-B6+C6</f>
        <v>0</v>
      </c>
      <c r="N6" s="2">
        <f t="shared" ref="N6:N10" si="1">40*D6+E6/4-I6</f>
        <v>0</v>
      </c>
      <c r="O6" s="2">
        <f t="shared" ref="O6:O10" si="2">F5-G5+I6+H6-J6-F6+G6</f>
        <v>0</v>
      </c>
      <c r="P6" s="2">
        <f t="shared" ref="P6:P10" si="3">10*D6+E6</f>
        <v>640</v>
      </c>
    </row>
    <row r="7" spans="1:16" x14ac:dyDescent="0.3">
      <c r="A7" s="14">
        <v>3</v>
      </c>
      <c r="B7" s="15">
        <v>0</v>
      </c>
      <c r="C7" s="15">
        <v>0</v>
      </c>
      <c r="D7" s="15">
        <v>64</v>
      </c>
      <c r="E7" s="15">
        <v>0</v>
      </c>
      <c r="F7" s="15">
        <v>880</v>
      </c>
      <c r="G7" s="15">
        <v>0</v>
      </c>
      <c r="H7" s="15">
        <v>0</v>
      </c>
      <c r="I7" s="15">
        <v>2560</v>
      </c>
      <c r="J7" s="14">
        <v>3200</v>
      </c>
      <c r="M7" s="2">
        <f t="shared" si="0"/>
        <v>0</v>
      </c>
      <c r="N7" s="2">
        <f t="shared" si="1"/>
        <v>0</v>
      </c>
      <c r="O7" s="2">
        <f t="shared" si="2"/>
        <v>0</v>
      </c>
      <c r="P7" s="2">
        <f t="shared" si="3"/>
        <v>640</v>
      </c>
    </row>
    <row r="8" spans="1:16" x14ac:dyDescent="0.3">
      <c r="A8" s="14">
        <v>4</v>
      </c>
      <c r="B8" s="15">
        <v>0</v>
      </c>
      <c r="C8" s="15">
        <v>0</v>
      </c>
      <c r="D8" s="15">
        <v>64</v>
      </c>
      <c r="E8" s="15">
        <v>0</v>
      </c>
      <c r="F8" s="15">
        <v>0</v>
      </c>
      <c r="G8" s="15">
        <v>220</v>
      </c>
      <c r="H8" s="15">
        <v>140</v>
      </c>
      <c r="I8" s="15">
        <v>2560</v>
      </c>
      <c r="J8" s="14">
        <v>3800</v>
      </c>
      <c r="M8" s="2">
        <f t="shared" si="0"/>
        <v>0</v>
      </c>
      <c r="N8" s="2">
        <f t="shared" si="1"/>
        <v>0</v>
      </c>
      <c r="O8" s="2">
        <f t="shared" si="2"/>
        <v>0</v>
      </c>
      <c r="P8" s="2">
        <f t="shared" si="3"/>
        <v>640</v>
      </c>
    </row>
    <row r="9" spans="1:16" x14ac:dyDescent="0.3">
      <c r="A9" s="14">
        <v>5</v>
      </c>
      <c r="B9" s="15">
        <v>0</v>
      </c>
      <c r="C9" s="15">
        <v>0</v>
      </c>
      <c r="D9" s="15">
        <v>64</v>
      </c>
      <c r="E9" s="15">
        <v>0</v>
      </c>
      <c r="F9" s="15">
        <v>140</v>
      </c>
      <c r="G9" s="15">
        <v>0</v>
      </c>
      <c r="H9" s="15">
        <v>0</v>
      </c>
      <c r="I9" s="15">
        <v>2560</v>
      </c>
      <c r="J9" s="14">
        <v>2200</v>
      </c>
      <c r="M9" s="2">
        <f t="shared" si="0"/>
        <v>0</v>
      </c>
      <c r="N9" s="2">
        <f t="shared" si="1"/>
        <v>0</v>
      </c>
      <c r="O9" s="2">
        <f t="shared" si="2"/>
        <v>0</v>
      </c>
      <c r="P9" s="2">
        <f t="shared" si="3"/>
        <v>640</v>
      </c>
    </row>
    <row r="10" spans="1:16" x14ac:dyDescent="0.3">
      <c r="A10" s="14">
        <v>6</v>
      </c>
      <c r="B10" s="15">
        <v>0</v>
      </c>
      <c r="C10" s="15">
        <v>0</v>
      </c>
      <c r="D10" s="15">
        <v>64</v>
      </c>
      <c r="E10" s="15">
        <v>0</v>
      </c>
      <c r="F10" s="15">
        <v>500</v>
      </c>
      <c r="G10" s="15">
        <v>0</v>
      </c>
      <c r="H10" s="15">
        <v>0</v>
      </c>
      <c r="I10" s="15">
        <v>2560</v>
      </c>
      <c r="J10" s="14">
        <v>2200</v>
      </c>
      <c r="M10" s="2">
        <f t="shared" si="0"/>
        <v>0</v>
      </c>
      <c r="N10" s="2">
        <f t="shared" si="1"/>
        <v>0</v>
      </c>
      <c r="O10" s="2">
        <f t="shared" si="2"/>
        <v>0</v>
      </c>
      <c r="P10" s="2">
        <f t="shared" si="3"/>
        <v>640</v>
      </c>
    </row>
    <row r="12" spans="1:16" x14ac:dyDescent="0.3">
      <c r="A12" s="1" t="s">
        <v>68</v>
      </c>
    </row>
    <row r="13" spans="1:16" x14ac:dyDescent="0.3">
      <c r="K13">
        <f>MIN($C$22)</f>
        <v>422660</v>
      </c>
    </row>
    <row r="14" spans="1:16" x14ac:dyDescent="0.3">
      <c r="A14" s="14" t="s">
        <v>59</v>
      </c>
      <c r="B14" s="15" t="s">
        <v>69</v>
      </c>
      <c r="C14" s="15" t="s">
        <v>70</v>
      </c>
      <c r="D14" s="15" t="s">
        <v>71</v>
      </c>
      <c r="E14" s="15" t="s">
        <v>63</v>
      </c>
      <c r="F14" s="15" t="s">
        <v>64</v>
      </c>
      <c r="G14" s="15" t="s">
        <v>65</v>
      </c>
      <c r="H14" s="15" t="s">
        <v>66</v>
      </c>
      <c r="I14" s="15" t="s">
        <v>72</v>
      </c>
      <c r="K14">
        <f>COUNT($B$5:$I$10)</f>
        <v>48</v>
      </c>
    </row>
    <row r="15" spans="1:16" x14ac:dyDescent="0.3">
      <c r="A15" s="14">
        <v>1</v>
      </c>
      <c r="B15" s="15">
        <f>300*B5</f>
        <v>0</v>
      </c>
      <c r="C15" s="15">
        <f>500*C5</f>
        <v>8000</v>
      </c>
      <c r="D15" s="15">
        <f>640*D5</f>
        <v>40960</v>
      </c>
      <c r="E15" s="15">
        <f>6*E5</f>
        <v>0</v>
      </c>
      <c r="F15" s="15">
        <f>2*F5</f>
        <v>3920</v>
      </c>
      <c r="G15" s="15">
        <f>5*G5</f>
        <v>0</v>
      </c>
      <c r="H15" s="15">
        <f>30*H5</f>
        <v>0</v>
      </c>
      <c r="I15" s="15">
        <f>10*I5</f>
        <v>25600</v>
      </c>
      <c r="K15" t="b">
        <f t="array" ref="K15">$B$5:$I$10=INT($B$5:$I$10)</f>
        <v>1</v>
      </c>
    </row>
    <row r="16" spans="1:16" x14ac:dyDescent="0.3">
      <c r="A16" s="14">
        <v>2</v>
      </c>
      <c r="B16" s="15">
        <f t="shared" ref="B16:B20" si="4">300*B6</f>
        <v>0</v>
      </c>
      <c r="C16" s="15">
        <f t="shared" ref="C16:C20" si="5">500*C6</f>
        <v>0</v>
      </c>
      <c r="D16" s="15">
        <f t="shared" ref="D16:D20" si="6">640*D6</f>
        <v>40960</v>
      </c>
      <c r="E16" s="15">
        <f>6*E6</f>
        <v>0</v>
      </c>
      <c r="F16" s="15">
        <f>2*F6</f>
        <v>3040</v>
      </c>
      <c r="G16" s="15">
        <f t="shared" ref="G16:G20" si="7">5*G6</f>
        <v>0</v>
      </c>
      <c r="H16" s="15">
        <f>30*H6</f>
        <v>0</v>
      </c>
      <c r="I16" s="15">
        <f>10*I6</f>
        <v>25600</v>
      </c>
      <c r="K16" t="b">
        <f>$F$10&gt;=500</f>
        <v>1</v>
      </c>
    </row>
    <row r="17" spans="1:11" x14ac:dyDescent="0.3">
      <c r="A17" s="14">
        <v>3</v>
      </c>
      <c r="B17" s="15">
        <f t="shared" si="4"/>
        <v>0</v>
      </c>
      <c r="C17" s="15">
        <f t="shared" si="5"/>
        <v>0</v>
      </c>
      <c r="D17" s="15">
        <f t="shared" si="6"/>
        <v>40960</v>
      </c>
      <c r="E17" s="15">
        <f t="shared" ref="E17:E20" si="8">6*E7</f>
        <v>0</v>
      </c>
      <c r="F17" s="15">
        <f t="shared" ref="F17:F20" si="9">2*F7</f>
        <v>1760</v>
      </c>
      <c r="G17" s="15">
        <f>5*G7</f>
        <v>0</v>
      </c>
      <c r="H17" s="15">
        <f t="shared" ref="H17:H20" si="10">30*H7</f>
        <v>0</v>
      </c>
      <c r="I17" s="15">
        <f t="shared" ref="I17:I20" si="11">10*I7</f>
        <v>25600</v>
      </c>
      <c r="K17" t="b">
        <f>$G$10=0</f>
        <v>1</v>
      </c>
    </row>
    <row r="18" spans="1:11" x14ac:dyDescent="0.3">
      <c r="A18" s="14">
        <v>4</v>
      </c>
      <c r="B18" s="15">
        <f t="shared" si="4"/>
        <v>0</v>
      </c>
      <c r="C18" s="15">
        <f t="shared" si="5"/>
        <v>0</v>
      </c>
      <c r="D18" s="15">
        <f t="shared" si="6"/>
        <v>40960</v>
      </c>
      <c r="E18" s="15">
        <f t="shared" si="8"/>
        <v>0</v>
      </c>
      <c r="F18" s="15">
        <f t="shared" si="9"/>
        <v>0</v>
      </c>
      <c r="G18" s="15">
        <f t="shared" si="7"/>
        <v>1100</v>
      </c>
      <c r="H18" s="15">
        <f t="shared" si="10"/>
        <v>4200</v>
      </c>
      <c r="I18" s="15">
        <f t="shared" si="11"/>
        <v>25600</v>
      </c>
      <c r="K18" t="b">
        <f t="array" ref="K18">$M$5:$M$10=0</f>
        <v>1</v>
      </c>
    </row>
    <row r="19" spans="1:11" x14ac:dyDescent="0.3">
      <c r="A19" s="14">
        <v>5</v>
      </c>
      <c r="B19" s="15">
        <f t="shared" si="4"/>
        <v>0</v>
      </c>
      <c r="C19" s="15">
        <f t="shared" si="5"/>
        <v>0</v>
      </c>
      <c r="D19" s="15">
        <f t="shared" si="6"/>
        <v>40960</v>
      </c>
      <c r="E19" s="15">
        <f t="shared" si="8"/>
        <v>0</v>
      </c>
      <c r="F19" s="15">
        <f t="shared" si="9"/>
        <v>280</v>
      </c>
      <c r="G19" s="15">
        <f t="shared" si="7"/>
        <v>0</v>
      </c>
      <c r="H19" s="15">
        <f t="shared" si="10"/>
        <v>0</v>
      </c>
      <c r="I19" s="15">
        <f t="shared" si="11"/>
        <v>25600</v>
      </c>
      <c r="K19" t="b">
        <f t="array" ref="K19">$N$5:$N$10&gt;=0</f>
        <v>1</v>
      </c>
    </row>
    <row r="20" spans="1:11" x14ac:dyDescent="0.3">
      <c r="A20" s="14">
        <v>6</v>
      </c>
      <c r="B20" s="15">
        <f t="shared" si="4"/>
        <v>0</v>
      </c>
      <c r="C20" s="15">
        <f t="shared" si="5"/>
        <v>0</v>
      </c>
      <c r="D20" s="15">
        <f t="shared" si="6"/>
        <v>40960</v>
      </c>
      <c r="E20" s="15">
        <f t="shared" si="8"/>
        <v>0</v>
      </c>
      <c r="F20" s="15">
        <f t="shared" si="9"/>
        <v>1000</v>
      </c>
      <c r="G20" s="15">
        <f t="shared" si="7"/>
        <v>0</v>
      </c>
      <c r="H20" s="15">
        <f t="shared" si="10"/>
        <v>0</v>
      </c>
      <c r="I20" s="15">
        <f t="shared" si="11"/>
        <v>25600</v>
      </c>
      <c r="K20" t="b">
        <f t="array" ref="K20">$O$5:$O$10=0</f>
        <v>1</v>
      </c>
    </row>
    <row r="21" spans="1:11" x14ac:dyDescent="0.3">
      <c r="A21" s="1"/>
      <c r="K21" t="b">
        <f t="array" ref="K21">$P$5:$P$10&gt;=0</f>
        <v>1</v>
      </c>
    </row>
    <row r="22" spans="1:11" x14ac:dyDescent="0.3">
      <c r="A22" s="1" t="s">
        <v>73</v>
      </c>
      <c r="C22">
        <f>SUM(B15:I20)</f>
        <v>422660</v>
      </c>
      <c r="K22">
        <f>{32767,32767,0.000001,0.01,TRUE,FALSE,FALSE,1,2,1,0.0001,TRUE}</f>
        <v>32767</v>
      </c>
    </row>
    <row r="23" spans="1:11" x14ac:dyDescent="0.3">
      <c r="K23">
        <f>{0,0,2,100,0,FALSE,FALSE,0.075,0,0,FALSE,30}</f>
        <v>0</v>
      </c>
    </row>
    <row r="25" spans="1:11" x14ac:dyDescent="0.3">
      <c r="D25" s="1" t="s">
        <v>74</v>
      </c>
      <c r="G25">
        <f>((F4+F10)/2+SUM(F5:F9))/6</f>
        <v>875</v>
      </c>
    </row>
    <row r="26" spans="1:11" x14ac:dyDescent="0.3">
      <c r="G26">
        <f>SUM(J5:J10)/6</f>
        <v>2666.6666666666665</v>
      </c>
    </row>
    <row r="27" spans="1:11" x14ac:dyDescent="0.3">
      <c r="D27" s="1" t="s">
        <v>75</v>
      </c>
      <c r="G27">
        <f>G25/G26</f>
        <v>0.328125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workbookViewId="0">
      <selection activeCell="B35" sqref="B35"/>
    </sheetView>
  </sheetViews>
  <sheetFormatPr defaultRowHeight="14.4" x14ac:dyDescent="0.3"/>
  <sheetData>
    <row r="1" spans="1:6" ht="43.2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</row>
    <row r="2" spans="1:6" x14ac:dyDescent="0.3">
      <c r="A2" s="10" t="s">
        <v>32</v>
      </c>
      <c r="B2" s="11">
        <v>1000</v>
      </c>
      <c r="C2" s="12">
        <v>50000</v>
      </c>
      <c r="D2" s="12">
        <v>20</v>
      </c>
      <c r="E2" s="12">
        <v>50</v>
      </c>
      <c r="F2" s="12">
        <v>35</v>
      </c>
    </row>
    <row r="3" spans="1:6" x14ac:dyDescent="0.3">
      <c r="A3" s="10" t="s">
        <v>33</v>
      </c>
      <c r="B3" s="11">
        <v>2500</v>
      </c>
      <c r="C3" s="12">
        <v>90000</v>
      </c>
      <c r="D3" s="12">
        <v>20</v>
      </c>
      <c r="E3" s="12">
        <v>50</v>
      </c>
      <c r="F3" s="12">
        <v>35</v>
      </c>
    </row>
    <row r="4" spans="1:6" x14ac:dyDescent="0.3">
      <c r="A4" s="10" t="s">
        <v>34</v>
      </c>
      <c r="B4" s="11">
        <v>1050</v>
      </c>
      <c r="C4" s="12">
        <v>40000</v>
      </c>
      <c r="D4" s="12">
        <v>30</v>
      </c>
      <c r="E4" s="12">
        <v>25</v>
      </c>
      <c r="F4" s="12">
        <v>45</v>
      </c>
    </row>
    <row r="5" spans="1:6" x14ac:dyDescent="0.3">
      <c r="A5" s="10" t="s">
        <v>35</v>
      </c>
      <c r="B5" s="11">
        <v>2550</v>
      </c>
      <c r="C5" s="12">
        <v>80000</v>
      </c>
      <c r="D5" s="12">
        <v>30</v>
      </c>
      <c r="E5" s="12">
        <v>25</v>
      </c>
      <c r="F5" s="12">
        <v>45</v>
      </c>
    </row>
    <row r="6" spans="1:6" x14ac:dyDescent="0.3">
      <c r="A6" s="10" t="s">
        <v>36</v>
      </c>
      <c r="B6" s="11">
        <v>1100</v>
      </c>
      <c r="C6" s="12">
        <v>55000</v>
      </c>
      <c r="D6" s="12">
        <v>35</v>
      </c>
      <c r="E6" s="12">
        <v>60</v>
      </c>
      <c r="F6" s="12">
        <v>32</v>
      </c>
    </row>
    <row r="7" spans="1:6" x14ac:dyDescent="0.3">
      <c r="A7" s="10" t="s">
        <v>37</v>
      </c>
      <c r="B7" s="11">
        <v>2600</v>
      </c>
      <c r="C7" s="12">
        <v>95000</v>
      </c>
      <c r="D7" s="12">
        <v>35</v>
      </c>
      <c r="E7" s="12">
        <v>60</v>
      </c>
      <c r="F7" s="12">
        <v>32</v>
      </c>
    </row>
    <row r="8" spans="1:6" x14ac:dyDescent="0.3">
      <c r="A8" s="13" t="s">
        <v>38</v>
      </c>
      <c r="B8" s="13"/>
      <c r="C8" s="13"/>
      <c r="D8">
        <v>3500</v>
      </c>
      <c r="E8">
        <v>2000</v>
      </c>
      <c r="F8">
        <v>2500</v>
      </c>
    </row>
    <row r="11" spans="1:6" x14ac:dyDescent="0.3">
      <c r="A11" t="s">
        <v>39</v>
      </c>
    </row>
    <row r="12" spans="1:6" ht="28.8" x14ac:dyDescent="0.3">
      <c r="A12" t="s">
        <v>40</v>
      </c>
      <c r="B12" s="9" t="s">
        <v>29</v>
      </c>
      <c r="C12" s="9" t="s">
        <v>30</v>
      </c>
      <c r="D12" s="9" t="s">
        <v>31</v>
      </c>
      <c r="E12" s="9" t="s">
        <v>41</v>
      </c>
    </row>
    <row r="13" spans="1:6" x14ac:dyDescent="0.3">
      <c r="A13" s="10" t="s">
        <v>32</v>
      </c>
      <c r="B13">
        <v>1000</v>
      </c>
      <c r="C13">
        <v>0</v>
      </c>
      <c r="D13">
        <v>0</v>
      </c>
      <c r="E13">
        <v>1</v>
      </c>
    </row>
    <row r="14" spans="1:6" x14ac:dyDescent="0.3">
      <c r="A14" s="10" t="s">
        <v>33</v>
      </c>
      <c r="B14">
        <v>2500.0000000000009</v>
      </c>
      <c r="C14">
        <v>0</v>
      </c>
      <c r="D14">
        <v>0</v>
      </c>
      <c r="E14">
        <v>1</v>
      </c>
    </row>
    <row r="15" spans="1:6" x14ac:dyDescent="0.3">
      <c r="A15" s="10" t="s">
        <v>34</v>
      </c>
      <c r="B15">
        <v>0</v>
      </c>
      <c r="C15">
        <v>0</v>
      </c>
      <c r="D15">
        <v>0</v>
      </c>
      <c r="E15">
        <v>0</v>
      </c>
    </row>
    <row r="16" spans="1:6" x14ac:dyDescent="0.3">
      <c r="A16" s="10" t="s">
        <v>35</v>
      </c>
      <c r="B16">
        <v>0</v>
      </c>
      <c r="C16">
        <v>2000</v>
      </c>
      <c r="D16">
        <v>0</v>
      </c>
      <c r="E16">
        <v>1</v>
      </c>
    </row>
    <row r="17" spans="1:7" x14ac:dyDescent="0.3">
      <c r="A17" s="10" t="s">
        <v>36</v>
      </c>
      <c r="B17">
        <v>0</v>
      </c>
      <c r="C17">
        <v>0</v>
      </c>
      <c r="D17">
        <v>0</v>
      </c>
      <c r="E17">
        <v>0</v>
      </c>
    </row>
    <row r="18" spans="1:7" x14ac:dyDescent="0.3">
      <c r="A18" s="10" t="s">
        <v>37</v>
      </c>
      <c r="B18">
        <v>0</v>
      </c>
      <c r="C18">
        <v>0</v>
      </c>
      <c r="D18">
        <v>2500</v>
      </c>
      <c r="E18">
        <v>1</v>
      </c>
    </row>
    <row r="21" spans="1:7" ht="28.8" x14ac:dyDescent="0.3">
      <c r="A21" s="10" t="s">
        <v>42</v>
      </c>
    </row>
    <row r="22" spans="1:7" x14ac:dyDescent="0.3">
      <c r="A22" s="10" t="s">
        <v>40</v>
      </c>
      <c r="B22" t="s">
        <v>43</v>
      </c>
    </row>
    <row r="23" spans="1:7" x14ac:dyDescent="0.3">
      <c r="A23" s="10" t="s">
        <v>32</v>
      </c>
      <c r="B23">
        <f>E13*B2-SUM(B13:D13)</f>
        <v>0</v>
      </c>
    </row>
    <row r="24" spans="1:7" x14ac:dyDescent="0.3">
      <c r="A24" s="10" t="s">
        <v>33</v>
      </c>
      <c r="B24">
        <f t="shared" ref="B24:B28" si="0">E14*B3-SUM(B14:D14)</f>
        <v>0</v>
      </c>
      <c r="G24">
        <f>MIN($B$35)</f>
        <v>515000</v>
      </c>
    </row>
    <row r="25" spans="1:7" x14ac:dyDescent="0.3">
      <c r="A25" s="10" t="s">
        <v>34</v>
      </c>
      <c r="B25">
        <f t="shared" si="0"/>
        <v>0</v>
      </c>
      <c r="G25">
        <f>COUNT($B$13:$E$18)</f>
        <v>24</v>
      </c>
    </row>
    <row r="26" spans="1:7" x14ac:dyDescent="0.3">
      <c r="A26" s="10" t="s">
        <v>35</v>
      </c>
      <c r="B26">
        <f t="shared" si="0"/>
        <v>550</v>
      </c>
      <c r="G26" t="b">
        <f t="array" ref="G26">$B$13:$D$18&gt;=0</f>
        <v>1</v>
      </c>
    </row>
    <row r="27" spans="1:7" x14ac:dyDescent="0.3">
      <c r="A27" s="10" t="s">
        <v>36</v>
      </c>
      <c r="B27">
        <f t="shared" si="0"/>
        <v>0</v>
      </c>
      <c r="G27" t="b">
        <f t="array" ref="G27">$B$23:$B$28&gt;=0</f>
        <v>1</v>
      </c>
    </row>
    <row r="28" spans="1:7" x14ac:dyDescent="0.3">
      <c r="A28" s="10" t="s">
        <v>37</v>
      </c>
      <c r="B28">
        <f t="shared" si="0"/>
        <v>100</v>
      </c>
      <c r="G28" t="b">
        <f t="array" ref="G28">$B$31:$D$31=0</f>
        <v>1</v>
      </c>
    </row>
    <row r="29" spans="1:7" x14ac:dyDescent="0.3">
      <c r="G29" t="b">
        <f t="array" ref="G29">($E$13:$E$18=0)+($E$13:$E$18=1)=1</f>
        <v>1</v>
      </c>
    </row>
    <row r="30" spans="1:7" ht="28.8" x14ac:dyDescent="0.3">
      <c r="A30" s="10" t="s">
        <v>44</v>
      </c>
      <c r="B30" t="s">
        <v>45</v>
      </c>
      <c r="C30" t="s">
        <v>46</v>
      </c>
      <c r="D30" t="s">
        <v>47</v>
      </c>
      <c r="G30">
        <f>{32767,32767,0.000001,0.01,TRUE,FALSE,FALSE,1,2,1,0.0001,FALSE}</f>
        <v>32767</v>
      </c>
    </row>
    <row r="31" spans="1:7" x14ac:dyDescent="0.3">
      <c r="B31">
        <f>D8-SUM(B13:B18)</f>
        <v>0</v>
      </c>
      <c r="C31">
        <f t="shared" ref="C31:D31" si="1">E8-SUM(C13:C18)</f>
        <v>0</v>
      </c>
      <c r="D31">
        <f t="shared" si="1"/>
        <v>0</v>
      </c>
      <c r="G31">
        <f>{0,0,2,100,0,FALSE,FALSE,0.075,0,0,FALSE,30}</f>
        <v>0</v>
      </c>
    </row>
    <row r="34" spans="1:2" x14ac:dyDescent="0.3">
      <c r="A34" t="s">
        <v>48</v>
      </c>
    </row>
    <row r="35" spans="1:2" x14ac:dyDescent="0.3">
      <c r="A35" t="s">
        <v>15</v>
      </c>
      <c r="B35">
        <f>SUMPRODUCT(B13:D18,D2:F7)+SUMPRODUCT(E13:E18,C2:C7)</f>
        <v>515000</v>
      </c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Capacited plant LM1</vt:lpstr>
      <vt:lpstr>Gravity Model</vt:lpstr>
      <vt:lpstr>Capacited plant LM</vt:lpstr>
      <vt:lpstr>Lot sizing</vt:lpstr>
      <vt:lpstr>Aggregate planning</vt:lpstr>
      <vt:lpstr>Capacited plant LM exc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Mohammed Raza Chidimar</cp:lastModifiedBy>
  <dcterms:created xsi:type="dcterms:W3CDTF">2019-10-09T07:33:06Z</dcterms:created>
  <dcterms:modified xsi:type="dcterms:W3CDTF">2025-02-10T00:09:56Z</dcterms:modified>
</cp:coreProperties>
</file>