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64C3532-216A-4F63-8774-797F6053168F}" xr6:coauthVersionLast="47" xr6:coauthVersionMax="47" xr10:uidLastSave="{00000000-0000-0000-0000-000000000000}"/>
  <bookViews>
    <workbookView xWindow="-108" yWindow="-108" windowWidth="23256" windowHeight="13176" tabRatio="1000" activeTab="6" xr2:uid="{00000000-000D-0000-FFFF-FFFF00000000}"/>
  </bookViews>
  <sheets>
    <sheet name="static deseason" sheetId="1" r:id="rId1"/>
    <sheet name="Deseasonalizing" sheetId="6" r:id="rId2"/>
    <sheet name="moving average" sheetId="4" r:id="rId3"/>
    <sheet name="simple exponential smoothing" sheetId="5" r:id="rId4"/>
    <sheet name="Holt's Reg" sheetId="14" r:id="rId5"/>
    <sheet name="holt's model" sheetId="7" r:id="rId6"/>
    <sheet name="Winter's reg" sheetId="15" r:id="rId7"/>
    <sheet name="winter's model" sheetId="9" r:id="rId8"/>
  </sheets>
  <definedNames>
    <definedName name="solver_adj" localSheetId="5" hidden="1">'holt''s model'!$F$1,'holt''s model'!$H$1</definedName>
    <definedName name="solver_adj" localSheetId="3" hidden="1">'simple exponential smoothing'!$F$1</definedName>
    <definedName name="solver_cvg" localSheetId="5" hidden="1">0.0001</definedName>
    <definedName name="solver_cvg" localSheetId="3" hidden="1">0.0001</definedName>
    <definedName name="solver_drv" localSheetId="5" hidden="1">1</definedName>
    <definedName name="solver_drv" localSheetId="3" hidden="1">1</definedName>
    <definedName name="solver_eng" localSheetId="5" hidden="1">1</definedName>
    <definedName name="solver_eng" localSheetId="3" hidden="1">1</definedName>
    <definedName name="solver_eng" localSheetId="0" hidden="1">1</definedName>
    <definedName name="solver_est" localSheetId="5" hidden="1">1</definedName>
    <definedName name="solver_est" localSheetId="3" hidden="1">1</definedName>
    <definedName name="solver_itr" localSheetId="5" hidden="1">2147483647</definedName>
    <definedName name="solver_itr" localSheetId="3" hidden="1">2147483647</definedName>
    <definedName name="solver_lhs1" localSheetId="5" hidden="1">'holt''s model'!$F$1</definedName>
    <definedName name="solver_lhs1" localSheetId="3" hidden="1">'simple exponential smoothing'!$F$1</definedName>
    <definedName name="solver_lhs2" localSheetId="5" hidden="1">'holt''s model'!$F$1</definedName>
    <definedName name="solver_lhs2" localSheetId="3" hidden="1">'simple exponential smoothing'!$F$1</definedName>
    <definedName name="solver_lhs3" localSheetId="5" hidden="1">'holt''s model'!$H$1</definedName>
    <definedName name="solver_lhs4" localSheetId="5" hidden="1">'holt''s model'!$H$1</definedName>
    <definedName name="solver_mip" localSheetId="5" hidden="1">2147483647</definedName>
    <definedName name="solver_mip" localSheetId="3" hidden="1">2147483647</definedName>
    <definedName name="solver_mni" localSheetId="5" hidden="1">30</definedName>
    <definedName name="solver_mni" localSheetId="3" hidden="1">30</definedName>
    <definedName name="solver_mrt" localSheetId="5" hidden="1">0.075</definedName>
    <definedName name="solver_mrt" localSheetId="3" hidden="1">0.075</definedName>
    <definedName name="solver_msl" localSheetId="5" hidden="1">2</definedName>
    <definedName name="solver_msl" localSheetId="3" hidden="1">2</definedName>
    <definedName name="solver_neg" localSheetId="5" hidden="1">1</definedName>
    <definedName name="solver_neg" localSheetId="3" hidden="1">1</definedName>
    <definedName name="solver_neg" localSheetId="0" hidden="1">1</definedName>
    <definedName name="solver_nod" localSheetId="5" hidden="1">2147483647</definedName>
    <definedName name="solver_nod" localSheetId="3" hidden="1">2147483647</definedName>
    <definedName name="solver_num" localSheetId="5" hidden="1">4</definedName>
    <definedName name="solver_num" localSheetId="3" hidden="1">2</definedName>
    <definedName name="solver_num" localSheetId="0" hidden="1">0</definedName>
    <definedName name="solver_nwt" localSheetId="5" hidden="1">1</definedName>
    <definedName name="solver_nwt" localSheetId="3" hidden="1">1</definedName>
    <definedName name="solver_opt" localSheetId="5" hidden="1">'holt''s model'!$H$21</definedName>
    <definedName name="solver_opt" localSheetId="3" hidden="1">'simple exponential smoothing'!$H$20</definedName>
    <definedName name="solver_opt" localSheetId="0" hidden="1">'static deseason'!$C$4</definedName>
    <definedName name="solver_pre" localSheetId="5" hidden="1">0.000001</definedName>
    <definedName name="solver_pre" localSheetId="3" hidden="1">0.000001</definedName>
    <definedName name="solver_rbv" localSheetId="5" hidden="1">1</definedName>
    <definedName name="solver_rbv" localSheetId="3" hidden="1">1</definedName>
    <definedName name="solver_rel1" localSheetId="5" hidden="1">1</definedName>
    <definedName name="solver_rel1" localSheetId="3" hidden="1">1</definedName>
    <definedName name="solver_rel2" localSheetId="5" hidden="1">3</definedName>
    <definedName name="solver_rel2" localSheetId="3" hidden="1">3</definedName>
    <definedName name="solver_rel3" localSheetId="5" hidden="1">1</definedName>
    <definedName name="solver_rel4" localSheetId="5" hidden="1">3</definedName>
    <definedName name="solver_rhs1" localSheetId="5" hidden="1">1</definedName>
    <definedName name="solver_rhs1" localSheetId="3" hidden="1">1</definedName>
    <definedName name="solver_rhs2" localSheetId="5" hidden="1">0</definedName>
    <definedName name="solver_rhs2" localSheetId="3" hidden="1">0</definedName>
    <definedName name="solver_rhs3" localSheetId="5" hidden="1">1</definedName>
    <definedName name="solver_rhs4" localSheetId="5" hidden="1">0</definedName>
    <definedName name="solver_rlx" localSheetId="5" hidden="1">2</definedName>
    <definedName name="solver_rlx" localSheetId="3" hidden="1">2</definedName>
    <definedName name="solver_rsd" localSheetId="5" hidden="1">0</definedName>
    <definedName name="solver_rsd" localSheetId="3" hidden="1">0</definedName>
    <definedName name="solver_scl" localSheetId="5" hidden="1">1</definedName>
    <definedName name="solver_scl" localSheetId="3" hidden="1">1</definedName>
    <definedName name="solver_sho" localSheetId="5" hidden="1">2</definedName>
    <definedName name="solver_sho" localSheetId="3" hidden="1">2</definedName>
    <definedName name="solver_ssz" localSheetId="5" hidden="1">100</definedName>
    <definedName name="solver_ssz" localSheetId="3" hidden="1">100</definedName>
    <definedName name="solver_tim" localSheetId="5" hidden="1">2147483647</definedName>
    <definedName name="solver_tim" localSheetId="3" hidden="1">2147483647</definedName>
    <definedName name="solver_tol" localSheetId="5" hidden="1">0.01</definedName>
    <definedName name="solver_tol" localSheetId="3" hidden="1">0.01</definedName>
    <definedName name="solver_typ" localSheetId="5" hidden="1">2</definedName>
    <definedName name="solver_typ" localSheetId="3" hidden="1">2</definedName>
    <definedName name="solver_typ" localSheetId="0" hidden="1">1</definedName>
    <definedName name="solver_val" localSheetId="5" hidden="1">0</definedName>
    <definedName name="solver_val" localSheetId="3" hidden="1">0</definedName>
    <definedName name="solver_val" localSheetId="0" hidden="1">0</definedName>
    <definedName name="solver_ver" localSheetId="5" hidden="1">3</definedName>
    <definedName name="solver_ver" localSheetId="3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L8" i="4"/>
  <c r="K8" i="4"/>
  <c r="J7" i="4"/>
  <c r="F18" i="9"/>
  <c r="C4" i="5"/>
  <c r="B17" i="1"/>
  <c r="B16" i="1"/>
  <c r="H2" i="1"/>
  <c r="E2" i="1"/>
  <c r="D2" i="1"/>
  <c r="C4" i="1"/>
  <c r="E8" i="9"/>
  <c r="E16" i="9"/>
  <c r="E14" i="9"/>
  <c r="E9" i="9"/>
  <c r="C4" i="9"/>
  <c r="E17" i="7"/>
  <c r="E16" i="7"/>
  <c r="D4" i="7"/>
  <c r="C4" i="7"/>
  <c r="K8" i="5"/>
  <c r="K6" i="5"/>
  <c r="J7" i="5"/>
  <c r="J6" i="5"/>
  <c r="I7" i="5"/>
  <c r="H11" i="5"/>
  <c r="I9" i="5"/>
  <c r="H23" i="5"/>
  <c r="H20" i="5"/>
  <c r="K10" i="5"/>
  <c r="J11" i="5"/>
  <c r="J8" i="5"/>
  <c r="I8" i="5"/>
  <c r="I6" i="5"/>
  <c r="H6" i="5"/>
  <c r="H7" i="5"/>
  <c r="H5" i="5"/>
  <c r="B18" i="1"/>
  <c r="C3" i="5"/>
  <c r="F24" i="4"/>
  <c r="J8" i="4"/>
  <c r="I9" i="4"/>
  <c r="I7" i="4"/>
  <c r="E7" i="4"/>
  <c r="C6" i="4"/>
  <c r="E4" i="1"/>
  <c r="D7" i="1"/>
  <c r="C11" i="1" l="1"/>
  <c r="C7" i="1"/>
  <c r="E18" i="7"/>
  <c r="E10" i="9"/>
  <c r="F19" i="9"/>
  <c r="E6" i="7"/>
  <c r="D7" i="7"/>
  <c r="C7" i="7"/>
  <c r="C7" i="4"/>
  <c r="D5" i="7"/>
  <c r="F7" i="9"/>
  <c r="E8" i="7"/>
  <c r="C8" i="4"/>
  <c r="C5" i="5"/>
  <c r="C6" i="5" s="1"/>
  <c r="D7" i="4"/>
  <c r="M6" i="9"/>
  <c r="K6" i="9"/>
  <c r="C24" i="9"/>
  <c r="C23" i="9"/>
  <c r="K10" i="9"/>
  <c r="M5" i="9"/>
  <c r="L6" i="9"/>
  <c r="K5" i="9"/>
  <c r="J5" i="9"/>
  <c r="J4" i="9"/>
  <c r="C22" i="9"/>
  <c r="F17" i="9"/>
  <c r="F16" i="9"/>
  <c r="F15" i="9"/>
  <c r="F6" i="9"/>
  <c r="G4" i="9"/>
  <c r="F4" i="9"/>
  <c r="D5" i="9"/>
  <c r="E19" i="9"/>
  <c r="D4" i="9"/>
  <c r="E4" i="7"/>
  <c r="H25" i="7"/>
  <c r="H24" i="7"/>
  <c r="H23" i="7"/>
  <c r="H22" i="7"/>
  <c r="H21" i="7"/>
  <c r="C5" i="7"/>
  <c r="I4" i="7"/>
  <c r="F4" i="7"/>
  <c r="E19" i="7"/>
  <c r="E5" i="7"/>
  <c r="E10" i="4"/>
  <c r="D15" i="4"/>
  <c r="E14" i="4"/>
  <c r="K7" i="4" l="1"/>
  <c r="G7" i="4"/>
  <c r="E11" i="9"/>
  <c r="D3" i="1"/>
  <c r="E17" i="9" l="1"/>
  <c r="C6" i="1"/>
  <c r="E9" i="7"/>
  <c r="D8" i="7"/>
  <c r="E13" i="9"/>
  <c r="D8" i="9"/>
  <c r="D6" i="9"/>
  <c r="C15" i="9"/>
  <c r="D13" i="9"/>
  <c r="D15" i="9"/>
  <c r="C5" i="9"/>
  <c r="F15" i="7"/>
  <c r="E15" i="7"/>
  <c r="D4" i="1"/>
  <c r="C7" i="5"/>
  <c r="C8" i="5" s="1"/>
  <c r="H3" i="1"/>
  <c r="C5" i="1"/>
  <c r="D7" i="5" l="1"/>
  <c r="D8" i="4" l="1"/>
  <c r="E8" i="4" s="1"/>
  <c r="D17" i="4"/>
  <c r="D16" i="4"/>
  <c r="G10" i="4"/>
  <c r="F10" i="4"/>
  <c r="C26" i="9"/>
  <c r="C25" i="9"/>
  <c r="M7" i="9"/>
  <c r="M8" i="9"/>
  <c r="M9" i="9"/>
  <c r="M10" i="9"/>
  <c r="M11" i="9"/>
  <c r="M12" i="9"/>
  <c r="M13" i="9"/>
  <c r="M14" i="9"/>
  <c r="M15" i="9"/>
  <c r="M4" i="9"/>
  <c r="L15" i="9"/>
  <c r="L5" i="9"/>
  <c r="L7" i="9"/>
  <c r="L8" i="9"/>
  <c r="L9" i="9"/>
  <c r="L10" i="9"/>
  <c r="L11" i="9"/>
  <c r="L12" i="9"/>
  <c r="L13" i="9"/>
  <c r="L14" i="9"/>
  <c r="L4" i="9"/>
  <c r="K4" i="7"/>
  <c r="K7" i="9"/>
  <c r="K8" i="9"/>
  <c r="K9" i="9"/>
  <c r="K11" i="9"/>
  <c r="K12" i="9"/>
  <c r="K13" i="9"/>
  <c r="K14" i="9"/>
  <c r="K15" i="9"/>
  <c r="K4" i="9"/>
  <c r="J8" i="9"/>
  <c r="J6" i="9"/>
  <c r="J7" i="9"/>
  <c r="J9" i="9"/>
  <c r="J10" i="9"/>
  <c r="J11" i="9"/>
  <c r="J12" i="9"/>
  <c r="J13" i="9"/>
  <c r="J14" i="9"/>
  <c r="J15" i="9"/>
  <c r="I5" i="9"/>
  <c r="I6" i="9"/>
  <c r="I7" i="9"/>
  <c r="I8" i="9"/>
  <c r="I9" i="9"/>
  <c r="I10" i="9"/>
  <c r="I11" i="9"/>
  <c r="I12" i="9"/>
  <c r="I13" i="9"/>
  <c r="I14" i="9"/>
  <c r="I15" i="9"/>
  <c r="I4" i="9"/>
  <c r="G14" i="9"/>
  <c r="H5" i="9"/>
  <c r="H6" i="9"/>
  <c r="H7" i="9"/>
  <c r="H8" i="9"/>
  <c r="H9" i="9"/>
  <c r="H10" i="9"/>
  <c r="H11" i="9"/>
  <c r="H12" i="9"/>
  <c r="H13" i="9"/>
  <c r="H14" i="9"/>
  <c r="H15" i="9"/>
  <c r="H4" i="9"/>
  <c r="G5" i="9"/>
  <c r="G6" i="9"/>
  <c r="G7" i="9"/>
  <c r="G8" i="9"/>
  <c r="G9" i="9"/>
  <c r="G10" i="9"/>
  <c r="G11" i="9"/>
  <c r="G12" i="9"/>
  <c r="G13" i="9"/>
  <c r="G15" i="9"/>
  <c r="H4" i="7"/>
  <c r="F8" i="9"/>
  <c r="F9" i="9"/>
  <c r="F10" i="9"/>
  <c r="F11" i="9"/>
  <c r="F12" i="9"/>
  <c r="F13" i="9"/>
  <c r="F14" i="9"/>
  <c r="E12" i="9"/>
  <c r="F5" i="9"/>
  <c r="F7" i="4" l="1"/>
  <c r="F5" i="7"/>
  <c r="C6" i="9"/>
  <c r="L7" i="4" l="1"/>
  <c r="H5" i="7"/>
  <c r="K5" i="7"/>
  <c r="C6" i="7"/>
  <c r="C7" i="9"/>
  <c r="D6" i="7" l="1"/>
  <c r="F6" i="7"/>
  <c r="C8" i="9"/>
  <c r="D7" i="9"/>
  <c r="D4" i="5"/>
  <c r="E4" i="5" s="1"/>
  <c r="D9" i="4"/>
  <c r="E9" i="4" s="1"/>
  <c r="C14" i="4"/>
  <c r="D18" i="4" s="1"/>
  <c r="C9" i="4"/>
  <c r="D10" i="4" s="1"/>
  <c r="C10" i="4"/>
  <c r="D11" i="4" s="1"/>
  <c r="E11" i="4" s="1"/>
  <c r="C11" i="4"/>
  <c r="D12" i="4" s="1"/>
  <c r="E12" i="4" s="1"/>
  <c r="C12" i="4"/>
  <c r="D13" i="4" s="1"/>
  <c r="E13" i="4" s="1"/>
  <c r="C13" i="4"/>
  <c r="D14" i="4" s="1"/>
  <c r="B19" i="1"/>
  <c r="E3" i="1"/>
  <c r="E5" i="1"/>
  <c r="E7" i="1"/>
  <c r="E8" i="1"/>
  <c r="E9" i="1"/>
  <c r="E10" i="1"/>
  <c r="E11" i="1"/>
  <c r="E12" i="1"/>
  <c r="E13" i="1"/>
  <c r="D5" i="1"/>
  <c r="D8" i="1"/>
  <c r="D9" i="1"/>
  <c r="D10" i="1"/>
  <c r="D11" i="1"/>
  <c r="D12" i="1"/>
  <c r="D13" i="1"/>
  <c r="K9" i="4" l="1"/>
  <c r="K10" i="4"/>
  <c r="G9" i="4"/>
  <c r="J4" i="5"/>
  <c r="G4" i="5"/>
  <c r="F4" i="5"/>
  <c r="H6" i="7"/>
  <c r="K6" i="7"/>
  <c r="C8" i="7"/>
  <c r="E7" i="7"/>
  <c r="F7" i="7" s="1"/>
  <c r="H7" i="7" s="1"/>
  <c r="D6" i="5"/>
  <c r="E6" i="5" s="1"/>
  <c r="G14" i="4"/>
  <c r="F14" i="4"/>
  <c r="J14" i="4" s="1"/>
  <c r="G21" i="4"/>
  <c r="K11" i="4"/>
  <c r="K13" i="4"/>
  <c r="K14" i="4"/>
  <c r="K12" i="4"/>
  <c r="G13" i="4"/>
  <c r="F13" i="4"/>
  <c r="J13" i="4" s="1"/>
  <c r="F12" i="4"/>
  <c r="J12" i="4" s="1"/>
  <c r="G12" i="4"/>
  <c r="F11" i="4"/>
  <c r="J11" i="4" s="1"/>
  <c r="G11" i="4"/>
  <c r="J10" i="4"/>
  <c r="F9" i="4"/>
  <c r="J9" i="4" s="1"/>
  <c r="F8" i="4"/>
  <c r="G8" i="4"/>
  <c r="C9" i="9"/>
  <c r="I8" i="4" l="1"/>
  <c r="H21" i="4"/>
  <c r="F21" i="4"/>
  <c r="F23" i="4"/>
  <c r="I11" i="4"/>
  <c r="L11" i="4" s="1"/>
  <c r="G22" i="4"/>
  <c r="H4" i="5"/>
  <c r="K4" i="5" s="1"/>
  <c r="I4" i="5"/>
  <c r="L9" i="4"/>
  <c r="F22" i="4"/>
  <c r="C9" i="7"/>
  <c r="F8" i="7"/>
  <c r="K8" i="7" s="1"/>
  <c r="K7" i="7"/>
  <c r="G6" i="5"/>
  <c r="F6" i="5"/>
  <c r="D5" i="5"/>
  <c r="E5" i="5" s="1"/>
  <c r="I10" i="4"/>
  <c r="L10" i="4" s="1"/>
  <c r="I12" i="4"/>
  <c r="L12" i="4" s="1"/>
  <c r="I13" i="4"/>
  <c r="L13" i="4" s="1"/>
  <c r="I14" i="4"/>
  <c r="L14" i="4" s="1"/>
  <c r="D9" i="9"/>
  <c r="C10" i="9" s="1"/>
  <c r="F25" i="4" l="1"/>
  <c r="H8" i="7"/>
  <c r="D9" i="7"/>
  <c r="C10" i="7" s="1"/>
  <c r="F9" i="7"/>
  <c r="H9" i="7" s="1"/>
  <c r="E7" i="5"/>
  <c r="J5" i="5"/>
  <c r="F5" i="5"/>
  <c r="G5" i="5"/>
  <c r="D10" i="9"/>
  <c r="C11" i="9" s="1"/>
  <c r="E15" i="9" s="1"/>
  <c r="D8" i="5"/>
  <c r="E8" i="5" s="1"/>
  <c r="K9" i="7" l="1"/>
  <c r="D10" i="7"/>
  <c r="E11" i="7" s="1"/>
  <c r="F11" i="7" s="1"/>
  <c r="H11" i="7" s="1"/>
  <c r="E10" i="7"/>
  <c r="F10" i="7" s="1"/>
  <c r="G7" i="5"/>
  <c r="F7" i="5"/>
  <c r="K5" i="5"/>
  <c r="I5" i="5"/>
  <c r="G8" i="5"/>
  <c r="F8" i="5"/>
  <c r="D11" i="9"/>
  <c r="C12" i="9" s="1"/>
  <c r="C9" i="5"/>
  <c r="D9" i="5"/>
  <c r="E9" i="5" s="1"/>
  <c r="K7" i="5" l="1"/>
  <c r="H10" i="7"/>
  <c r="K11" i="7"/>
  <c r="K10" i="7"/>
  <c r="C11" i="7"/>
  <c r="G9" i="5"/>
  <c r="F9" i="5"/>
  <c r="H8" i="5"/>
  <c r="J9" i="5"/>
  <c r="D12" i="9"/>
  <c r="C13" i="9" s="1"/>
  <c r="C10" i="5"/>
  <c r="D10" i="5"/>
  <c r="E10" i="5" s="1"/>
  <c r="C8" i="1"/>
  <c r="C9" i="1"/>
  <c r="C10" i="1"/>
  <c r="D11" i="7" l="1"/>
  <c r="C12" i="7" s="1"/>
  <c r="H9" i="5"/>
  <c r="K9" i="5" s="1"/>
  <c r="G10" i="5"/>
  <c r="F10" i="5"/>
  <c r="J10" i="5"/>
  <c r="C14" i="9"/>
  <c r="E18" i="9" s="1"/>
  <c r="C11" i="5"/>
  <c r="D11" i="5"/>
  <c r="E11" i="5" s="1"/>
  <c r="H4" i="1"/>
  <c r="H5" i="1"/>
  <c r="D12" i="7" l="1"/>
  <c r="E13" i="7" s="1"/>
  <c r="F13" i="7" s="1"/>
  <c r="E12" i="7"/>
  <c r="F12" i="7" s="1"/>
  <c r="I10" i="5"/>
  <c r="H10" i="5"/>
  <c r="G11" i="5"/>
  <c r="F11" i="5"/>
  <c r="I11" i="5" s="1"/>
  <c r="D14" i="9"/>
  <c r="C12" i="5"/>
  <c r="D12" i="5"/>
  <c r="E12" i="5" s="1"/>
  <c r="K6" i="1"/>
  <c r="C13" i="7" l="1"/>
  <c r="D13" i="7" s="1"/>
  <c r="C14" i="7" s="1"/>
  <c r="H13" i="7"/>
  <c r="K13" i="7"/>
  <c r="H12" i="7"/>
  <c r="K12" i="7"/>
  <c r="K11" i="5"/>
  <c r="G12" i="5"/>
  <c r="F12" i="5"/>
  <c r="J12" i="5"/>
  <c r="C13" i="5"/>
  <c r="D13" i="5"/>
  <c r="E13" i="5" s="1"/>
  <c r="J13" i="5" s="1"/>
  <c r="D14" i="7" l="1"/>
  <c r="C15" i="7" s="1"/>
  <c r="E14" i="7"/>
  <c r="F14" i="7" s="1"/>
  <c r="G13" i="5"/>
  <c r="F13" i="5"/>
  <c r="I12" i="5"/>
  <c r="H12" i="5"/>
  <c r="K12" i="5" s="1"/>
  <c r="C14" i="5"/>
  <c r="C15" i="5" s="1"/>
  <c r="D14" i="5"/>
  <c r="E14" i="5" s="1"/>
  <c r="D16" i="5" l="1"/>
  <c r="D17" i="5"/>
  <c r="H14" i="7"/>
  <c r="K14" i="7"/>
  <c r="D15" i="7"/>
  <c r="G14" i="5"/>
  <c r="F14" i="5"/>
  <c r="J14" i="5"/>
  <c r="I13" i="5"/>
  <c r="H13" i="5"/>
  <c r="K13" i="5" s="1"/>
  <c r="D15" i="5"/>
  <c r="E15" i="5" s="1"/>
  <c r="H15" i="7" l="1"/>
  <c r="K15" i="7"/>
  <c r="G4" i="7" a="1"/>
  <c r="F15" i="5"/>
  <c r="H21" i="5" s="1"/>
  <c r="G15" i="5"/>
  <c r="J15" i="5"/>
  <c r="I14" i="5"/>
  <c r="H14" i="5"/>
  <c r="K14" i="5" s="1"/>
  <c r="D19" i="5"/>
  <c r="D18" i="5"/>
  <c r="G4" i="7" l="1"/>
  <c r="J14" i="7"/>
  <c r="J15" i="7"/>
  <c r="J5" i="7"/>
  <c r="J10" i="7"/>
  <c r="J13" i="7"/>
  <c r="J11" i="7"/>
  <c r="J12" i="7"/>
  <c r="J6" i="7"/>
  <c r="J7" i="7"/>
  <c r="J8" i="7"/>
  <c r="J9" i="7"/>
  <c r="I15" i="5"/>
  <c r="H22" i="5" s="1"/>
  <c r="H15" i="5"/>
  <c r="K15" i="5" s="1"/>
  <c r="H24" i="5" s="1"/>
  <c r="J4" i="7" l="1"/>
  <c r="I5" i="7"/>
  <c r="L5" i="7" s="1"/>
  <c r="L4" i="7"/>
  <c r="I15" i="7"/>
  <c r="L15" i="7" s="1"/>
  <c r="I6" i="7"/>
  <c r="L6" i="7" s="1"/>
  <c r="I13" i="7"/>
  <c r="L13" i="7" s="1"/>
  <c r="I14" i="7"/>
  <c r="L14" i="7" s="1"/>
  <c r="I9" i="7"/>
  <c r="L9" i="7" s="1"/>
  <c r="I7" i="7"/>
  <c r="L7" i="7" s="1"/>
  <c r="I8" i="7"/>
  <c r="L8" i="7" s="1"/>
  <c r="I10" i="7"/>
  <c r="L10" i="7" s="1"/>
  <c r="I11" i="7"/>
  <c r="L11" i="7" s="1"/>
  <c r="I12" i="7"/>
  <c r="L1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<sst xmlns="http://schemas.openxmlformats.org/spreadsheetml/2006/main" count="182" uniqueCount="69">
  <si>
    <t>t</t>
  </si>
  <si>
    <t>Dt</t>
  </si>
  <si>
    <t>Dt(Deseasonalized)</t>
  </si>
  <si>
    <t>Seasonal factor</t>
  </si>
  <si>
    <t>S1</t>
  </si>
  <si>
    <t>S2</t>
  </si>
  <si>
    <t>S3</t>
  </si>
  <si>
    <t>S4</t>
  </si>
  <si>
    <t>Forecast</t>
  </si>
  <si>
    <t>Lt</t>
  </si>
  <si>
    <t>Ft</t>
  </si>
  <si>
    <t>L0</t>
  </si>
  <si>
    <t>Deseasonalized Demand</t>
  </si>
  <si>
    <t>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</si>
  <si>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</si>
  <si>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</si>
  <si>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</si>
  <si>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</si>
  <si>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</si>
  <si>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</si>
  <si>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</si>
  <si>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</si>
  <si>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</si>
  <si>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</si>
  <si>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</si>
  <si>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</si>
  <si>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</si>
  <si>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</si>
  <si>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</si>
  <si>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</si>
  <si>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</si>
  <si>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</si>
  <si>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</si>
  <si>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</si>
  <si>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</si>
  <si>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</si>
  <si>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</si>
  <si>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</si>
  <si>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</si>
  <si>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Dt (actual)</t>
  </si>
  <si>
    <t>F, Forecast</t>
  </si>
  <si>
    <t>4-moving avg</t>
  </si>
  <si>
    <t>level, L</t>
  </si>
  <si>
    <t>b</t>
  </si>
  <si>
    <t>Trend</t>
  </si>
  <si>
    <t>Trend, T</t>
  </si>
  <si>
    <t>Seasonal factor, S</t>
  </si>
  <si>
    <t>Forecast, F</t>
  </si>
  <si>
    <t>g</t>
  </si>
  <si>
    <t>Et</t>
  </si>
  <si>
    <t>E2</t>
  </si>
  <si>
    <t>At</t>
  </si>
  <si>
    <t>MSEt</t>
  </si>
  <si>
    <t>MADt</t>
  </si>
  <si>
    <t>%</t>
  </si>
  <si>
    <t>bias</t>
  </si>
  <si>
    <t>TS</t>
  </si>
  <si>
    <t>MSE</t>
  </si>
  <si>
    <t>MAD</t>
  </si>
  <si>
    <t>MAPE</t>
  </si>
  <si>
    <t>avg E2</t>
  </si>
  <si>
    <t>avg A</t>
  </si>
  <si>
    <t>avg %</t>
  </si>
  <si>
    <t>sum E</t>
  </si>
  <si>
    <t>min ts</t>
  </si>
  <si>
    <t>F-D</t>
  </si>
  <si>
    <t>bias/MAD</t>
  </si>
  <si>
    <t>Sum A/t-t</t>
  </si>
  <si>
    <t>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</si>
</sst>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u/>
      <sz val="18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sz val="18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sz val="16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4">
    <xf numFmtId="0" fontId="0" fillId="0" borderId="0" xfId="0"/>
    <xf numFmtId="0" fontId="9" fillId="0" borderId="0" xfId="0" applyFont="1"/>
    <xf numFmtId="2" fontId="9" fillId="0" borderId="0" xfId="0" applyNumberFormat="1" applyFont="1"/>
    <xf numFmtId="0" fontId="0" fillId="0" borderId="2" xfId="0" applyBorder="1"/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Continuous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'static deseason'!$B$1</c:f>
              <c:strCache>
                <c:ptCount val="1"/>
                <c:pt idx="0">
                  <c:v>Dt (actual)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'static deseason'!$B$2:$B$13</c:f>
              <c:numCache>
                <c:formatCode>General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77-42DB-80CD-991A0585CF88}"/>
            </c:ext>
          </c:extLst>
        </c:ser>
        <c:ser>
          <c:idx val="1"/>
          <c:order val="1"/>
          <c:tx>
            <c:strRef>
              <c:f>'static deseason'!$C$1</c:f>
              <c:strCache>
                <c:ptCount val="1"/>
                <c:pt idx="0">
                  <c:v>Deseasonalized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3650658253647962E-2"/>
                  <c:y val="-4.2324668218419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'static deseason'!$C$2:$C$13</c:f>
              <c:numCache>
                <c:formatCode>General</c:formatCode>
                <c:ptCount val="12"/>
                <c:pt idx="2">
                  <c:v>19750</c:v>
                </c:pt>
                <c:pt idx="3">
                  <c:v>20625</c:v>
                </c:pt>
                <c:pt idx="4">
                  <c:v>21250</c:v>
                </c:pt>
                <c:pt idx="5">
                  <c:v>21750</c:v>
                </c:pt>
                <c:pt idx="6">
                  <c:v>22500</c:v>
                </c:pt>
                <c:pt idx="7">
                  <c:v>22125</c:v>
                </c:pt>
                <c:pt idx="8">
                  <c:v>22625</c:v>
                </c:pt>
                <c:pt idx="9">
                  <c:v>24125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77-42DB-80CD-991A0585C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407871"/>
        <c:axId val="1751409311"/>
      </c:lineChart>
      <c:catAx>
        <c:axId val="175140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09311"/>
        <c:crosses val="autoZero"/>
        <c:auto val="1"/>
        <c:lblAlgn val="ctr"/>
        <c:lblOffset val="100"/>
        <c:noMultiLvlLbl val="0"/>
      </c:catAx>
      <c:valAx>
        <c:axId val="175140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0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deseason'!$B$1</c:f>
              <c:strCache>
                <c:ptCount val="1"/>
                <c:pt idx="0">
                  <c:v>Dt (actual)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'static deseason'!$B$2:$B$13</c:f>
              <c:numCache>
                <c:formatCode>General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9-4A11-AE66-C92ED57AC30D}"/>
            </c:ext>
          </c:extLst>
        </c:ser>
        <c:ser>
          <c:idx val="1"/>
          <c:order val="1"/>
          <c:tx>
            <c:strRef>
              <c:f>'static deseason'!$C$1</c:f>
              <c:strCache>
                <c:ptCount val="1"/>
                <c:pt idx="0">
                  <c:v>Deseasonalized 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'static deseason'!$C$2:$C$13</c:f>
              <c:numCache>
                <c:formatCode>General</c:formatCode>
                <c:ptCount val="12"/>
                <c:pt idx="2">
                  <c:v>19750</c:v>
                </c:pt>
                <c:pt idx="3">
                  <c:v>20625</c:v>
                </c:pt>
                <c:pt idx="4">
                  <c:v>21250</c:v>
                </c:pt>
                <c:pt idx="5">
                  <c:v>21750</c:v>
                </c:pt>
                <c:pt idx="6">
                  <c:v>22500</c:v>
                </c:pt>
                <c:pt idx="7">
                  <c:v>22125</c:v>
                </c:pt>
                <c:pt idx="8">
                  <c:v>22625</c:v>
                </c:pt>
                <c:pt idx="9">
                  <c:v>24125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09-4A11-AE66-C92ED57AC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6095"/>
        <c:axId val="172233455"/>
      </c:lineChart>
      <c:catAx>
        <c:axId val="172206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33455"/>
        <c:crosses val="autoZero"/>
        <c:auto val="1"/>
        <c:lblAlgn val="ctr"/>
        <c:lblOffset val="100"/>
        <c:noMultiLvlLbl val="0"/>
      </c:catAx>
      <c:valAx>
        <c:axId val="17223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'holt''s model'!$B$4:$B$15</c:f>
              <c:numCache>
                <c:formatCode>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3-4768-B837-F6E24B361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730015"/>
        <c:axId val="1752730495"/>
      </c:lineChart>
      <c:catAx>
        <c:axId val="1752730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730495"/>
        <c:crosses val="autoZero"/>
        <c:auto val="1"/>
        <c:lblAlgn val="ctr"/>
        <c:lblOffset val="100"/>
        <c:noMultiLvlLbl val="0"/>
      </c:catAx>
      <c:valAx>
        <c:axId val="17527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73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'holt''s model'!$B$4:$B$15</c:f>
              <c:numCache>
                <c:formatCode>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2-450D-846A-8A07545CE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40415"/>
        <c:axId val="48842335"/>
      </c:lineChart>
      <c:catAx>
        <c:axId val="48840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2335"/>
        <c:crosses val="autoZero"/>
        <c:auto val="1"/>
        <c:lblAlgn val="ctr"/>
        <c:lblOffset val="100"/>
        <c:noMultiLvlLbl val="0"/>
      </c:catAx>
      <c:valAx>
        <c:axId val="4884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'winter''s model'!$B$4:$B$15</c:f>
              <c:numCache>
                <c:formatCode>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3-4A5C-8D15-4062D2A4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08975"/>
        <c:axId val="172227215"/>
      </c:lineChart>
      <c:catAx>
        <c:axId val="17220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7215"/>
        <c:crosses val="autoZero"/>
        <c:auto val="1"/>
        <c:lblAlgn val="ctr"/>
        <c:lblOffset val="100"/>
        <c:noMultiLvlLbl val="0"/>
      </c:catAx>
      <c:valAx>
        <c:axId val="1722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'winter''s model'!$B$4:$B$15</c:f>
              <c:numCache>
                <c:formatCode>0</c:formatCode>
                <c:ptCount val="12"/>
                <c:pt idx="0">
                  <c:v>8000</c:v>
                </c:pt>
                <c:pt idx="1">
                  <c:v>13000</c:v>
                </c:pt>
                <c:pt idx="2">
                  <c:v>23000</c:v>
                </c:pt>
                <c:pt idx="3">
                  <c:v>34000</c:v>
                </c:pt>
                <c:pt idx="4">
                  <c:v>10000</c:v>
                </c:pt>
                <c:pt idx="5">
                  <c:v>18000</c:v>
                </c:pt>
                <c:pt idx="6">
                  <c:v>23000</c:v>
                </c:pt>
                <c:pt idx="7">
                  <c:v>38000</c:v>
                </c:pt>
                <c:pt idx="8">
                  <c:v>12000</c:v>
                </c:pt>
                <c:pt idx="9">
                  <c:v>13000</c:v>
                </c:pt>
                <c:pt idx="10">
                  <c:v>32000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7-4CF4-A458-3643F0CC6A4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'winter''s model'!$F$4:$F$19</c:f>
              <c:numCache>
                <c:formatCode>0</c:formatCode>
                <c:ptCount val="16"/>
                <c:pt idx="0">
                  <c:v>8912.6099999999988</c:v>
                </c:pt>
                <c:pt idx="1">
                  <c:v>13178.539544680852</c:v>
                </c:pt>
                <c:pt idx="2">
                  <c:v>23259.665399815083</c:v>
                </c:pt>
                <c:pt idx="3">
                  <c:v>34035.982753876378</c:v>
                </c:pt>
                <c:pt idx="4">
                  <c:v>9723.00402054201</c:v>
                </c:pt>
                <c:pt idx="5">
                  <c:v>14557.711929112967</c:v>
                </c:pt>
                <c:pt idx="6">
                  <c:v>25980.944066311135</c:v>
                </c:pt>
                <c:pt idx="7">
                  <c:v>37787.178515891763</c:v>
                </c:pt>
                <c:pt idx="8">
                  <c:v>10809.608834917286</c:v>
                </c:pt>
                <c:pt idx="9">
                  <c:v>16544.158590271429</c:v>
                </c:pt>
                <c:pt idx="10">
                  <c:v>27848.868389989319</c:v>
                </c:pt>
                <c:pt idx="11">
                  <c:v>41441.600328893306</c:v>
                </c:pt>
                <c:pt idx="12">
                  <c:v>11940.319821319024</c:v>
                </c:pt>
                <c:pt idx="13">
                  <c:v>17579.341982710503</c:v>
                </c:pt>
                <c:pt idx="14">
                  <c:v>30930.455104254335</c:v>
                </c:pt>
                <c:pt idx="15">
                  <c:v>44928.113994395775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7-4CF4-A458-3643F0CC6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480639"/>
        <c:axId val="48844735"/>
      </c:lineChart>
      <c:catAx>
        <c:axId val="1359480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735"/>
        <c:crosses val="autoZero"/>
        <c:auto val="1"/>
        <c:lblAlgn val="ctr"/>
        <c:lblOffset val="100"/>
        <c:noMultiLvlLbl val="0"/>
      </c:catAx>
      <c:valAx>
        <c:axId val="488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48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4.png"/><Relationship Id="rId1" Type="http://schemas.openxmlformats.org/officeDocument/2006/relationships/chart" Target="../charts/chart5.xm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571321</xdr:colOff>
      <xdr:row>1</xdr:row>
      <xdr:rowOff>75747</xdr:rowOff>
    </xdr:from>
    <xdr:to>
      <xdr:col>19</xdr:col>
      <xdr:colOff>169547</xdr:colOff>
      <xdr:row>4</xdr:row>
      <xdr:rowOff>20922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4883" y="274076"/>
          <a:ext cx="3230774" cy="759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249938</xdr:colOff>
      <xdr:row>5</xdr:row>
      <xdr:rowOff>193640</xdr:rowOff>
    </xdr:from>
    <xdr:to>
      <xdr:col>10</xdr:col>
      <xdr:colOff>536812</xdr:colOff>
      <xdr:row>19</xdr:row>
      <xdr:rowOff>149349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C25F6-1660-BF87-F59F-890E23350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446792</xdr:colOff>
      <xdr:row>6</xdr:row>
      <xdr:rowOff>8928</xdr:rowOff>
    </xdr:from>
    <xdr:to>
      <xdr:col>19</xdr:col>
      <xdr:colOff>69160</xdr:colOff>
      <xdr:row>19</xdr:row>
      <xdr:rowOff>136296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433829-0E86-3214-0FCF-04CBDF16C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474288</xdr:colOff>
      <xdr:row>9</xdr:row>
      <xdr:rowOff>16626</xdr:rowOff>
    </xdr:from>
    <xdr:ext cx="3747655" cy="11087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B787EF-E391-66B6-29D5-52E4D212C0B4}"/>
                </a:ext>
              </a:extLst>
            </xdr:cNvPr>
            <xdr:cNvSpPr txBox="1"/>
          </xdr:nvSpPr>
          <xdr:spPr>
            <a:xfrm>
              <a:off x="12016048" y="2668386"/>
              <a:ext cx="3747655" cy="1108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SG" sz="24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𝑳</m:t>
                        </m:r>
                      </m:e>
                      <m:sub>
                        <m:d>
                          <m:dPr>
                            <m:begChr m:val="{"/>
                            <m:endChr m:val="}"/>
                            <m:ctrlP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sub>
                    </m:sSub>
                    <m:r>
                      <a:rPr lang="en-SG" sz="2400" b="1" i="1" kern="1200">
                        <a:latin typeface="Cambria Math" panose="02040503050406030204" pitchFamily="18" charset="0"/>
                      </a:rPr>
                      <m:t>= </m:t>
                    </m:r>
                    <m:r>
                      <a:rPr lang="en-SG" sz="2400" b="1" i="1" kern="1200">
                        <a:latin typeface="Cambria Math" panose="02040503050406030204" pitchFamily="18" charset="0"/>
                      </a:rPr>
                      <m:t>𝜶</m:t>
                    </m:r>
                    <m:sSub>
                      <m:sSubPr>
                        <m:ctrlPr>
                          <a:rPr lang="en-SG" sz="24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  <m:sub>
                        <m:d>
                          <m:dPr>
                            <m:begChr m:val="{"/>
                            <m:endChr m:val="}"/>
                            <m:ctrlP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𝒕</m:t>
                            </m:r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sub>
                    </m:sSub>
                    <m:r>
                      <a:rPr lang="en-SG" sz="2400" b="1" i="1" kern="1200">
                        <a:latin typeface="Cambria Math" panose="02040503050406030204" pitchFamily="18" charset="0"/>
                      </a:rPr>
                      <m:t>+ </m:t>
                    </m:r>
                    <m:d>
                      <m:dPr>
                        <m:ctrlPr>
                          <a:rPr lang="en-SG" sz="2400" b="1" i="1" kern="12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 − </m:t>
                        </m:r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d>
                    <m:sSub>
                      <m:sSubPr>
                        <m:ctrlPr>
                          <a:rPr lang="en-SG" sz="2400" b="1" i="1" kern="120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SG" sz="2400" b="1" i="1" kern="1200">
                            <a:latin typeface="Cambria Math" panose="02040503050406030204" pitchFamily="18" charset="0"/>
                          </a:rPr>
                          <m:t>𝑳</m:t>
                        </m:r>
                      </m:e>
                      <m:sub>
                        <m:d>
                          <m:dPr>
                            <m:begChr m:val="{"/>
                            <m:endChr m:val="}"/>
                            <m:ctrlP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SG" sz="2400" b="1" i="1" kern="1200">
                                <a:latin typeface="Cambria Math" panose="02040503050406030204" pitchFamily="18" charset="0"/>
                              </a:rPr>
                              <m:t>𝒕</m:t>
                            </m:r>
                          </m:e>
                        </m:d>
                      </m:sub>
                    </m:sSub>
                  </m:oMath>
                </m:oMathPara>
              </a14:m>
            </a:p>
            <a:p>
              <a:endParaRPr lang="en-SG" sz="2400" b="1" kern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B787EF-E391-66B6-29D5-52E4D212C0B4}"/>
                </a:ext>
              </a:extLst>
            </xdr:cNvPr>
            <xdr:cNvSpPr txBox="1"/>
          </xdr:nvSpPr>
          <xdr:spPr>
            <a:xfrm>
              <a:off x="12016048" y="2668386"/>
              <a:ext cx="3747655" cy="11087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SG" sz="2400" b="1" i="0" kern="1200">
                  <a:latin typeface="Cambria Math" panose="02040503050406030204" pitchFamily="18" charset="0"/>
                </a:rPr>
                <a:t>𝑳_{𝒕+𝟏} = 𝜶𝑫_{𝒕+𝟏} + (𝟏 − 𝜶) 𝑳_{𝒕} </a:t>
              </a:r>
            </a:p>
            <a:p>
              <a:endParaRPr lang="en-SG" sz="2400" b="1" kern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307329</xdr:colOff>
      <xdr:row>21</xdr:row>
      <xdr:rowOff>155359</xdr:rowOff>
    </xdr:from>
    <xdr:to>
      <xdr:col>17</xdr:col>
      <xdr:colOff>119553</xdr:colOff>
      <xdr:row>31</xdr:row>
      <xdr:rowOff>173934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A6EA0D-BBD9-8B3E-7447-A35696EE9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130958</xdr:colOff>
      <xdr:row>22</xdr:row>
      <xdr:rowOff>154048</xdr:rowOff>
    </xdr:from>
    <xdr:to>
      <xdr:col>12</xdr:col>
      <xdr:colOff>11997</xdr:colOff>
      <xdr:row>25</xdr:row>
      <xdr:rowOff>183613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CA7BF3-568D-2EAC-D7F3-0EFBDC562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7787" y="6620162"/>
          <a:ext cx="3789010" cy="911308"/>
        </a:xfrm>
        <a:prstGeom prst="rect">
          <a:avLst/>
        </a:prstGeom>
      </xdr:spPr>
    </xdr:pic>
    <xdr:clientData/>
  </xdr:twoCellAnchor>
  <xdr:twoCellAnchor>
    <xdr:from>
      <xdr:col>12</xdr:col>
      <xdr:colOff>257620</xdr:colOff>
      <xdr:row>11</xdr:row>
      <xdr:rowOff>204190</xdr:rowOff>
    </xdr:from>
    <xdr:to>
      <xdr:col>17</xdr:col>
      <xdr:colOff>240413</xdr:colOff>
      <xdr:row>21</xdr:row>
      <xdr:rowOff>15643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1EA25-EF06-1B45-9384-812BFEEBA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40444</xdr:colOff>
      <xdr:row>0</xdr:row>
      <xdr:rowOff>168519</xdr:rowOff>
    </xdr:from>
    <xdr:to>
      <xdr:col>17</xdr:col>
      <xdr:colOff>52540</xdr:colOff>
      <xdr:row>10</xdr:row>
      <xdr:rowOff>169760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0943DA-32E9-F183-5DFD-448D1063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5244" y="168519"/>
          <a:ext cx="4529667" cy="29403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170148</xdr:colOff>
      <xdr:row>21</xdr:row>
      <xdr:rowOff>70175</xdr:rowOff>
    </xdr:from>
    <xdr:to>
      <xdr:col>6</xdr:col>
      <xdr:colOff>262955</xdr:colOff>
      <xdr:row>30</xdr:row>
      <xdr:rowOff>168355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791A6-3AF1-A2EA-F63B-EE4102E4A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134327</xdr:colOff>
      <xdr:row>0</xdr:row>
      <xdr:rowOff>398728</xdr:rowOff>
    </xdr:from>
    <xdr:to>
      <xdr:col>17</xdr:col>
      <xdr:colOff>278423</xdr:colOff>
      <xdr:row>4</xdr:row>
      <xdr:rowOff>91701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CFD8D7-F5C5-DA15-627B-97CDE0028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02019" y="398728"/>
          <a:ext cx="3719635" cy="1246281"/>
        </a:xfrm>
        <a:prstGeom prst="rect">
          <a:avLst/>
        </a:prstGeom>
      </xdr:spPr>
    </xdr:pic>
    <xdr:clientData/>
  </xdr:twoCellAnchor>
  <xdr:twoCellAnchor>
    <xdr:from>
      <xdr:col>7</xdr:col>
      <xdr:colOff>683847</xdr:colOff>
      <xdr:row>21</xdr:row>
      <xdr:rowOff>48196</xdr:rowOff>
    </xdr:from>
    <xdr:to>
      <xdr:col>11</xdr:col>
      <xdr:colOff>921565</xdr:colOff>
      <xdr:row>30</xdr:row>
      <xdr:rowOff>153703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097001-3B2F-C7D3-8AF9-3D5D58519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256442</xdr:colOff>
      <xdr:row>15</xdr:row>
      <xdr:rowOff>210526</xdr:rowOff>
    </xdr:from>
    <xdr:to>
      <xdr:col>10</xdr:col>
      <xdr:colOff>127731</xdr:colOff>
      <xdr:row>20</xdr:row>
      <xdr:rowOff>169500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D9F37E-79BD-6B01-FEF3-3BCFF9646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58942" y="4997449"/>
          <a:ext cx="4189289" cy="142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73" zoomScaleNormal="73" workbookViewId="0">
      <selection activeCell="E1" sqref="B1:E1"/>
    </sheetView>
  </sheetViews>
  <sheetFormatPr defaultColWidth="8.88671875" defaultRowHeight="15.6" x14ac:dyDescent="0.3"/>
  <cols>
    <col min="1" max="1" width="8.88671875" style="1"/>
    <col min="2" max="2" width="16.109375" style="1" customWidth="1"/>
    <col min="3" max="3" width="24.88671875" style="1" customWidth="1"/>
    <col min="4" max="4" width="27.21875" style="1" customWidth="1"/>
    <col min="5" max="5" width="24.88671875" style="1" customWidth="1"/>
    <col min="6" max="7" width="8.88671875" style="1"/>
    <col min="8" max="8" width="24.77734375" style="1" customWidth="1"/>
    <col min="9" max="16384" width="8.88671875" style="1"/>
  </cols>
  <sheetData>
    <row r="1" spans="1:11" ht="20.399999999999999" x14ac:dyDescent="0.35">
      <c r="A1" s="6" t="s">
        <v>0</v>
      </c>
      <c r="B1" s="7" t="s">
        <v>39</v>
      </c>
      <c r="C1" s="7" t="s">
        <v>12</v>
      </c>
      <c r="D1" s="7" t="s">
        <v>2</v>
      </c>
      <c r="E1" s="7" t="s">
        <v>3</v>
      </c>
    </row>
    <row r="2" spans="1:11" ht="21" x14ac:dyDescent="0.4">
      <c r="A2" s="7">
        <v>1</v>
      </c>
      <c r="B2" s="7">
        <v>8000</v>
      </c>
      <c r="C2" s="8"/>
      <c r="D2" s="8">
        <f>18439+524*A2</f>
        <v>18963</v>
      </c>
      <c r="E2" s="9">
        <f>B2/D2</f>
        <v>0.42187417602699995</v>
      </c>
      <c r="G2" s="1" t="s">
        <v>4</v>
      </c>
      <c r="H2" s="2">
        <f>ROUND((E2+E6+E10)/3,2)</f>
        <v>0.47</v>
      </c>
    </row>
    <row r="3" spans="1:11" ht="21" x14ac:dyDescent="0.4">
      <c r="A3" s="7">
        <v>2</v>
      </c>
      <c r="B3" s="7">
        <v>13000</v>
      </c>
      <c r="C3" s="8"/>
      <c r="D3" s="8">
        <f>18439+524*A3</f>
        <v>19487</v>
      </c>
      <c r="E3" s="9">
        <f t="shared" ref="E3:E13" si="0">B3/D3</f>
        <v>0.66711140760507004</v>
      </c>
      <c r="G3" s="1" t="s">
        <v>5</v>
      </c>
      <c r="H3" s="2">
        <f>ROUND((E3+E7+E11)/3,2)</f>
        <v>0.68</v>
      </c>
    </row>
    <row r="4" spans="1:11" ht="21" x14ac:dyDescent="0.4">
      <c r="A4" s="7">
        <v>3</v>
      </c>
      <c r="B4" s="7">
        <v>23000</v>
      </c>
      <c r="C4" s="8">
        <f>(B2+B6+2*SUM(B3:B5))/8</f>
        <v>19750</v>
      </c>
      <c r="D4" s="8">
        <f>18439+524*A4</f>
        <v>20011</v>
      </c>
      <c r="E4" s="9">
        <f>B4/D4</f>
        <v>1.1493678476837739</v>
      </c>
      <c r="G4" s="1" t="s">
        <v>6</v>
      </c>
      <c r="H4" s="2">
        <f t="shared" ref="H4:H5" si="1">ROUND((E4+E8+E12)/3,2)</f>
        <v>1.17</v>
      </c>
    </row>
    <row r="5" spans="1:11" ht="21" x14ac:dyDescent="0.4">
      <c r="A5" s="7">
        <v>4</v>
      </c>
      <c r="B5" s="7">
        <v>34000</v>
      </c>
      <c r="C5" s="8">
        <f>(B3+B7+2*SUM(B4:B6))/8</f>
        <v>20625</v>
      </c>
      <c r="D5" s="8">
        <f t="shared" ref="D5:D13" si="2">18439+524*A5</f>
        <v>20535</v>
      </c>
      <c r="E5" s="9">
        <f t="shared" si="0"/>
        <v>1.6557097638178719</v>
      </c>
      <c r="G5" s="1" t="s">
        <v>7</v>
      </c>
      <c r="H5" s="2">
        <f t="shared" si="1"/>
        <v>1.66</v>
      </c>
    </row>
    <row r="6" spans="1:11" ht="21" x14ac:dyDescent="0.4">
      <c r="A6" s="7">
        <v>5</v>
      </c>
      <c r="B6" s="7">
        <v>10000</v>
      </c>
      <c r="C6" s="8">
        <f>(B4+B8+2*SUM(B5:B7))/8</f>
        <v>21250</v>
      </c>
      <c r="D6" s="8">
        <f>18439+524*A6</f>
        <v>21059</v>
      </c>
      <c r="E6" s="9">
        <f>B6/D6</f>
        <v>0.47485635595232445</v>
      </c>
      <c r="K6" s="1">
        <f>B6-J6</f>
        <v>10000</v>
      </c>
    </row>
    <row r="7" spans="1:11" ht="21" x14ac:dyDescent="0.4">
      <c r="A7" s="7">
        <v>6</v>
      </c>
      <c r="B7" s="7">
        <v>18000</v>
      </c>
      <c r="C7" s="8">
        <f>(B5+B9+2*SUM(B6:B8))/8</f>
        <v>21750</v>
      </c>
      <c r="D7" s="8">
        <f>18439+524*A7</f>
        <v>21583</v>
      </c>
      <c r="E7" s="9">
        <f t="shared" si="0"/>
        <v>0.83398971412685907</v>
      </c>
    </row>
    <row r="8" spans="1:11" ht="21" x14ac:dyDescent="0.4">
      <c r="A8" s="7">
        <v>7</v>
      </c>
      <c r="B8" s="7">
        <v>23000</v>
      </c>
      <c r="C8" s="8">
        <f t="shared" ref="C8:C10" si="3">(B6+B10+2*SUM(B7:B9))/8</f>
        <v>22500</v>
      </c>
      <c r="D8" s="8">
        <f t="shared" si="2"/>
        <v>22107</v>
      </c>
      <c r="E8" s="9">
        <f t="shared" si="0"/>
        <v>1.0403944451983536</v>
      </c>
    </row>
    <row r="9" spans="1:11" ht="21" x14ac:dyDescent="0.4">
      <c r="A9" s="7">
        <v>8</v>
      </c>
      <c r="B9" s="7">
        <v>38000</v>
      </c>
      <c r="C9" s="8">
        <f t="shared" si="3"/>
        <v>22125</v>
      </c>
      <c r="D9" s="8">
        <f t="shared" si="2"/>
        <v>22631</v>
      </c>
      <c r="E9" s="9">
        <f t="shared" si="0"/>
        <v>1.6791127214882242</v>
      </c>
    </row>
    <row r="10" spans="1:11" ht="21" x14ac:dyDescent="0.4">
      <c r="A10" s="7">
        <v>9</v>
      </c>
      <c r="B10" s="7">
        <v>12000</v>
      </c>
      <c r="C10" s="8">
        <f t="shared" si="3"/>
        <v>22625</v>
      </c>
      <c r="D10" s="8">
        <f t="shared" si="2"/>
        <v>23155</v>
      </c>
      <c r="E10" s="9">
        <f t="shared" si="0"/>
        <v>0.51824659900669401</v>
      </c>
    </row>
    <row r="11" spans="1:11" ht="21" x14ac:dyDescent="0.4">
      <c r="A11" s="7">
        <v>10</v>
      </c>
      <c r="B11" s="7">
        <v>13000</v>
      </c>
      <c r="C11" s="8">
        <f>(B9+B13+2*SUM(B10:B12))/8</f>
        <v>24125</v>
      </c>
      <c r="D11" s="8">
        <f t="shared" si="2"/>
        <v>23679</v>
      </c>
      <c r="E11" s="9">
        <f t="shared" si="0"/>
        <v>0.54900967101651255</v>
      </c>
    </row>
    <row r="12" spans="1:11" ht="21" x14ac:dyDescent="0.4">
      <c r="A12" s="7">
        <v>11</v>
      </c>
      <c r="B12" s="7">
        <v>32000</v>
      </c>
      <c r="C12" s="8"/>
      <c r="D12" s="8">
        <f t="shared" si="2"/>
        <v>24203</v>
      </c>
      <c r="E12" s="9">
        <f t="shared" si="0"/>
        <v>1.3221501466760319</v>
      </c>
    </row>
    <row r="13" spans="1:11" ht="21" x14ac:dyDescent="0.4">
      <c r="A13" s="7">
        <v>12</v>
      </c>
      <c r="B13" s="7">
        <v>41000</v>
      </c>
      <c r="C13" s="8"/>
      <c r="D13" s="8">
        <f t="shared" si="2"/>
        <v>24727</v>
      </c>
      <c r="E13" s="9">
        <f t="shared" si="0"/>
        <v>1.6581065232337122</v>
      </c>
    </row>
    <row r="14" spans="1:11" ht="21" x14ac:dyDescent="0.4">
      <c r="A14" s="10"/>
      <c r="B14" s="10"/>
      <c r="C14" s="10"/>
      <c r="D14" s="10"/>
      <c r="E14" s="10"/>
    </row>
    <row r="15" spans="1:11" ht="21" x14ac:dyDescent="0.4">
      <c r="A15" s="10"/>
      <c r="B15" s="11" t="s">
        <v>40</v>
      </c>
      <c r="C15" s="10"/>
      <c r="D15" s="10"/>
      <c r="E15" s="10"/>
    </row>
    <row r="16" spans="1:11" ht="21" x14ac:dyDescent="0.4">
      <c r="A16" s="12">
        <v>13</v>
      </c>
      <c r="B16" s="13">
        <f>(18439+A16*524)*H2</f>
        <v>11867.97</v>
      </c>
      <c r="C16" s="10"/>
      <c r="D16" s="10"/>
      <c r="E16" s="10"/>
    </row>
    <row r="17" spans="1:5" ht="21" x14ac:dyDescent="0.4">
      <c r="A17" s="12">
        <v>14</v>
      </c>
      <c r="B17" s="13">
        <f>(18439+A17*524)*H3</f>
        <v>17527</v>
      </c>
      <c r="C17" s="10"/>
      <c r="D17" s="10"/>
      <c r="E17" s="10"/>
    </row>
    <row r="18" spans="1:5" ht="21" x14ac:dyDescent="0.4">
      <c r="A18" s="12">
        <v>15</v>
      </c>
      <c r="B18" s="13">
        <f>(18439+A18*524)*H4</f>
        <v>30769.829999999998</v>
      </c>
      <c r="C18" s="10"/>
      <c r="D18" s="10"/>
      <c r="E18" s="10"/>
    </row>
    <row r="19" spans="1:5" ht="21" x14ac:dyDescent="0.4">
      <c r="A19" s="12">
        <v>16</v>
      </c>
      <c r="B19" s="13">
        <f>(18439+A19*524)*H5</f>
        <v>44526.18</v>
      </c>
      <c r="C19" s="10"/>
      <c r="D19" s="10"/>
      <c r="E19" s="10"/>
    </row>
    <row r="20" spans="1:5" ht="21" x14ac:dyDescent="0.4">
      <c r="A20" s="10"/>
      <c r="B20" s="10"/>
      <c r="C20" s="10"/>
      <c r="D20" s="10"/>
      <c r="E20" s="10"/>
    </row>
    <row r="21" spans="1:5" ht="21" x14ac:dyDescent="0.4">
      <c r="A21" s="10"/>
      <c r="B21" s="10"/>
      <c r="C21" s="10"/>
      <c r="D21" s="10"/>
      <c r="E21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547-1FCF-4728-8F51-DA361CEA4F29}">
  <dimension ref="A1:I18"/>
  <sheetViews>
    <sheetView workbookViewId="0">
      <selection activeCell="F28" sqref="F28"/>
    </sheetView>
  </sheetViews>
  <sheetFormatPr defaultRowHeight="14.4" x14ac:dyDescent="0.3"/>
  <cols>
    <col min="1" max="1" width="10.77734375" customWidth="1"/>
    <col min="2" max="2" width="11.77734375" customWidth="1"/>
  </cols>
  <sheetData>
    <row r="1" spans="1:9" x14ac:dyDescent="0.3">
      <c r="A1" t="s">
        <v>14</v>
      </c>
    </row>
    <row r="2" spans="1:9" ht="15" thickBot="1" x14ac:dyDescent="0.35"/>
    <row r="3" spans="1:9" x14ac:dyDescent="0.3">
      <c r="A3" s="5" t="s">
        <v>15</v>
      </c>
      <c r="B3" s="5"/>
    </row>
    <row r="4" spans="1:9" x14ac:dyDescent="0.3">
      <c r="A4" t="s">
        <v>16</v>
      </c>
      <c r="B4">
        <v>0.95806523657865916</v>
      </c>
    </row>
    <row r="5" spans="1:9" x14ac:dyDescent="0.3">
      <c r="A5" t="s">
        <v>17</v>
      </c>
      <c r="B5">
        <v>0.91788899754052211</v>
      </c>
    </row>
    <row r="6" spans="1:9" x14ac:dyDescent="0.3">
      <c r="A6" t="s">
        <v>18</v>
      </c>
      <c r="B6">
        <v>0.90420383046394248</v>
      </c>
    </row>
    <row r="7" spans="1:9" x14ac:dyDescent="0.3">
      <c r="A7" t="s">
        <v>19</v>
      </c>
      <c r="B7">
        <v>414.50331244966662</v>
      </c>
    </row>
    <row r="8" spans="1:9" ht="15" thickBot="1" x14ac:dyDescent="0.35">
      <c r="A8" s="3" t="s">
        <v>20</v>
      </c>
      <c r="B8" s="3">
        <v>8</v>
      </c>
    </row>
    <row r="10" spans="1:9" ht="15" thickBot="1" x14ac:dyDescent="0.35">
      <c r="A10" t="s">
        <v>21</v>
      </c>
    </row>
    <row r="11" spans="1:9" x14ac:dyDescent="0.3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3">
      <c r="A12" t="s">
        <v>22</v>
      </c>
      <c r="B12">
        <v>1</v>
      </c>
      <c r="C12">
        <v>11523809.523809524</v>
      </c>
      <c r="D12">
        <v>11523809.523809524</v>
      </c>
      <c r="E12">
        <v>67.071815229159185</v>
      </c>
      <c r="F12">
        <v>1.7860862471323006E-4</v>
      </c>
    </row>
    <row r="13" spans="1:9" x14ac:dyDescent="0.3">
      <c r="A13" t="s">
        <v>23</v>
      </c>
      <c r="B13">
        <v>6</v>
      </c>
      <c r="C13">
        <v>1030877.9761904756</v>
      </c>
      <c r="D13">
        <v>171812.99603174595</v>
      </c>
    </row>
    <row r="14" spans="1:9" ht="15" thickBot="1" x14ac:dyDescent="0.35">
      <c r="A14" s="3" t="s">
        <v>24</v>
      </c>
      <c r="B14" s="3">
        <v>7</v>
      </c>
      <c r="C14" s="3">
        <v>12554687.5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3">
      <c r="A17" t="s">
        <v>25</v>
      </c>
      <c r="B17">
        <v>18438.988095238095</v>
      </c>
      <c r="C17">
        <v>440.80870787753844</v>
      </c>
      <c r="D17">
        <v>41.829908905430813</v>
      </c>
      <c r="E17">
        <v>1.2487616472712049E-8</v>
      </c>
      <c r="F17">
        <v>17360.368043844646</v>
      </c>
      <c r="G17">
        <v>19517.608146631545</v>
      </c>
      <c r="H17">
        <v>17360.368043844646</v>
      </c>
      <c r="I17">
        <v>19517.608146631545</v>
      </c>
    </row>
    <row r="18" spans="1:9" ht="15" thickBot="1" x14ac:dyDescent="0.35">
      <c r="A18" s="3" t="s">
        <v>38</v>
      </c>
      <c r="B18" s="3">
        <v>523.80952380952385</v>
      </c>
      <c r="C18" s="3">
        <v>63.95924968136724</v>
      </c>
      <c r="D18" s="3">
        <v>8.1897384103009774</v>
      </c>
      <c r="E18" s="3">
        <v>1.7860862471323006E-4</v>
      </c>
      <c r="F18" s="3">
        <v>367.30687777384622</v>
      </c>
      <c r="G18" s="3">
        <v>680.31216984520142</v>
      </c>
      <c r="H18" s="3">
        <v>367.30687777384622</v>
      </c>
      <c r="I18" s="3">
        <v>680.31216984520142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="72" zoomScaleNormal="72" workbookViewId="0">
      <selection activeCell="J16" sqref="J16"/>
    </sheetView>
  </sheetViews>
  <sheetFormatPr defaultColWidth="8.77734375" defaultRowHeight="23.4" x14ac:dyDescent="0.45"/>
  <cols>
    <col min="1" max="1" width="8.77734375" style="14"/>
    <col min="2" max="2" width="17.109375" style="14" customWidth="1"/>
    <col min="3" max="3" width="16.21875" style="14" customWidth="1"/>
    <col min="4" max="4" width="12.44140625" style="14" customWidth="1"/>
    <col min="5" max="5" width="13.6640625" style="14" customWidth="1"/>
    <col min="6" max="6" width="22.21875" style="14" customWidth="1"/>
    <col min="7" max="7" width="20.5546875" style="14" customWidth="1"/>
    <col min="8" max="8" width="19.88671875" style="14" customWidth="1"/>
    <col min="9" max="9" width="19.6640625" style="14" customWidth="1"/>
    <col min="10" max="10" width="16" style="14" customWidth="1"/>
    <col min="11" max="11" width="15.77734375" style="14" customWidth="1"/>
    <col min="12" max="16384" width="8.77734375" style="14"/>
  </cols>
  <sheetData>
    <row r="1" spans="1:12" x14ac:dyDescent="0.45">
      <c r="C1" s="14" t="s">
        <v>41</v>
      </c>
    </row>
    <row r="2" spans="1:12" x14ac:dyDescent="0.45">
      <c r="A2" s="15" t="s">
        <v>0</v>
      </c>
      <c r="B2" s="15" t="s">
        <v>1</v>
      </c>
      <c r="C2" s="16" t="s">
        <v>9</v>
      </c>
      <c r="D2" s="16" t="s">
        <v>10</v>
      </c>
      <c r="E2" s="16" t="s">
        <v>49</v>
      </c>
      <c r="F2" s="16" t="s">
        <v>51</v>
      </c>
      <c r="G2" s="17" t="s">
        <v>50</v>
      </c>
      <c r="H2" s="17" t="s">
        <v>52</v>
      </c>
      <c r="I2" s="17" t="s">
        <v>53</v>
      </c>
      <c r="J2" s="17" t="s">
        <v>54</v>
      </c>
      <c r="K2" s="18" t="s">
        <v>55</v>
      </c>
      <c r="L2" s="18" t="s">
        <v>56</v>
      </c>
    </row>
    <row r="3" spans="1:12" x14ac:dyDescent="0.45">
      <c r="A3" s="19">
        <v>1</v>
      </c>
      <c r="B3" s="20">
        <v>8000</v>
      </c>
      <c r="C3" s="21"/>
      <c r="D3" s="21"/>
      <c r="E3" s="22"/>
      <c r="F3" s="22"/>
      <c r="G3" s="22"/>
      <c r="H3" s="22"/>
      <c r="I3" s="22"/>
      <c r="J3" s="22"/>
      <c r="K3" s="23"/>
      <c r="L3" s="23"/>
    </row>
    <row r="4" spans="1:12" x14ac:dyDescent="0.45">
      <c r="A4" s="19">
        <v>2</v>
      </c>
      <c r="B4" s="20">
        <v>13000</v>
      </c>
      <c r="C4" s="21"/>
      <c r="D4" s="21"/>
      <c r="E4" s="22"/>
      <c r="F4" s="22"/>
      <c r="G4" s="22"/>
      <c r="H4" s="22"/>
      <c r="I4" s="22"/>
      <c r="J4" s="22"/>
      <c r="K4" s="23"/>
      <c r="L4" s="23"/>
    </row>
    <row r="5" spans="1:12" x14ac:dyDescent="0.45">
      <c r="A5" s="19">
        <v>3</v>
      </c>
      <c r="B5" s="20">
        <v>23000</v>
      </c>
      <c r="C5" s="21"/>
      <c r="D5" s="21"/>
      <c r="E5" s="22"/>
      <c r="F5" s="22"/>
      <c r="G5" s="22"/>
      <c r="H5" s="22"/>
      <c r="I5" s="22"/>
      <c r="J5" s="22"/>
      <c r="K5" s="23"/>
      <c r="L5" s="23"/>
    </row>
    <row r="6" spans="1:12" x14ac:dyDescent="0.45">
      <c r="A6" s="19">
        <v>4</v>
      </c>
      <c r="B6" s="20">
        <v>34000</v>
      </c>
      <c r="C6" s="21">
        <f>AVERAGE(B3:B6)</f>
        <v>19500</v>
      </c>
      <c r="D6" s="21"/>
      <c r="E6" s="22"/>
      <c r="F6" s="22"/>
      <c r="G6" s="22"/>
      <c r="H6" s="22"/>
      <c r="I6" s="22"/>
      <c r="J6" s="22"/>
      <c r="K6" s="23"/>
      <c r="L6" s="23"/>
    </row>
    <row r="7" spans="1:12" x14ac:dyDescent="0.45">
      <c r="A7" s="19">
        <v>5</v>
      </c>
      <c r="B7" s="20">
        <v>10000</v>
      </c>
      <c r="C7" s="21">
        <f>AVERAGE(B4:B7)</f>
        <v>20000</v>
      </c>
      <c r="D7" s="21">
        <f>C6</f>
        <v>19500</v>
      </c>
      <c r="E7" s="22">
        <f>D7-B7</f>
        <v>9500</v>
      </c>
      <c r="F7" s="22">
        <f>ABS(E7)</f>
        <v>9500</v>
      </c>
      <c r="G7" s="22">
        <f>E7^2</f>
        <v>90250000</v>
      </c>
      <c r="H7" s="22"/>
      <c r="I7" s="22">
        <f>SUM($F$7:F7)/(A7-4)</f>
        <v>9500</v>
      </c>
      <c r="J7" s="24">
        <f>(F7/B7)*100</f>
        <v>95</v>
      </c>
      <c r="K7" s="22">
        <f>SUM($E$7:E7)</f>
        <v>9500</v>
      </c>
      <c r="L7" s="25">
        <f>K7/I7</f>
        <v>1</v>
      </c>
    </row>
    <row r="8" spans="1:12" x14ac:dyDescent="0.45">
      <c r="A8" s="19">
        <v>6</v>
      </c>
      <c r="B8" s="20">
        <v>18000</v>
      </c>
      <c r="C8" s="21">
        <f>AVERAGE(B5:B8)</f>
        <v>21250</v>
      </c>
      <c r="D8" s="21">
        <f>C7</f>
        <v>20000</v>
      </c>
      <c r="E8" s="22">
        <f>D8-B8</f>
        <v>2000</v>
      </c>
      <c r="F8" s="22">
        <f t="shared" ref="F8:F14" si="0">ABS(E8)</f>
        <v>2000</v>
      </c>
      <c r="G8" s="22">
        <f t="shared" ref="G8:G14" si="1">E8^2</f>
        <v>4000000</v>
      </c>
      <c r="H8" s="22"/>
      <c r="I8" s="22">
        <f>SUM($F$7:F8)/(A8-4)</f>
        <v>5750</v>
      </c>
      <c r="J8" s="24">
        <f>(F8/B8)*100</f>
        <v>11.111111111111111</v>
      </c>
      <c r="K8" s="22">
        <f>SUM($E$7:E8)</f>
        <v>11500</v>
      </c>
      <c r="L8" s="25">
        <f>K8/I8</f>
        <v>2</v>
      </c>
    </row>
    <row r="9" spans="1:12" x14ac:dyDescent="0.45">
      <c r="A9" s="19">
        <v>7</v>
      </c>
      <c r="B9" s="20">
        <v>23000</v>
      </c>
      <c r="C9" s="21">
        <f t="shared" ref="C9:C13" si="2">AVERAGE(B6:B9)</f>
        <v>21250</v>
      </c>
      <c r="D9" s="21">
        <f t="shared" ref="D9:D14" si="3">C8</f>
        <v>21250</v>
      </c>
      <c r="E9" s="22">
        <f t="shared" ref="E9:E13" si="4">D9-B9</f>
        <v>-1750</v>
      </c>
      <c r="F9" s="22">
        <f t="shared" si="0"/>
        <v>1750</v>
      </c>
      <c r="G9" s="22">
        <f>E9^2</f>
        <v>3062500</v>
      </c>
      <c r="H9" s="22"/>
      <c r="I9" s="22">
        <f>SUM($F$7:F9)/(A9-4)</f>
        <v>4416.666666666667</v>
      </c>
      <c r="J9" s="24">
        <f>(F9/B9)*100</f>
        <v>7.608695652173914</v>
      </c>
      <c r="K9" s="22">
        <f>SUM($E$7:E9)</f>
        <v>9750</v>
      </c>
      <c r="L9" s="25">
        <f t="shared" ref="L9:L14" si="5">K9/I9</f>
        <v>2.2075471698113205</v>
      </c>
    </row>
    <row r="10" spans="1:12" x14ac:dyDescent="0.45">
      <c r="A10" s="19">
        <v>8</v>
      </c>
      <c r="B10" s="20">
        <v>38000</v>
      </c>
      <c r="C10" s="21">
        <f t="shared" si="2"/>
        <v>22250</v>
      </c>
      <c r="D10" s="21">
        <f t="shared" si="3"/>
        <v>21250</v>
      </c>
      <c r="E10" s="22">
        <f>D10-B10</f>
        <v>-16750</v>
      </c>
      <c r="F10" s="22">
        <f>ABS(E10)</f>
        <v>16750</v>
      </c>
      <c r="G10" s="22">
        <f t="shared" si="1"/>
        <v>280562500</v>
      </c>
      <c r="H10" s="22"/>
      <c r="I10" s="22">
        <f>SUM($F$7:F10)/(A10-4)</f>
        <v>7500</v>
      </c>
      <c r="J10" s="24">
        <f t="shared" ref="J10:J14" si="6">(F10/B10)*100</f>
        <v>44.078947368421048</v>
      </c>
      <c r="K10" s="22">
        <f>SUM($E$7:E10)</f>
        <v>-7000</v>
      </c>
      <c r="L10" s="25">
        <f t="shared" si="5"/>
        <v>-0.93333333333333335</v>
      </c>
    </row>
    <row r="11" spans="1:12" x14ac:dyDescent="0.45">
      <c r="A11" s="19">
        <v>9</v>
      </c>
      <c r="B11" s="20">
        <v>12000</v>
      </c>
      <c r="C11" s="21">
        <f t="shared" si="2"/>
        <v>22750</v>
      </c>
      <c r="D11" s="21">
        <f t="shared" si="3"/>
        <v>22250</v>
      </c>
      <c r="E11" s="22">
        <f t="shared" si="4"/>
        <v>10250</v>
      </c>
      <c r="F11" s="22">
        <f t="shared" si="0"/>
        <v>10250</v>
      </c>
      <c r="G11" s="22">
        <f t="shared" si="1"/>
        <v>105062500</v>
      </c>
      <c r="H11" s="22"/>
      <c r="I11" s="22">
        <f>SUM($F$7:F11)/(A11-4)</f>
        <v>8050</v>
      </c>
      <c r="J11" s="24">
        <f t="shared" si="6"/>
        <v>85.416666666666657</v>
      </c>
      <c r="K11" s="22">
        <f>SUM($E$7:E11)</f>
        <v>3250</v>
      </c>
      <c r="L11" s="25">
        <f t="shared" si="5"/>
        <v>0.40372670807453415</v>
      </c>
    </row>
    <row r="12" spans="1:12" x14ac:dyDescent="0.45">
      <c r="A12" s="19">
        <v>10</v>
      </c>
      <c r="B12" s="20">
        <v>13000</v>
      </c>
      <c r="C12" s="21">
        <f t="shared" si="2"/>
        <v>21500</v>
      </c>
      <c r="D12" s="21">
        <f t="shared" si="3"/>
        <v>22750</v>
      </c>
      <c r="E12" s="22">
        <f t="shared" si="4"/>
        <v>9750</v>
      </c>
      <c r="F12" s="22">
        <f t="shared" si="0"/>
        <v>9750</v>
      </c>
      <c r="G12" s="22">
        <f t="shared" si="1"/>
        <v>95062500</v>
      </c>
      <c r="H12" s="22"/>
      <c r="I12" s="22">
        <f>SUM($F$7:F12)/(A12-4)</f>
        <v>8333.3333333333339</v>
      </c>
      <c r="J12" s="24">
        <f t="shared" si="6"/>
        <v>75</v>
      </c>
      <c r="K12" s="22">
        <f>SUM($E$7:E12)</f>
        <v>13000</v>
      </c>
      <c r="L12" s="25">
        <f t="shared" si="5"/>
        <v>1.5599999999999998</v>
      </c>
    </row>
    <row r="13" spans="1:12" x14ac:dyDescent="0.45">
      <c r="A13" s="19">
        <v>11</v>
      </c>
      <c r="B13" s="20">
        <v>32000</v>
      </c>
      <c r="C13" s="21">
        <f t="shared" si="2"/>
        <v>23750</v>
      </c>
      <c r="D13" s="21">
        <f t="shared" si="3"/>
        <v>21500</v>
      </c>
      <c r="E13" s="22">
        <f t="shared" si="4"/>
        <v>-10500</v>
      </c>
      <c r="F13" s="22">
        <f t="shared" si="0"/>
        <v>10500</v>
      </c>
      <c r="G13" s="22">
        <f t="shared" si="1"/>
        <v>110250000</v>
      </c>
      <c r="H13" s="22"/>
      <c r="I13" s="22">
        <f>SUM($F$7:F13)/(A13-4)</f>
        <v>8642.8571428571431</v>
      </c>
      <c r="J13" s="24">
        <f t="shared" si="6"/>
        <v>32.8125</v>
      </c>
      <c r="K13" s="22">
        <f>SUM($E$7:E13)</f>
        <v>2500</v>
      </c>
      <c r="L13" s="25">
        <f t="shared" si="5"/>
        <v>0.28925619834710742</v>
      </c>
    </row>
    <row r="14" spans="1:12" x14ac:dyDescent="0.45">
      <c r="A14" s="19">
        <v>12</v>
      </c>
      <c r="B14" s="20">
        <v>41000</v>
      </c>
      <c r="C14" s="21">
        <f>AVERAGE(B11:B14)</f>
        <v>24500</v>
      </c>
      <c r="D14" s="21">
        <f t="shared" si="3"/>
        <v>23750</v>
      </c>
      <c r="E14" s="22">
        <f>D14-B14</f>
        <v>-17250</v>
      </c>
      <c r="F14" s="22">
        <f t="shared" si="0"/>
        <v>17250</v>
      </c>
      <c r="G14" s="22">
        <f t="shared" si="1"/>
        <v>297562500</v>
      </c>
      <c r="H14" s="26"/>
      <c r="I14" s="22">
        <f>SUM($F$7:F14)/(A14-4)</f>
        <v>9718.75</v>
      </c>
      <c r="J14" s="24">
        <f t="shared" si="6"/>
        <v>42.073170731707314</v>
      </c>
      <c r="K14" s="22">
        <f>SUM($E$7:E14)</f>
        <v>-14750</v>
      </c>
      <c r="L14" s="25">
        <f t="shared" si="5"/>
        <v>-1.517684887459807</v>
      </c>
    </row>
    <row r="15" spans="1:12" x14ac:dyDescent="0.45">
      <c r="A15" s="19">
        <v>13</v>
      </c>
      <c r="B15" s="23"/>
      <c r="C15" s="23"/>
      <c r="D15" s="21">
        <f>C14</f>
        <v>24500</v>
      </c>
      <c r="E15" s="14" t="s">
        <v>65</v>
      </c>
      <c r="F15" s="27"/>
      <c r="G15" s="27"/>
      <c r="I15" s="28" t="s">
        <v>67</v>
      </c>
      <c r="J15" s="28" t="s">
        <v>68</v>
      </c>
      <c r="K15" s="28" t="s">
        <v>63</v>
      </c>
      <c r="L15" s="28" t="s">
        <v>66</v>
      </c>
    </row>
    <row r="16" spans="1:12" x14ac:dyDescent="0.45">
      <c r="A16" s="19">
        <v>14</v>
      </c>
      <c r="B16" s="23"/>
      <c r="C16" s="23"/>
      <c r="D16" s="29">
        <f>C14</f>
        <v>24500</v>
      </c>
    </row>
    <row r="17" spans="1:9" x14ac:dyDescent="0.45">
      <c r="A17" s="19">
        <v>15</v>
      </c>
      <c r="B17" s="23"/>
      <c r="C17" s="23"/>
      <c r="D17" s="29">
        <f>C14</f>
        <v>24500</v>
      </c>
    </row>
    <row r="18" spans="1:9" x14ac:dyDescent="0.45">
      <c r="A18" s="19">
        <v>16</v>
      </c>
      <c r="B18" s="23"/>
      <c r="C18" s="23"/>
      <c r="D18" s="29">
        <f>C14</f>
        <v>24500</v>
      </c>
    </row>
    <row r="21" spans="1:9" x14ac:dyDescent="0.45">
      <c r="C21" s="28"/>
      <c r="D21" s="28"/>
      <c r="E21" s="18" t="s">
        <v>57</v>
      </c>
      <c r="F21" s="23">
        <f>SUM(G7:G14)/(12-4)</f>
        <v>123226562.5</v>
      </c>
      <c r="G21" s="23">
        <f>SUMSQ(E7:E14)/8</f>
        <v>123226562.5</v>
      </c>
      <c r="H21" s="22">
        <f>AVERAGE(G7:G14)</f>
        <v>123226562.5</v>
      </c>
      <c r="I21" s="14" t="s">
        <v>60</v>
      </c>
    </row>
    <row r="22" spans="1:9" ht="24" customHeight="1" x14ac:dyDescent="0.45">
      <c r="E22" s="18" t="s">
        <v>58</v>
      </c>
      <c r="F22" s="23">
        <f>SUM(F7:F14)/8</f>
        <v>9718.75</v>
      </c>
      <c r="G22" s="22">
        <f>AVERAGE(F7:F14)</f>
        <v>9718.75</v>
      </c>
      <c r="H22" s="23"/>
      <c r="I22" s="14" t="s">
        <v>61</v>
      </c>
    </row>
    <row r="23" spans="1:9" ht="24.45" customHeight="1" x14ac:dyDescent="0.45">
      <c r="E23" s="18" t="s">
        <v>59</v>
      </c>
      <c r="F23" s="25">
        <f>AVERAGE(J7:J14)</f>
        <v>49.137636441260007</v>
      </c>
      <c r="G23" s="25"/>
      <c r="H23" s="23"/>
      <c r="I23" s="14" t="s">
        <v>62</v>
      </c>
    </row>
    <row r="24" spans="1:9" ht="29.55" customHeight="1" x14ac:dyDescent="0.45">
      <c r="E24" s="18" t="s">
        <v>55</v>
      </c>
      <c r="F24" s="22">
        <f>SUM(E7:E14)</f>
        <v>-14750</v>
      </c>
      <c r="G24" s="23"/>
      <c r="H24" s="23"/>
      <c r="I24" s="14" t="s">
        <v>63</v>
      </c>
    </row>
    <row r="25" spans="1:9" x14ac:dyDescent="0.45">
      <c r="E25" s="18" t="s">
        <v>56</v>
      </c>
      <c r="F25" s="25">
        <f>MIN(L7:L14)</f>
        <v>-1.517684887459807</v>
      </c>
      <c r="G25" s="23"/>
      <c r="H25" s="23"/>
      <c r="I25" s="1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A5" zoomScale="75" zoomScaleNormal="75" workbookViewId="0">
      <selection activeCell="E24" sqref="E24"/>
    </sheetView>
  </sheetViews>
  <sheetFormatPr defaultColWidth="13.109375" defaultRowHeight="22.8" x14ac:dyDescent="0.4"/>
  <cols>
    <col min="1" max="3" width="13.109375" style="28"/>
    <col min="4" max="4" width="24" style="28" customWidth="1"/>
    <col min="5" max="5" width="16.21875" style="28" bestFit="1" customWidth="1"/>
    <col min="6" max="6" width="13.109375" style="28"/>
    <col min="7" max="7" width="16.88671875" style="28" bestFit="1" customWidth="1"/>
    <col min="8" max="9" width="13.44140625" style="28" bestFit="1" customWidth="1"/>
    <col min="10" max="10" width="18.21875" style="28" customWidth="1"/>
    <col min="11" max="16384" width="13.109375" style="28"/>
  </cols>
  <sheetData>
    <row r="1" spans="1:11" x14ac:dyDescent="0.4">
      <c r="C1" s="28" t="s">
        <v>11</v>
      </c>
      <c r="E1" s="30" t="s">
        <v>13</v>
      </c>
      <c r="F1" s="30">
        <v>0.1</v>
      </c>
    </row>
    <row r="2" spans="1:11" ht="23.4" x14ac:dyDescent="0.45">
      <c r="A2" s="15" t="s">
        <v>0</v>
      </c>
      <c r="B2" s="15" t="s">
        <v>1</v>
      </c>
      <c r="C2" s="16" t="s">
        <v>42</v>
      </c>
      <c r="D2" s="16" t="s">
        <v>8</v>
      </c>
      <c r="E2" s="16" t="s">
        <v>49</v>
      </c>
      <c r="F2" s="16" t="s">
        <v>51</v>
      </c>
      <c r="G2" s="17" t="s">
        <v>50</v>
      </c>
      <c r="H2" s="17" t="s">
        <v>53</v>
      </c>
      <c r="I2" s="17" t="s">
        <v>54</v>
      </c>
      <c r="J2" s="18" t="s">
        <v>55</v>
      </c>
      <c r="K2" s="18" t="s">
        <v>56</v>
      </c>
    </row>
    <row r="3" spans="1:11" ht="23.4" x14ac:dyDescent="0.45">
      <c r="A3" s="15">
        <v>0</v>
      </c>
      <c r="B3" s="15"/>
      <c r="C3" s="31">
        <f>AVERAGE(B4:B15)</f>
        <v>22083.333333333332</v>
      </c>
      <c r="D3" s="16"/>
      <c r="E3" s="16"/>
      <c r="F3" s="16"/>
      <c r="G3" s="17"/>
      <c r="H3" s="17"/>
      <c r="I3" s="17"/>
      <c r="J3" s="18"/>
      <c r="K3" s="32"/>
    </row>
    <row r="4" spans="1:11" x14ac:dyDescent="0.4">
      <c r="A4" s="19">
        <v>1</v>
      </c>
      <c r="B4" s="20">
        <v>8000</v>
      </c>
      <c r="C4" s="21">
        <f>$F$1*B4+(1-$F$1)*C3</f>
        <v>20675</v>
      </c>
      <c r="D4" s="21">
        <f>C3</f>
        <v>22083.333333333332</v>
      </c>
      <c r="E4" s="21">
        <f>D4-B4</f>
        <v>14083.333333333332</v>
      </c>
      <c r="F4" s="21">
        <f>ABS(E4)</f>
        <v>14083.333333333332</v>
      </c>
      <c r="G4" s="21">
        <f>E4^2</f>
        <v>198340277.77777773</v>
      </c>
      <c r="H4" s="21">
        <f>SUM($F$4:F4)/A4-0</f>
        <v>14083.333333333332</v>
      </c>
      <c r="I4" s="33">
        <f t="shared" ref="I4:I9" si="0">(F4/B4)*100</f>
        <v>176.04166666666666</v>
      </c>
      <c r="J4" s="34">
        <f>SUM($E$4:E4)</f>
        <v>14083.333333333332</v>
      </c>
      <c r="K4" s="34">
        <f>J4/H4</f>
        <v>1</v>
      </c>
    </row>
    <row r="5" spans="1:11" x14ac:dyDescent="0.4">
      <c r="A5" s="19">
        <v>2</v>
      </c>
      <c r="B5" s="20">
        <v>13000</v>
      </c>
      <c r="C5" s="21">
        <f>$F$1*B5+(1-$F$1)*C4</f>
        <v>19907.5</v>
      </c>
      <c r="D5" s="21">
        <f t="shared" ref="D5:D15" si="1">C4</f>
        <v>20675</v>
      </c>
      <c r="E5" s="21">
        <f t="shared" ref="E5:E15" si="2">D5-B5</f>
        <v>7675</v>
      </c>
      <c r="F5" s="21">
        <f t="shared" ref="F5:F15" si="3">ABS(E5)</f>
        <v>7675</v>
      </c>
      <c r="G5" s="21">
        <f t="shared" ref="G5:G15" si="4">E5^2</f>
        <v>58905625</v>
      </c>
      <c r="H5" s="21">
        <f>SUM($F$4:F5)/A5-0</f>
        <v>10879.166666666666</v>
      </c>
      <c r="I5" s="33">
        <f t="shared" si="0"/>
        <v>59.03846153846154</v>
      </c>
      <c r="J5" s="34">
        <f>SUM($E$4:E5)</f>
        <v>21758.333333333332</v>
      </c>
      <c r="K5" s="34">
        <f t="shared" ref="K5:K15" si="5">J5/H5</f>
        <v>2</v>
      </c>
    </row>
    <row r="6" spans="1:11" x14ac:dyDescent="0.4">
      <c r="A6" s="19">
        <v>3</v>
      </c>
      <c r="B6" s="20">
        <v>23000</v>
      </c>
      <c r="C6" s="21">
        <f>$F$1*B6+(1-$F$1)*C5</f>
        <v>20216.75</v>
      </c>
      <c r="D6" s="21">
        <f t="shared" si="1"/>
        <v>19907.5</v>
      </c>
      <c r="E6" s="21">
        <f t="shared" si="2"/>
        <v>-3092.5</v>
      </c>
      <c r="F6" s="21">
        <f t="shared" si="3"/>
        <v>3092.5</v>
      </c>
      <c r="G6" s="21">
        <f t="shared" si="4"/>
        <v>9563556.25</v>
      </c>
      <c r="H6" s="21">
        <f>SUM($F$4:F6)/A6-0</f>
        <v>8283.6111111111113</v>
      </c>
      <c r="I6" s="33">
        <f t="shared" si="0"/>
        <v>13.445652173913045</v>
      </c>
      <c r="J6" s="34">
        <f>SUM($E$4:E6)</f>
        <v>18665.833333333332</v>
      </c>
      <c r="K6" s="34">
        <f>J6/H6</f>
        <v>2.2533449582508966</v>
      </c>
    </row>
    <row r="7" spans="1:11" x14ac:dyDescent="0.4">
      <c r="A7" s="19">
        <v>4</v>
      </c>
      <c r="B7" s="20">
        <v>34000</v>
      </c>
      <c r="C7" s="21">
        <f>$F$1*B7+(1-$F$1)*C6</f>
        <v>21595.075000000001</v>
      </c>
      <c r="D7" s="21">
        <f>C6</f>
        <v>20216.75</v>
      </c>
      <c r="E7" s="21">
        <f t="shared" si="2"/>
        <v>-13783.25</v>
      </c>
      <c r="F7" s="21">
        <f t="shared" si="3"/>
        <v>13783.25</v>
      </c>
      <c r="G7" s="21">
        <f t="shared" si="4"/>
        <v>189977980.5625</v>
      </c>
      <c r="H7" s="21">
        <f>SUM($F$4:F7)/A7-0</f>
        <v>9658.5208333333321</v>
      </c>
      <c r="I7" s="33">
        <f t="shared" si="0"/>
        <v>40.538970588235294</v>
      </c>
      <c r="J7" s="34">
        <f>SUM($E$4:E7)</f>
        <v>4882.5833333333321</v>
      </c>
      <c r="K7" s="34">
        <f t="shared" si="5"/>
        <v>0.50552081603247556</v>
      </c>
    </row>
    <row r="8" spans="1:11" x14ac:dyDescent="0.4">
      <c r="A8" s="19">
        <v>5</v>
      </c>
      <c r="B8" s="20">
        <v>10000</v>
      </c>
      <c r="C8" s="21">
        <f>$F$1*B8+(1-$F$1)*C7</f>
        <v>20435.567500000001</v>
      </c>
      <c r="D8" s="21">
        <f t="shared" si="1"/>
        <v>21595.075000000001</v>
      </c>
      <c r="E8" s="21">
        <f t="shared" si="2"/>
        <v>11595.075000000001</v>
      </c>
      <c r="F8" s="21">
        <f t="shared" si="3"/>
        <v>11595.075000000001</v>
      </c>
      <c r="G8" s="21">
        <f t="shared" si="4"/>
        <v>134445764.25562501</v>
      </c>
      <c r="H8" s="21">
        <f>SUM($F$4:F8)/A8-0</f>
        <v>10045.831666666665</v>
      </c>
      <c r="I8" s="33">
        <f t="shared" si="0"/>
        <v>115.95075000000001</v>
      </c>
      <c r="J8" s="34">
        <f>SUM($E$4:E8)</f>
        <v>16477.658333333333</v>
      </c>
      <c r="K8" s="34">
        <f>J8/H8</f>
        <v>1.6402483019905936</v>
      </c>
    </row>
    <row r="9" spans="1:11" x14ac:dyDescent="0.4">
      <c r="A9" s="19">
        <v>6</v>
      </c>
      <c r="B9" s="20">
        <v>18000</v>
      </c>
      <c r="C9" s="21">
        <f t="shared" ref="C9:C14" si="6">$F$1*B9+(1-$F$1)*C8</f>
        <v>20192.010750000001</v>
      </c>
      <c r="D9" s="21">
        <f t="shared" si="1"/>
        <v>20435.567500000001</v>
      </c>
      <c r="E9" s="21">
        <f t="shared" si="2"/>
        <v>2435.567500000001</v>
      </c>
      <c r="F9" s="21">
        <f t="shared" si="3"/>
        <v>2435.567500000001</v>
      </c>
      <c r="G9" s="21">
        <f t="shared" si="4"/>
        <v>5931989.0470562549</v>
      </c>
      <c r="H9" s="21">
        <f>SUM($F$4:F9)/A9-0</f>
        <v>8777.454305555555</v>
      </c>
      <c r="I9" s="33">
        <f t="shared" si="0"/>
        <v>13.530930555555562</v>
      </c>
      <c r="J9" s="34">
        <f>SUM($E$4:E9)</f>
        <v>18913.225833333334</v>
      </c>
      <c r="K9" s="34">
        <f t="shared" si="5"/>
        <v>2.154750702759284</v>
      </c>
    </row>
    <row r="10" spans="1:11" x14ac:dyDescent="0.4">
      <c r="A10" s="19">
        <v>7</v>
      </c>
      <c r="B10" s="20">
        <v>23000</v>
      </c>
      <c r="C10" s="21">
        <f t="shared" si="6"/>
        <v>20472.809675</v>
      </c>
      <c r="D10" s="21">
        <f t="shared" si="1"/>
        <v>20192.010750000001</v>
      </c>
      <c r="E10" s="21">
        <f t="shared" si="2"/>
        <v>-2807.9892499999987</v>
      </c>
      <c r="F10" s="21">
        <f t="shared" si="3"/>
        <v>2807.9892499999987</v>
      </c>
      <c r="G10" s="21">
        <f t="shared" si="4"/>
        <v>7884803.6281155553</v>
      </c>
      <c r="H10" s="21">
        <f>SUM($F$4:F10)/A10-0</f>
        <v>7924.6735833333323</v>
      </c>
      <c r="I10" s="33">
        <f t="shared" ref="I10:I15" si="7">(F10/B10)*100</f>
        <v>12.208648913043472</v>
      </c>
      <c r="J10" s="34">
        <f>SUM($E$4:E10)</f>
        <v>16105.236583333335</v>
      </c>
      <c r="K10" s="34">
        <f>J10/H10</f>
        <v>2.0322902153603954</v>
      </c>
    </row>
    <row r="11" spans="1:11" x14ac:dyDescent="0.4">
      <c r="A11" s="19">
        <v>8</v>
      </c>
      <c r="B11" s="20">
        <v>38000</v>
      </c>
      <c r="C11" s="21">
        <f t="shared" si="6"/>
        <v>22225.528707500001</v>
      </c>
      <c r="D11" s="21">
        <f t="shared" si="1"/>
        <v>20472.809675</v>
      </c>
      <c r="E11" s="21">
        <f>D11-B11</f>
        <v>-17527.190325</v>
      </c>
      <c r="F11" s="21">
        <f t="shared" si="3"/>
        <v>17527.190325</v>
      </c>
      <c r="G11" s="21">
        <f t="shared" si="4"/>
        <v>307202400.68877357</v>
      </c>
      <c r="H11" s="21">
        <f>SUM($F$4:F11)/A11-0</f>
        <v>9124.9881760416665</v>
      </c>
      <c r="I11" s="33">
        <f t="shared" si="7"/>
        <v>46.124185065789476</v>
      </c>
      <c r="J11" s="34">
        <f>SUM($E$4:E11)</f>
        <v>-1421.9537416666644</v>
      </c>
      <c r="K11" s="34">
        <f t="shared" si="5"/>
        <v>-0.15583074895374763</v>
      </c>
    </row>
    <row r="12" spans="1:11" x14ac:dyDescent="0.4">
      <c r="A12" s="19">
        <v>9</v>
      </c>
      <c r="B12" s="20">
        <v>12000</v>
      </c>
      <c r="C12" s="21">
        <f t="shared" si="6"/>
        <v>21202.975836750004</v>
      </c>
      <c r="D12" s="21">
        <f t="shared" si="1"/>
        <v>22225.528707500001</v>
      </c>
      <c r="E12" s="21">
        <f t="shared" si="2"/>
        <v>10225.528707500001</v>
      </c>
      <c r="F12" s="21">
        <f t="shared" si="3"/>
        <v>10225.528707500001</v>
      </c>
      <c r="G12" s="21">
        <f t="shared" si="4"/>
        <v>104561437.34790665</v>
      </c>
      <c r="H12" s="21">
        <f>SUM($F$4:F12)/A12-0</f>
        <v>9247.2704573148148</v>
      </c>
      <c r="I12" s="33">
        <f t="shared" si="7"/>
        <v>85.212739229166672</v>
      </c>
      <c r="J12" s="34">
        <f>SUM($E$4:E12)</f>
        <v>8803.574965833337</v>
      </c>
      <c r="K12" s="34">
        <f t="shared" si="5"/>
        <v>0.95201876126262708</v>
      </c>
    </row>
    <row r="13" spans="1:11" x14ac:dyDescent="0.4">
      <c r="A13" s="19">
        <v>10</v>
      </c>
      <c r="B13" s="20">
        <v>13000</v>
      </c>
      <c r="C13" s="21">
        <f t="shared" si="6"/>
        <v>20382.678253075002</v>
      </c>
      <c r="D13" s="21">
        <f t="shared" si="1"/>
        <v>21202.975836750004</v>
      </c>
      <c r="E13" s="21">
        <f t="shared" si="2"/>
        <v>8202.9758367500035</v>
      </c>
      <c r="F13" s="21">
        <f t="shared" si="3"/>
        <v>8202.9758367500035</v>
      </c>
      <c r="G13" s="21">
        <f t="shared" si="4"/>
        <v>67288812.578304425</v>
      </c>
      <c r="H13" s="21">
        <f>SUM($F$4:F13)/A13-0</f>
        <v>9142.8409952583352</v>
      </c>
      <c r="I13" s="33">
        <f t="shared" si="7"/>
        <v>63.099814128846177</v>
      </c>
      <c r="J13" s="34">
        <f>SUM($E$4:E13)</f>
        <v>17006.550802583341</v>
      </c>
      <c r="K13" s="34">
        <f t="shared" si="5"/>
        <v>1.860094779227079</v>
      </c>
    </row>
    <row r="14" spans="1:11" x14ac:dyDescent="0.4">
      <c r="A14" s="19">
        <v>11</v>
      </c>
      <c r="B14" s="20">
        <v>32000</v>
      </c>
      <c r="C14" s="21">
        <f t="shared" si="6"/>
        <v>21544.410427767503</v>
      </c>
      <c r="D14" s="21">
        <f t="shared" si="1"/>
        <v>20382.678253075002</v>
      </c>
      <c r="E14" s="21">
        <f t="shared" si="2"/>
        <v>-11617.321746924998</v>
      </c>
      <c r="F14" s="21">
        <f t="shared" si="3"/>
        <v>11617.321746924998</v>
      </c>
      <c r="G14" s="21">
        <f t="shared" si="4"/>
        <v>134962164.57157648</v>
      </c>
      <c r="H14" s="21">
        <f>SUM($F$4:F14)/A14-0</f>
        <v>9367.7937908643944</v>
      </c>
      <c r="I14" s="33">
        <f t="shared" si="7"/>
        <v>36.304130459140616</v>
      </c>
      <c r="J14" s="34">
        <f>SUM($E$4:E14)</f>
        <v>5389.229055658343</v>
      </c>
      <c r="K14" s="34">
        <f t="shared" si="5"/>
        <v>0.57529330555012814</v>
      </c>
    </row>
    <row r="15" spans="1:11" x14ac:dyDescent="0.4">
      <c r="A15" s="19">
        <v>12</v>
      </c>
      <c r="B15" s="20">
        <v>41000</v>
      </c>
      <c r="C15" s="21">
        <f>$F$1*B15+(1-$F$1)*C14</f>
        <v>23489.969384990753</v>
      </c>
      <c r="D15" s="21">
        <f t="shared" si="1"/>
        <v>21544.410427767503</v>
      </c>
      <c r="E15" s="21">
        <f t="shared" si="2"/>
        <v>-19455.589572232497</v>
      </c>
      <c r="F15" s="21">
        <f t="shared" si="3"/>
        <v>19455.589572232497</v>
      </c>
      <c r="G15" s="21">
        <f t="shared" si="4"/>
        <v>378519965.60316187</v>
      </c>
      <c r="H15" s="21">
        <f>SUM($F$4:F15)/A15-0</f>
        <v>10208.443439311735</v>
      </c>
      <c r="I15" s="33">
        <f t="shared" si="7"/>
        <v>47.452657493249994</v>
      </c>
      <c r="J15" s="34">
        <f>SUM($E$4:E15)</f>
        <v>-14066.360516574154</v>
      </c>
      <c r="K15" s="34">
        <f t="shared" si="5"/>
        <v>-1.3779143314254894</v>
      </c>
    </row>
    <row r="16" spans="1:11" x14ac:dyDescent="0.4">
      <c r="A16" s="32">
        <v>13</v>
      </c>
      <c r="B16" s="32"/>
      <c r="C16" s="29"/>
      <c r="D16" s="29">
        <f>C15</f>
        <v>23489.969384990753</v>
      </c>
      <c r="E16" s="28" t="s">
        <v>65</v>
      </c>
      <c r="H16" s="28" t="s">
        <v>67</v>
      </c>
      <c r="I16" s="28" t="s">
        <v>68</v>
      </c>
      <c r="J16" s="28" t="s">
        <v>63</v>
      </c>
      <c r="K16" s="28" t="s">
        <v>66</v>
      </c>
    </row>
    <row r="17" spans="1:8" x14ac:dyDescent="0.4">
      <c r="A17" s="32">
        <v>14</v>
      </c>
      <c r="B17" s="32"/>
      <c r="C17" s="29"/>
      <c r="D17" s="29">
        <f>C15</f>
        <v>23489.969384990753</v>
      </c>
    </row>
    <row r="18" spans="1:8" x14ac:dyDescent="0.4">
      <c r="A18" s="32">
        <v>15</v>
      </c>
      <c r="B18" s="32"/>
      <c r="C18" s="29"/>
      <c r="D18" s="29">
        <f>C15</f>
        <v>23489.969384990753</v>
      </c>
    </row>
    <row r="19" spans="1:8" x14ac:dyDescent="0.4">
      <c r="A19" s="32">
        <v>16</v>
      </c>
      <c r="B19" s="32"/>
      <c r="C19" s="29"/>
      <c r="D19" s="29">
        <f>C15</f>
        <v>23489.969384990753</v>
      </c>
    </row>
    <row r="20" spans="1:8" ht="23.4" x14ac:dyDescent="0.45">
      <c r="G20" s="18" t="s">
        <v>57</v>
      </c>
      <c r="H20" s="21">
        <f>AVERAGE(G4:G15)</f>
        <v>133132064.77589977</v>
      </c>
    </row>
    <row r="21" spans="1:8" ht="23.4" x14ac:dyDescent="0.45">
      <c r="G21" s="18" t="s">
        <v>58</v>
      </c>
      <c r="H21" s="32">
        <f>AVEDEV(F4:F15)</f>
        <v>4471.3641016347792</v>
      </c>
    </row>
    <row r="22" spans="1:8" ht="23.4" x14ac:dyDescent="0.45">
      <c r="G22" s="18" t="s">
        <v>59</v>
      </c>
      <c r="H22" s="34">
        <f>AVERAGE(I4:I15)</f>
        <v>59.07905056767239</v>
      </c>
    </row>
    <row r="23" spans="1:8" ht="23.4" x14ac:dyDescent="0.45">
      <c r="G23" s="18" t="s">
        <v>55</v>
      </c>
      <c r="H23" s="21">
        <f>SUM(E4:E15)</f>
        <v>-14066.360516574154</v>
      </c>
    </row>
    <row r="24" spans="1:8" x14ac:dyDescent="0.4">
      <c r="G24" s="17" t="s">
        <v>56</v>
      </c>
      <c r="H24" s="34">
        <f>MIN(K4:K15)</f>
        <v>-1.3779143314254894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AB2C-6BA6-4DAB-8683-4C6FFFF9008C}">
  <dimension ref="A1:I18"/>
  <sheetViews>
    <sheetView workbookViewId="0">
      <selection activeCell="D28" sqref="D28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5" t="s">
        <v>15</v>
      </c>
      <c r="B3" s="5"/>
    </row>
    <row r="4" spans="1:9" x14ac:dyDescent="0.3">
      <c r="A4" t="s">
        <v>16</v>
      </c>
      <c r="B4">
        <v>0.4813271965428314</v>
      </c>
    </row>
    <row r="5" spans="1:9" x14ac:dyDescent="0.3">
      <c r="A5" t="s">
        <v>17</v>
      </c>
      <c r="B5">
        <v>0.23167587013178143</v>
      </c>
    </row>
    <row r="6" spans="1:9" x14ac:dyDescent="0.3">
      <c r="A6" t="s">
        <v>18</v>
      </c>
      <c r="B6">
        <v>0.15484345714495956</v>
      </c>
    </row>
    <row r="7" spans="1:9" x14ac:dyDescent="0.3">
      <c r="A7" t="s">
        <v>19</v>
      </c>
      <c r="B7">
        <v>10666.883374838264</v>
      </c>
    </row>
    <row r="8" spans="1:9" ht="15" thickBot="1" x14ac:dyDescent="0.35">
      <c r="A8" s="3" t="s">
        <v>20</v>
      </c>
      <c r="B8" s="3">
        <v>12</v>
      </c>
    </row>
    <row r="10" spans="1:9" ht="15" thickBot="1" x14ac:dyDescent="0.35">
      <c r="A10" t="s">
        <v>21</v>
      </c>
    </row>
    <row r="11" spans="1:9" x14ac:dyDescent="0.3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3">
      <c r="A12" t="s">
        <v>22</v>
      </c>
      <c r="B12">
        <v>1</v>
      </c>
      <c r="C12">
        <v>343092657.34265733</v>
      </c>
      <c r="D12">
        <v>343092657.34265733</v>
      </c>
      <c r="E12">
        <v>3.0153402857660869</v>
      </c>
      <c r="F12">
        <v>0.1131270233082636</v>
      </c>
    </row>
    <row r="13" spans="1:9" x14ac:dyDescent="0.3">
      <c r="A13" t="s">
        <v>23</v>
      </c>
      <c r="B13">
        <v>10</v>
      </c>
      <c r="C13">
        <v>1137824009.3240094</v>
      </c>
      <c r="D13">
        <v>113782400.93240094</v>
      </c>
    </row>
    <row r="14" spans="1:9" ht="15" thickBot="1" x14ac:dyDescent="0.35">
      <c r="A14" s="3" t="s">
        <v>24</v>
      </c>
      <c r="B14" s="3">
        <v>11</v>
      </c>
      <c r="C14" s="3">
        <v>1480916666.6666667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3">
      <c r="A17" t="s">
        <v>25</v>
      </c>
      <c r="B17">
        <v>12015.151515151518</v>
      </c>
      <c r="C17">
        <v>6565.0128935574921</v>
      </c>
      <c r="D17">
        <v>1.8301794238580191</v>
      </c>
      <c r="E17">
        <v>9.7147269540441936E-2</v>
      </c>
      <c r="F17">
        <v>-2612.6087767747613</v>
      </c>
      <c r="G17">
        <v>26642.911807077799</v>
      </c>
      <c r="H17">
        <v>-2612.6087767747613</v>
      </c>
      <c r="I17">
        <v>26642.911807077799</v>
      </c>
    </row>
    <row r="18" spans="1:9" ht="15" thickBot="1" x14ac:dyDescent="0.35">
      <c r="A18" s="3" t="s">
        <v>38</v>
      </c>
      <c r="B18" s="3">
        <v>1548.9510489510483</v>
      </c>
      <c r="C18" s="3">
        <v>892.00959938859694</v>
      </c>
      <c r="D18" s="3">
        <v>1.7364735200302031</v>
      </c>
      <c r="E18" s="3">
        <v>0.11312702330826382</v>
      </c>
      <c r="F18" s="3">
        <v>-438.5701957913966</v>
      </c>
      <c r="G18" s="3">
        <v>3536.4722936934932</v>
      </c>
      <c r="H18" s="3">
        <v>-438.5701957913966</v>
      </c>
      <c r="I18" s="3">
        <v>3536.4722936934932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E74C-1EF5-4836-A13A-A42BA0782270}">
  <dimension ref="A1:L25"/>
  <sheetViews>
    <sheetView zoomScale="70" zoomScaleNormal="76" workbookViewId="0">
      <selection activeCell="E21" sqref="E21"/>
    </sheetView>
  </sheetViews>
  <sheetFormatPr defaultColWidth="13.109375" defaultRowHeight="22.8" x14ac:dyDescent="0.4"/>
  <cols>
    <col min="1" max="3" width="13.109375" style="28"/>
    <col min="4" max="4" width="13.44140625" style="28" customWidth="1"/>
    <col min="5" max="5" width="13.6640625" style="28" bestFit="1" customWidth="1"/>
    <col min="6" max="6" width="13.109375" style="28"/>
    <col min="7" max="7" width="12.44140625" style="28" customWidth="1"/>
    <col min="8" max="8" width="21.88671875" style="28" customWidth="1"/>
    <col min="9" max="10" width="13.44140625" style="28" bestFit="1" customWidth="1"/>
    <col min="11" max="11" width="16.77734375" style="28" customWidth="1"/>
    <col min="12" max="16384" width="13.109375" style="28"/>
  </cols>
  <sheetData>
    <row r="1" spans="1:12" x14ac:dyDescent="0.4">
      <c r="C1" s="28" t="s">
        <v>11</v>
      </c>
      <c r="E1" s="30" t="s">
        <v>13</v>
      </c>
      <c r="F1" s="30">
        <v>0.1</v>
      </c>
      <c r="G1" s="30" t="s">
        <v>43</v>
      </c>
      <c r="H1" s="28">
        <v>0.2</v>
      </c>
    </row>
    <row r="2" spans="1:12" ht="23.4" x14ac:dyDescent="0.45">
      <c r="A2" s="15" t="s">
        <v>0</v>
      </c>
      <c r="B2" s="15" t="s">
        <v>1</v>
      </c>
      <c r="C2" s="16" t="s">
        <v>42</v>
      </c>
      <c r="D2" s="16" t="s">
        <v>44</v>
      </c>
      <c r="E2" s="16" t="s">
        <v>8</v>
      </c>
      <c r="F2" s="16" t="s">
        <v>49</v>
      </c>
      <c r="G2" s="16" t="s">
        <v>51</v>
      </c>
      <c r="H2" s="17" t="s">
        <v>50</v>
      </c>
      <c r="I2" s="17" t="s">
        <v>53</v>
      </c>
      <c r="J2" s="17" t="s">
        <v>54</v>
      </c>
      <c r="K2" s="18" t="s">
        <v>55</v>
      </c>
      <c r="L2" s="18" t="s">
        <v>56</v>
      </c>
    </row>
    <row r="3" spans="1:12" ht="23.4" x14ac:dyDescent="0.45">
      <c r="A3" s="15">
        <v>0</v>
      </c>
      <c r="B3" s="15"/>
      <c r="C3" s="31">
        <v>12015</v>
      </c>
      <c r="D3" s="16">
        <v>1549</v>
      </c>
      <c r="E3" s="16"/>
      <c r="F3" s="16"/>
      <c r="G3" s="17"/>
      <c r="H3" s="17"/>
      <c r="I3" s="17"/>
      <c r="J3" s="17"/>
      <c r="K3" s="18"/>
      <c r="L3" s="32"/>
    </row>
    <row r="4" spans="1:12" x14ac:dyDescent="0.4">
      <c r="A4" s="19">
        <v>1</v>
      </c>
      <c r="B4" s="20">
        <v>8000</v>
      </c>
      <c r="C4" s="21">
        <f>$F$1*B4+(1-$F$1)*(C3+D3)</f>
        <v>13007.6</v>
      </c>
      <c r="D4" s="21">
        <f>$H$1*(C4-C3)+(1-$H$1)*D3</f>
        <v>1437.7200000000003</v>
      </c>
      <c r="E4" s="21">
        <f>C3+D3</f>
        <v>13564</v>
      </c>
      <c r="F4" s="21">
        <f>E4-B4</f>
        <v>5564</v>
      </c>
      <c r="G4" s="21" cm="1">
        <f t="array" ref="G4:G15">ABS(F4:F15)</f>
        <v>5564</v>
      </c>
      <c r="H4" s="21">
        <f>F4^2</f>
        <v>30958096</v>
      </c>
      <c r="I4" s="21">
        <f>SUM($G$4:G4)/A4-0</f>
        <v>5564</v>
      </c>
      <c r="J4" s="34">
        <f>(G4/B4)*100</f>
        <v>69.55</v>
      </c>
      <c r="K4" s="34">
        <f>SUM($F$4:F4)</f>
        <v>5564</v>
      </c>
      <c r="L4" s="34">
        <f>K4/I4</f>
        <v>1</v>
      </c>
    </row>
    <row r="5" spans="1:12" x14ac:dyDescent="0.4">
      <c r="A5" s="19">
        <v>2</v>
      </c>
      <c r="B5" s="20">
        <v>13000</v>
      </c>
      <c r="C5" s="21">
        <f>$F$1*B5+(1-$F$1)*(C4+D4)</f>
        <v>14300.788</v>
      </c>
      <c r="D5" s="21">
        <f>$H$1*(C5-C4)+(1-$H$1)*D4</f>
        <v>1408.8136000000002</v>
      </c>
      <c r="E5" s="21">
        <f>C4+D4</f>
        <v>14445.32</v>
      </c>
      <c r="F5" s="21">
        <f t="shared" ref="F5:F14" si="0">E5-B5</f>
        <v>1445.3199999999997</v>
      </c>
      <c r="G5" s="21">
        <v>1445.3199999999997</v>
      </c>
      <c r="H5" s="21">
        <f t="shared" ref="H5:H15" si="1">F5^2</f>
        <v>2088949.9023999991</v>
      </c>
      <c r="I5" s="21">
        <f>SUM($G$4:G5)/A5-0</f>
        <v>3504.66</v>
      </c>
      <c r="J5" s="34">
        <f t="shared" ref="J5:J15" si="2">(G5/B5)*100</f>
        <v>11.117846153846152</v>
      </c>
      <c r="K5" s="34">
        <f>SUM($F$4:F5)</f>
        <v>7009.32</v>
      </c>
      <c r="L5" s="34">
        <f t="shared" ref="L5:L15" si="3">K5/I5</f>
        <v>2</v>
      </c>
    </row>
    <row r="6" spans="1:12" x14ac:dyDescent="0.4">
      <c r="A6" s="19">
        <v>3</v>
      </c>
      <c r="B6" s="20">
        <v>23000</v>
      </c>
      <c r="C6" s="21">
        <f t="shared" ref="C6:C14" si="4">$F$1*B6+(1-$F$1)*(C5+D5)</f>
        <v>16438.641439999999</v>
      </c>
      <c r="D6" s="21">
        <f t="shared" ref="D6:D15" si="5">$H$1*(C6-C5)+(1-$H$1)*D5</f>
        <v>1554.621568</v>
      </c>
      <c r="E6" s="21">
        <f>C5+D5</f>
        <v>15709.6016</v>
      </c>
      <c r="F6" s="21">
        <f t="shared" si="0"/>
        <v>-7290.3984</v>
      </c>
      <c r="G6" s="21">
        <v>7290.3984</v>
      </c>
      <c r="H6" s="21">
        <f t="shared" si="1"/>
        <v>53149908.830722563</v>
      </c>
      <c r="I6" s="21">
        <f>SUM($G$4:G6)/A6-0</f>
        <v>4766.5727999999999</v>
      </c>
      <c r="J6" s="34">
        <f t="shared" si="2"/>
        <v>31.697384347826084</v>
      </c>
      <c r="K6" s="34">
        <f>SUM($F$4:F6)</f>
        <v>-281.07840000000033</v>
      </c>
      <c r="L6" s="34">
        <f t="shared" si="3"/>
        <v>-5.8968657732448845E-2</v>
      </c>
    </row>
    <row r="7" spans="1:12" x14ac:dyDescent="0.4">
      <c r="A7" s="19">
        <v>4</v>
      </c>
      <c r="B7" s="20">
        <v>34000</v>
      </c>
      <c r="C7" s="21">
        <f>$F$1*B7+(1-$F$1)*(C6+D6)</f>
        <v>19593.936707199999</v>
      </c>
      <c r="D7" s="21">
        <f>$H$1*(C7-C6)+(1-$H$1)*D6</f>
        <v>1874.7563078399999</v>
      </c>
      <c r="E7" s="21">
        <f t="shared" ref="E7:E14" si="6">C6+D6</f>
        <v>17993.263007999998</v>
      </c>
      <c r="F7" s="21">
        <f t="shared" si="0"/>
        <v>-16006.736992000002</v>
      </c>
      <c r="G7" s="21">
        <v>16006.736992000002</v>
      </c>
      <c r="H7" s="21">
        <f t="shared" si="1"/>
        <v>256215629.13106126</v>
      </c>
      <c r="I7" s="21">
        <f>SUM($G$4:G7)/A7-0</f>
        <v>7576.6138480000009</v>
      </c>
      <c r="J7" s="34">
        <f t="shared" si="2"/>
        <v>47.078638211764712</v>
      </c>
      <c r="K7" s="34">
        <f>SUM($F$4:F7)</f>
        <v>-16287.815392000002</v>
      </c>
      <c r="L7" s="34">
        <f t="shared" si="3"/>
        <v>-2.1497486500911616</v>
      </c>
    </row>
    <row r="8" spans="1:12" x14ac:dyDescent="0.4">
      <c r="A8" s="19">
        <v>5</v>
      </c>
      <c r="B8" s="20">
        <v>10000</v>
      </c>
      <c r="C8" s="21">
        <f t="shared" si="4"/>
        <v>20321.823713536</v>
      </c>
      <c r="D8" s="21">
        <f>$H$1*(C8-C7)+(1-$H$1)*D7</f>
        <v>1645.3824475392003</v>
      </c>
      <c r="E8" s="21">
        <f>C7+D7</f>
        <v>21468.69301504</v>
      </c>
      <c r="F8" s="21">
        <f t="shared" si="0"/>
        <v>11468.69301504</v>
      </c>
      <c r="G8" s="21">
        <v>11468.69301504</v>
      </c>
      <c r="H8" s="21">
        <f t="shared" si="1"/>
        <v>131530919.47322729</v>
      </c>
      <c r="I8" s="21">
        <f>SUM($G$4:G8)/A8-0</f>
        <v>8355.0296814080011</v>
      </c>
      <c r="J8" s="34">
        <f t="shared" si="2"/>
        <v>114.68693015040002</v>
      </c>
      <c r="K8" s="34">
        <f>SUM($F$4:F8)</f>
        <v>-4819.1223769600019</v>
      </c>
      <c r="L8" s="34">
        <f t="shared" si="3"/>
        <v>-0.57679296911221467</v>
      </c>
    </row>
    <row r="9" spans="1:12" x14ac:dyDescent="0.4">
      <c r="A9" s="19">
        <v>6</v>
      </c>
      <c r="B9" s="20">
        <v>18000</v>
      </c>
      <c r="C9" s="21">
        <f t="shared" si="4"/>
        <v>21570.48554496768</v>
      </c>
      <c r="D9" s="21">
        <f t="shared" si="5"/>
        <v>1566.0383243176962</v>
      </c>
      <c r="E9" s="21">
        <f>C8+D8</f>
        <v>21967.206161075199</v>
      </c>
      <c r="F9" s="21">
        <f t="shared" si="0"/>
        <v>3967.2061610751989</v>
      </c>
      <c r="G9" s="21">
        <v>3967.2061610751989</v>
      </c>
      <c r="H9" s="21">
        <f t="shared" si="1"/>
        <v>15738724.724473016</v>
      </c>
      <c r="I9" s="21">
        <f>SUM($G$4:G9)/A9-0</f>
        <v>7623.7257613525335</v>
      </c>
      <c r="J9" s="34">
        <f t="shared" si="2"/>
        <v>22.040034228195548</v>
      </c>
      <c r="K9" s="34">
        <f>SUM($F$4:F9)</f>
        <v>-851.91621588480302</v>
      </c>
      <c r="L9" s="34">
        <f t="shared" si="3"/>
        <v>-0.11174539097451265</v>
      </c>
    </row>
    <row r="10" spans="1:12" x14ac:dyDescent="0.4">
      <c r="A10" s="19">
        <v>7</v>
      </c>
      <c r="B10" s="20">
        <v>23000</v>
      </c>
      <c r="C10" s="21">
        <f t="shared" si="4"/>
        <v>23122.871482356837</v>
      </c>
      <c r="D10" s="21">
        <f t="shared" si="5"/>
        <v>1563.3078469319885</v>
      </c>
      <c r="E10" s="21">
        <f t="shared" si="6"/>
        <v>23136.523869285375</v>
      </c>
      <c r="F10" s="21">
        <f t="shared" si="0"/>
        <v>136.52386928537453</v>
      </c>
      <c r="G10" s="21">
        <v>136.52386928537453</v>
      </c>
      <c r="H10" s="21">
        <f t="shared" si="1"/>
        <v>18638.766884650031</v>
      </c>
      <c r="I10" s="21">
        <f>SUM($G$4:G10)/A10-0</f>
        <v>6554.1254910572252</v>
      </c>
      <c r="J10" s="34">
        <f t="shared" si="2"/>
        <v>0.59358204037119355</v>
      </c>
      <c r="K10" s="34">
        <f>SUM($F$4:F10)</f>
        <v>-715.39234659942849</v>
      </c>
      <c r="L10" s="34">
        <f t="shared" si="3"/>
        <v>-0.10915145698316966</v>
      </c>
    </row>
    <row r="11" spans="1:12" x14ac:dyDescent="0.4">
      <c r="A11" s="19">
        <v>8</v>
      </c>
      <c r="B11" s="20">
        <v>38000</v>
      </c>
      <c r="C11" s="21">
        <f t="shared" si="4"/>
        <v>26017.561396359943</v>
      </c>
      <c r="D11" s="21">
        <f t="shared" si="5"/>
        <v>1829.584260346212</v>
      </c>
      <c r="E11" s="21">
        <f t="shared" si="6"/>
        <v>24686.179329288825</v>
      </c>
      <c r="F11" s="21">
        <f t="shared" si="0"/>
        <v>-13313.820670711175</v>
      </c>
      <c r="G11" s="21">
        <v>13313.820670711175</v>
      </c>
      <c r="H11" s="21">
        <f t="shared" si="1"/>
        <v>177257820.85185617</v>
      </c>
      <c r="I11" s="21">
        <f>SUM($G$4:G11)/A11-0</f>
        <v>7399.087388513969</v>
      </c>
      <c r="J11" s="34">
        <f t="shared" si="2"/>
        <v>35.036370186082038</v>
      </c>
      <c r="K11" s="34">
        <f>SUM($F$4:F11)</f>
        <v>-14029.213017310603</v>
      </c>
      <c r="L11" s="34">
        <f t="shared" si="3"/>
        <v>-1.8960734318517392</v>
      </c>
    </row>
    <row r="12" spans="1:12" x14ac:dyDescent="0.4">
      <c r="A12" s="19">
        <v>9</v>
      </c>
      <c r="B12" s="20">
        <v>12000</v>
      </c>
      <c r="C12" s="21">
        <f t="shared" si="4"/>
        <v>26262.431091035538</v>
      </c>
      <c r="D12" s="21">
        <f t="shared" si="5"/>
        <v>1512.6413472120887</v>
      </c>
      <c r="E12" s="21">
        <f t="shared" si="6"/>
        <v>27847.145656706154</v>
      </c>
      <c r="F12" s="21">
        <f t="shared" si="0"/>
        <v>15847.145656706154</v>
      </c>
      <c r="G12" s="21">
        <v>15847.145656706154</v>
      </c>
      <c r="H12" s="21">
        <f t="shared" si="1"/>
        <v>251132025.46486074</v>
      </c>
      <c r="I12" s="21">
        <f>SUM($G$4:G12)/A12-0</f>
        <v>8337.760529424213</v>
      </c>
      <c r="J12" s="34">
        <f t="shared" si="2"/>
        <v>132.05954713921795</v>
      </c>
      <c r="K12" s="34">
        <f>SUM($F$4:F12)</f>
        <v>1817.9326393955507</v>
      </c>
      <c r="L12" s="34">
        <f t="shared" si="3"/>
        <v>0.21803608210862024</v>
      </c>
    </row>
    <row r="13" spans="1:12" x14ac:dyDescent="0.4">
      <c r="A13" s="19">
        <v>10</v>
      </c>
      <c r="B13" s="20">
        <v>13000</v>
      </c>
      <c r="C13" s="21">
        <f t="shared" si="4"/>
        <v>26297.565194422863</v>
      </c>
      <c r="D13" s="21">
        <f t="shared" si="5"/>
        <v>1217.1398984471359</v>
      </c>
      <c r="E13" s="21">
        <f t="shared" si="6"/>
        <v>27775.072438247626</v>
      </c>
      <c r="F13" s="21">
        <f t="shared" si="0"/>
        <v>14775.072438247626</v>
      </c>
      <c r="G13" s="21">
        <v>14775.072438247626</v>
      </c>
      <c r="H13" s="21">
        <f t="shared" si="1"/>
        <v>218302765.55546463</v>
      </c>
      <c r="I13" s="21">
        <f>SUM($G$4:G13)/A13-0</f>
        <v>8981.4917203065525</v>
      </c>
      <c r="J13" s="34">
        <f t="shared" si="2"/>
        <v>113.65440337113557</v>
      </c>
      <c r="K13" s="34">
        <f>SUM($F$4:F13)</f>
        <v>16593.005077643174</v>
      </c>
      <c r="L13" s="34">
        <f t="shared" si="3"/>
        <v>1.8474665004842681</v>
      </c>
    </row>
    <row r="14" spans="1:12" x14ac:dyDescent="0.4">
      <c r="A14" s="19">
        <v>11</v>
      </c>
      <c r="B14" s="20">
        <v>32000</v>
      </c>
      <c r="C14" s="21">
        <f t="shared" si="4"/>
        <v>27963.234583582998</v>
      </c>
      <c r="D14" s="21">
        <f t="shared" si="5"/>
        <v>1306.845796589736</v>
      </c>
      <c r="E14" s="21">
        <f t="shared" si="6"/>
        <v>27514.705092869997</v>
      </c>
      <c r="F14" s="21">
        <f t="shared" si="0"/>
        <v>-4485.2949071300027</v>
      </c>
      <c r="G14" s="21">
        <v>4485.2949071300027</v>
      </c>
      <c r="H14" s="21">
        <f t="shared" si="1"/>
        <v>20117870.403926339</v>
      </c>
      <c r="I14" s="21">
        <f>SUM($G$4:G14)/A14-0</f>
        <v>8572.7465554723221</v>
      </c>
      <c r="J14" s="34">
        <f t="shared" si="2"/>
        <v>14.016546584781258</v>
      </c>
      <c r="K14" s="34">
        <f>SUM($F$4:F14)</f>
        <v>12107.710170513172</v>
      </c>
      <c r="L14" s="34">
        <f t="shared" si="3"/>
        <v>1.4123490169885335</v>
      </c>
    </row>
    <row r="15" spans="1:12" x14ac:dyDescent="0.4">
      <c r="A15" s="19">
        <v>12</v>
      </c>
      <c r="B15" s="20">
        <v>41000</v>
      </c>
      <c r="C15" s="21">
        <f>$F$1*B15+(1-$F$1)*(C14+D14)</f>
        <v>30443.072342155461</v>
      </c>
      <c r="D15" s="21">
        <f t="shared" si="5"/>
        <v>1541.4441889862815</v>
      </c>
      <c r="E15" s="21">
        <f>C14+D14</f>
        <v>29270.080380172734</v>
      </c>
      <c r="F15" s="21">
        <f>E15-B15</f>
        <v>-11729.919619827266</v>
      </c>
      <c r="G15" s="21">
        <v>11729.919619827266</v>
      </c>
      <c r="H15" s="21">
        <f t="shared" si="1"/>
        <v>137591014.28760862</v>
      </c>
      <c r="I15" s="21">
        <f>SUM($G$4:G15)/A15-0</f>
        <v>8835.8443108352349</v>
      </c>
      <c r="J15" s="34">
        <f t="shared" si="2"/>
        <v>28.609560048359185</v>
      </c>
      <c r="K15" s="34">
        <f>SUM($F$4:F15)</f>
        <v>377.79055068590606</v>
      </c>
      <c r="L15" s="34">
        <f t="shared" si="3"/>
        <v>4.2756587530931076E-2</v>
      </c>
    </row>
    <row r="16" spans="1:12" x14ac:dyDescent="0.4">
      <c r="A16" s="32">
        <v>13</v>
      </c>
      <c r="B16" s="32"/>
      <c r="C16" s="29"/>
      <c r="D16" s="29"/>
      <c r="E16" s="21">
        <f>C15+D15</f>
        <v>31984.516531141744</v>
      </c>
      <c r="F16" s="28" t="s">
        <v>65</v>
      </c>
    </row>
    <row r="17" spans="1:8" x14ac:dyDescent="0.4">
      <c r="A17" s="32">
        <v>14</v>
      </c>
      <c r="B17" s="32"/>
      <c r="C17" s="29"/>
      <c r="D17" s="29"/>
      <c r="E17" s="35">
        <f>C15+2*D15</f>
        <v>33525.960720128023</v>
      </c>
    </row>
    <row r="18" spans="1:8" x14ac:dyDescent="0.4">
      <c r="A18" s="32">
        <v>15</v>
      </c>
      <c r="B18" s="32"/>
      <c r="C18" s="29"/>
      <c r="D18" s="29"/>
      <c r="E18" s="36">
        <f>C15+3*D15</f>
        <v>35067.40490911431</v>
      </c>
    </row>
    <row r="19" spans="1:8" x14ac:dyDescent="0.4">
      <c r="A19" s="32">
        <v>16</v>
      </c>
      <c r="B19" s="32"/>
      <c r="C19" s="29"/>
      <c r="D19" s="29"/>
      <c r="E19" s="36">
        <f>C15+4*D15</f>
        <v>36608.849098100589</v>
      </c>
    </row>
    <row r="21" spans="1:8" ht="23.4" x14ac:dyDescent="0.45">
      <c r="G21" s="18" t="s">
        <v>57</v>
      </c>
      <c r="H21" s="34">
        <f>AVERAGE(H4:H15)</f>
        <v>107841863.61604042</v>
      </c>
    </row>
    <row r="22" spans="1:8" ht="23.4" x14ac:dyDescent="0.45">
      <c r="G22" s="18" t="s">
        <v>58</v>
      </c>
      <c r="H22" s="34">
        <f>AVERAGE(_xlfn.ANCHORARRAY(G4))</f>
        <v>8835.8443108352349</v>
      </c>
    </row>
    <row r="23" spans="1:8" ht="23.4" x14ac:dyDescent="0.45">
      <c r="G23" s="18" t="s">
        <v>59</v>
      </c>
      <c r="H23" s="34">
        <f>AVERAGE(J4:J15)</f>
        <v>51.678403538498316</v>
      </c>
    </row>
    <row r="24" spans="1:8" ht="23.4" x14ac:dyDescent="0.45">
      <c r="G24" s="18" t="s">
        <v>55</v>
      </c>
      <c r="H24" s="21">
        <f>SUM(F4:F15)</f>
        <v>377.79055068590606</v>
      </c>
    </row>
    <row r="25" spans="1:8" x14ac:dyDescent="0.4">
      <c r="G25" s="17" t="s">
        <v>56</v>
      </c>
      <c r="H25" s="34">
        <f>MIN(L4:L15)</f>
        <v>-2.1497486500911616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8D94-508C-4A99-96EF-33463874EAF0}">
  <dimension ref="A1:I18"/>
  <sheetViews>
    <sheetView tabSelected="1" workbookViewId="0">
      <selection activeCell="H29" sqref="H29"/>
    </sheetView>
  </sheetViews>
  <sheetFormatPr defaultRowHeight="14.4" x14ac:dyDescent="0.3"/>
  <sheetData>
    <row r="1" spans="1:9" x14ac:dyDescent="0.3">
      <c r="A1" t="s">
        <v>14</v>
      </c>
    </row>
    <row r="2" spans="1:9" ht="15" thickBot="1" x14ac:dyDescent="0.35"/>
    <row r="3" spans="1:9" x14ac:dyDescent="0.3">
      <c r="A3" s="5" t="s">
        <v>15</v>
      </c>
      <c r="B3" s="5"/>
    </row>
    <row r="4" spans="1:9" x14ac:dyDescent="0.3">
      <c r="A4" t="s">
        <v>16</v>
      </c>
      <c r="B4">
        <v>0.4813271965428314</v>
      </c>
    </row>
    <row r="5" spans="1:9" x14ac:dyDescent="0.3">
      <c r="A5" t="s">
        <v>17</v>
      </c>
      <c r="B5">
        <v>0.23167587013178143</v>
      </c>
    </row>
    <row r="6" spans="1:9" x14ac:dyDescent="0.3">
      <c r="A6" t="s">
        <v>18</v>
      </c>
      <c r="B6">
        <v>0.15484345714495956</v>
      </c>
    </row>
    <row r="7" spans="1:9" x14ac:dyDescent="0.3">
      <c r="A7" t="s">
        <v>19</v>
      </c>
      <c r="B7">
        <v>10666.883374838264</v>
      </c>
    </row>
    <row r="8" spans="1:9" ht="15" thickBot="1" x14ac:dyDescent="0.35">
      <c r="A8" s="3" t="s">
        <v>20</v>
      </c>
      <c r="B8" s="3">
        <v>12</v>
      </c>
    </row>
    <row r="10" spans="1:9" ht="15" thickBot="1" x14ac:dyDescent="0.35">
      <c r="A10" t="s">
        <v>21</v>
      </c>
    </row>
    <row r="11" spans="1:9" x14ac:dyDescent="0.3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3">
      <c r="A12" t="s">
        <v>22</v>
      </c>
      <c r="B12">
        <v>1</v>
      </c>
      <c r="C12">
        <v>343092657.34265733</v>
      </c>
      <c r="D12">
        <v>343092657.34265733</v>
      </c>
      <c r="E12">
        <v>3.0153402857660869</v>
      </c>
      <c r="F12">
        <v>0.1131270233082636</v>
      </c>
    </row>
    <row r="13" spans="1:9" x14ac:dyDescent="0.3">
      <c r="A13" t="s">
        <v>23</v>
      </c>
      <c r="B13">
        <v>10</v>
      </c>
      <c r="C13">
        <v>1137824009.3240094</v>
      </c>
      <c r="D13">
        <v>113782400.93240094</v>
      </c>
    </row>
    <row r="14" spans="1:9" ht="15" thickBot="1" x14ac:dyDescent="0.35">
      <c r="A14" s="3" t="s">
        <v>24</v>
      </c>
      <c r="B14" s="3">
        <v>11</v>
      </c>
      <c r="C14" s="3">
        <v>1480916666.6666667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3">
      <c r="A17" t="s">
        <v>25</v>
      </c>
      <c r="B17">
        <v>12015.151515151518</v>
      </c>
      <c r="C17">
        <v>6565.0128935574921</v>
      </c>
      <c r="D17">
        <v>1.8301794238580191</v>
      </c>
      <c r="E17">
        <v>9.7147269540441936E-2</v>
      </c>
      <c r="F17">
        <v>-2612.6087767747613</v>
      </c>
      <c r="G17">
        <v>26642.911807077799</v>
      </c>
      <c r="H17">
        <v>-2612.6087767747613</v>
      </c>
      <c r="I17">
        <v>26642.911807077799</v>
      </c>
    </row>
    <row r="18" spans="1:9" ht="15" thickBot="1" x14ac:dyDescent="0.35">
      <c r="A18" s="3" t="s">
        <v>38</v>
      </c>
      <c r="B18" s="3">
        <v>1548.9510489510483</v>
      </c>
      <c r="C18" s="3">
        <v>892.00959938859694</v>
      </c>
      <c r="D18" s="3">
        <v>1.7364735200302031</v>
      </c>
      <c r="E18" s="3">
        <v>0.11312702330826382</v>
      </c>
      <c r="F18" s="3">
        <v>-438.5701957913966</v>
      </c>
      <c r="G18" s="3">
        <v>3536.4722936934932</v>
      </c>
      <c r="H18" s="3">
        <v>-438.5701957913966</v>
      </c>
      <c r="I18" s="3">
        <v>3536.4722936934932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13D2-25F3-495F-9802-B88A30310062}">
  <dimension ref="A1:M26"/>
  <sheetViews>
    <sheetView zoomScale="72" zoomScaleNormal="80" workbookViewId="0">
      <selection activeCell="F21" sqref="F21"/>
    </sheetView>
  </sheetViews>
  <sheetFormatPr defaultColWidth="13.109375" defaultRowHeight="22.8" x14ac:dyDescent="0.4"/>
  <cols>
    <col min="1" max="3" width="13.21875" style="28" bestFit="1" customWidth="1"/>
    <col min="4" max="4" width="24" style="28" customWidth="1"/>
    <col min="5" max="5" width="19" style="28" customWidth="1"/>
    <col min="6" max="6" width="22.21875" style="28" customWidth="1"/>
    <col min="7" max="7" width="13.21875" style="28" bestFit="1" customWidth="1"/>
    <col min="8" max="8" width="17" style="28" bestFit="1" customWidth="1"/>
    <col min="9" max="9" width="17.88671875" style="28" customWidth="1"/>
    <col min="10" max="12" width="13.5546875" style="28" bestFit="1" customWidth="1"/>
    <col min="13" max="13" width="13.21875" style="28" bestFit="1" customWidth="1"/>
    <col min="14" max="16384" width="13.109375" style="28"/>
  </cols>
  <sheetData>
    <row r="1" spans="1:13" ht="33.450000000000003" customHeight="1" x14ac:dyDescent="0.4">
      <c r="C1" s="28" t="s">
        <v>11</v>
      </c>
      <c r="E1" s="30" t="s">
        <v>13</v>
      </c>
      <c r="F1" s="30">
        <v>0.05</v>
      </c>
      <c r="G1" s="30" t="s">
        <v>43</v>
      </c>
      <c r="H1" s="28">
        <v>0.1</v>
      </c>
      <c r="I1" s="30" t="s">
        <v>48</v>
      </c>
      <c r="J1" s="28">
        <v>0.1</v>
      </c>
    </row>
    <row r="2" spans="1:13" ht="43.05" customHeight="1" x14ac:dyDescent="0.45">
      <c r="A2" s="37" t="s">
        <v>0</v>
      </c>
      <c r="B2" s="37" t="s">
        <v>1</v>
      </c>
      <c r="C2" s="38" t="s">
        <v>42</v>
      </c>
      <c r="D2" s="38" t="s">
        <v>45</v>
      </c>
      <c r="E2" s="39" t="s">
        <v>46</v>
      </c>
      <c r="F2" s="38" t="s">
        <v>47</v>
      </c>
      <c r="G2" s="38" t="s">
        <v>49</v>
      </c>
      <c r="H2" s="38" t="s">
        <v>51</v>
      </c>
      <c r="I2" s="40" t="s">
        <v>50</v>
      </c>
      <c r="J2" s="40" t="s">
        <v>53</v>
      </c>
      <c r="K2" s="40" t="s">
        <v>54</v>
      </c>
      <c r="L2" s="41" t="s">
        <v>55</v>
      </c>
      <c r="M2" s="41" t="s">
        <v>56</v>
      </c>
    </row>
    <row r="3" spans="1:13" ht="23.4" x14ac:dyDescent="0.45">
      <c r="A3" s="15">
        <v>0</v>
      </c>
      <c r="B3" s="15"/>
      <c r="C3" s="31">
        <v>18439</v>
      </c>
      <c r="D3" s="16">
        <v>524</v>
      </c>
      <c r="E3" s="16"/>
      <c r="F3" s="16"/>
      <c r="G3" s="16"/>
      <c r="H3" s="17"/>
      <c r="I3" s="17"/>
      <c r="J3" s="17"/>
      <c r="K3" s="17"/>
      <c r="L3" s="18"/>
      <c r="M3" s="32"/>
    </row>
    <row r="4" spans="1:13" x14ac:dyDescent="0.4">
      <c r="A4" s="19">
        <v>1</v>
      </c>
      <c r="B4" s="20">
        <v>8000</v>
      </c>
      <c r="C4" s="21">
        <f>$F$1*(B4/E4)+(1-$F$1)*(C3+D3)</f>
        <v>18865.913829787234</v>
      </c>
      <c r="D4" s="21">
        <f>$H$1*(C4-C3)+(1-$H$1)*D3</f>
        <v>514.29138297872339</v>
      </c>
      <c r="E4" s="42">
        <v>0.47</v>
      </c>
      <c r="F4" s="21">
        <f>(C3+D3)*(E4)</f>
        <v>8912.6099999999988</v>
      </c>
      <c r="G4" s="21">
        <f>F4-B4</f>
        <v>912.60999999999876</v>
      </c>
      <c r="H4" s="21">
        <f>ABS(G4)</f>
        <v>912.60999999999876</v>
      </c>
      <c r="I4" s="21">
        <f>G4^2</f>
        <v>832857.01209999772</v>
      </c>
      <c r="J4" s="21">
        <f>SUM($H$4:H4)/A4-0</f>
        <v>912.60999999999876</v>
      </c>
      <c r="K4" s="34">
        <f>(H4/B4)*100</f>
        <v>11.407624999999985</v>
      </c>
      <c r="L4" s="34">
        <f>SUM($G$4:G4)</f>
        <v>912.60999999999876</v>
      </c>
      <c r="M4" s="34">
        <f>L4/J4</f>
        <v>1</v>
      </c>
    </row>
    <row r="5" spans="1:13" x14ac:dyDescent="0.4">
      <c r="A5" s="19">
        <v>2</v>
      </c>
      <c r="B5" s="20">
        <v>13000</v>
      </c>
      <c r="C5" s="21">
        <f>$F$1*(B5/E5)+(1-$F$1)*(C4+D4)</f>
        <v>19367.077305068837</v>
      </c>
      <c r="D5" s="21">
        <f>$H$1*(C5-C4)+(1-$H$1)*D4</f>
        <v>512.97859220901137</v>
      </c>
      <c r="E5" s="43">
        <v>0.68</v>
      </c>
      <c r="F5" s="21">
        <f>(C4+D4)*(E5)</f>
        <v>13178.539544680852</v>
      </c>
      <c r="G5" s="21">
        <f t="shared" ref="G5:G15" si="0">F5-B5</f>
        <v>178.53954468085249</v>
      </c>
      <c r="H5" s="21">
        <f t="shared" ref="H5:H15" si="1">ABS(G5)</f>
        <v>178.53954468085249</v>
      </c>
      <c r="I5" s="21">
        <f t="shared" ref="I5:I15" si="2">G5^2</f>
        <v>31876.369014846121</v>
      </c>
      <c r="J5" s="21">
        <f>SUM($H$4:H5)/A5-0</f>
        <v>545.57477234042562</v>
      </c>
      <c r="K5" s="34">
        <f>(H5/B5)*100</f>
        <v>1.3733811129296345</v>
      </c>
      <c r="L5" s="34">
        <f>SUM($G$4:G5)</f>
        <v>1091.1495446808512</v>
      </c>
      <c r="M5" s="34">
        <f>L5/J5</f>
        <v>2</v>
      </c>
    </row>
    <row r="6" spans="1:13" x14ac:dyDescent="0.4">
      <c r="A6" s="19">
        <v>3</v>
      </c>
      <c r="B6" s="20">
        <v>23000</v>
      </c>
      <c r="C6" s="21">
        <f t="shared" ref="C6:C14" si="3">$F$1*(B6/E6)+(1-$F$1)*(C5+D5)</f>
        <v>19868.959085319941</v>
      </c>
      <c r="D6" s="21">
        <f>$H$1*(C6-C5)+(1-$H$1)*D5</f>
        <v>511.86891101322067</v>
      </c>
      <c r="E6" s="43">
        <v>1.17</v>
      </c>
      <c r="F6" s="21">
        <f>(C5+D5)*(E6)</f>
        <v>23259.665399815083</v>
      </c>
      <c r="G6" s="21">
        <f t="shared" si="0"/>
        <v>259.66539981508322</v>
      </c>
      <c r="H6" s="21">
        <f t="shared" si="1"/>
        <v>259.66539981508322</v>
      </c>
      <c r="I6" s="21">
        <f t="shared" si="2"/>
        <v>67426.119861127023</v>
      </c>
      <c r="J6" s="21">
        <f>SUM($H$4:H6)/A6-0</f>
        <v>450.27164816531149</v>
      </c>
      <c r="K6" s="34">
        <f>(H6/B6)*100</f>
        <v>1.1289799991960141</v>
      </c>
      <c r="L6" s="34">
        <f>SUM($G$4:G6)</f>
        <v>1350.8149444959345</v>
      </c>
      <c r="M6" s="34">
        <f>L6/J6</f>
        <v>3</v>
      </c>
    </row>
    <row r="7" spans="1:13" x14ac:dyDescent="0.4">
      <c r="A7" s="19">
        <v>4</v>
      </c>
      <c r="B7" s="20">
        <v>34000</v>
      </c>
      <c r="C7" s="21">
        <f t="shared" si="3"/>
        <v>20379.750668372792</v>
      </c>
      <c r="D7" s="21">
        <f t="shared" ref="D7:D14" si="4">$H$1*(C7-C6)+(1-$H$1)*D6</f>
        <v>511.76117821718373</v>
      </c>
      <c r="E7" s="43">
        <v>1.67</v>
      </c>
      <c r="F7" s="21">
        <f>(C6+D6)*(E7)</f>
        <v>34035.982753876378</v>
      </c>
      <c r="G7" s="21">
        <f t="shared" si="0"/>
        <v>35.98275387637841</v>
      </c>
      <c r="H7" s="21">
        <f t="shared" si="1"/>
        <v>35.98275387637841</v>
      </c>
      <c r="I7" s="21">
        <f t="shared" si="2"/>
        <v>1294.7585765280255</v>
      </c>
      <c r="J7" s="21">
        <f>SUM($H$4:H7)/A7-0</f>
        <v>346.69942459307822</v>
      </c>
      <c r="K7" s="34">
        <f t="shared" ref="K7:K15" si="5">(H7/B7)*100</f>
        <v>0.1058316290481718</v>
      </c>
      <c r="L7" s="34">
        <f>SUM($G$4:G7)</f>
        <v>1386.7976983723129</v>
      </c>
      <c r="M7" s="34">
        <f t="shared" ref="M7:M15" si="6">L7/J7</f>
        <v>4</v>
      </c>
    </row>
    <row r="8" spans="1:13" x14ac:dyDescent="0.4">
      <c r="A8" s="19">
        <v>5</v>
      </c>
      <c r="B8" s="20">
        <v>10000</v>
      </c>
      <c r="C8" s="21">
        <f t="shared" si="3"/>
        <v>20921.270472494471</v>
      </c>
      <c r="D8" s="21">
        <f>$H$1*(C8-C7)+(1-$H$1)*D7</f>
        <v>514.73704080763321</v>
      </c>
      <c r="E8" s="34">
        <f>$J$1*(B4/C4)+(1-$J$1)*E4</f>
        <v>0.46540451892327028</v>
      </c>
      <c r="F8" s="21">
        <f t="shared" ref="F8:F14" si="7">(C7+D7)*(E8)</f>
        <v>9723.00402054201</v>
      </c>
      <c r="G8" s="21">
        <f t="shared" si="0"/>
        <v>-276.99597945798996</v>
      </c>
      <c r="H8" s="21">
        <f t="shared" si="1"/>
        <v>276.99597945798996</v>
      </c>
      <c r="I8" s="21">
        <f t="shared" si="2"/>
        <v>76726.77263589119</v>
      </c>
      <c r="J8" s="21">
        <f>SUM($H$4:H8)/A8-0</f>
        <v>332.75873556606058</v>
      </c>
      <c r="K8" s="34">
        <f t="shared" si="5"/>
        <v>2.7699597945798997</v>
      </c>
      <c r="L8" s="34">
        <f>SUM($G$4:G8)</f>
        <v>1109.8017189143229</v>
      </c>
      <c r="M8" s="34">
        <f t="shared" si="6"/>
        <v>3.3351542733398825</v>
      </c>
    </row>
    <row r="9" spans="1:13" x14ac:dyDescent="0.4">
      <c r="A9" s="19">
        <v>6</v>
      </c>
      <c r="B9" s="20">
        <v>18000</v>
      </c>
      <c r="C9" s="21">
        <f t="shared" si="3"/>
        <v>21689.443332439725</v>
      </c>
      <c r="D9" s="21">
        <f t="shared" si="4"/>
        <v>540.08062272139534</v>
      </c>
      <c r="E9" s="34">
        <f>$J$1*(B5/C5)+(1-$J$1)*E5</f>
        <v>0.6791242221798619</v>
      </c>
      <c r="F9" s="21">
        <f t="shared" si="7"/>
        <v>14557.711929112967</v>
      </c>
      <c r="G9" s="21">
        <f t="shared" si="0"/>
        <v>-3442.2880708870325</v>
      </c>
      <c r="H9" s="21">
        <f t="shared" si="1"/>
        <v>3442.2880708870325</v>
      </c>
      <c r="I9" s="21">
        <f t="shared" si="2"/>
        <v>11849347.162971167</v>
      </c>
      <c r="J9" s="21">
        <f>SUM($H$4:H9)/A9-0</f>
        <v>851.01362478622252</v>
      </c>
      <c r="K9" s="34">
        <f t="shared" si="5"/>
        <v>19.123822616039067</v>
      </c>
      <c r="L9" s="34">
        <f>SUM($G$4:G9)</f>
        <v>-2332.4863519727096</v>
      </c>
      <c r="M9" s="34">
        <f t="shared" si="6"/>
        <v>-2.740833147716804</v>
      </c>
    </row>
    <row r="10" spans="1:13" x14ac:dyDescent="0.4">
      <c r="A10" s="19">
        <v>7</v>
      </c>
      <c r="B10" s="20">
        <v>23000</v>
      </c>
      <c r="C10" s="21">
        <f t="shared" si="3"/>
        <v>22101.997858800012</v>
      </c>
      <c r="D10" s="21">
        <f t="shared" si="4"/>
        <v>527.32801308528451</v>
      </c>
      <c r="E10" s="34">
        <f>$J$1*(B6/C6)+(1-$J$1)*E6</f>
        <v>1.1687584546892211</v>
      </c>
      <c r="F10" s="21">
        <f t="shared" si="7"/>
        <v>25980.944066311135</v>
      </c>
      <c r="G10" s="21">
        <f t="shared" si="0"/>
        <v>2980.9440663111345</v>
      </c>
      <c r="H10" s="21">
        <f t="shared" si="1"/>
        <v>2980.9440663111345</v>
      </c>
      <c r="I10" s="21">
        <f t="shared" si="2"/>
        <v>8886027.5264755618</v>
      </c>
      <c r="J10" s="21">
        <f>SUM($H$4:H10)/A10-0</f>
        <v>1155.2894021469242</v>
      </c>
      <c r="K10" s="34">
        <f>(H10/B10)*100</f>
        <v>12.960626375265802</v>
      </c>
      <c r="L10" s="34">
        <f>SUM($G$4:G10)</f>
        <v>648.45771433842492</v>
      </c>
      <c r="M10" s="34">
        <f t="shared" si="6"/>
        <v>0.56129460993355251</v>
      </c>
    </row>
    <row r="11" spans="1:13" x14ac:dyDescent="0.4">
      <c r="A11" s="19">
        <v>8</v>
      </c>
      <c r="B11" s="20">
        <v>38000</v>
      </c>
      <c r="C11" s="21">
        <f t="shared" si="3"/>
        <v>22635.698412659141</v>
      </c>
      <c r="D11" s="21">
        <f t="shared" si="4"/>
        <v>527.96526716266897</v>
      </c>
      <c r="E11" s="34">
        <f>$J$1*(B7/C7)+(1-$J$1)*E7</f>
        <v>1.6698322667595946</v>
      </c>
      <c r="F11" s="21">
        <f t="shared" si="7"/>
        <v>37787.178515891763</v>
      </c>
      <c r="G11" s="21">
        <f t="shared" si="0"/>
        <v>-212.8214841082372</v>
      </c>
      <c r="H11" s="21">
        <f t="shared" si="1"/>
        <v>212.8214841082372</v>
      </c>
      <c r="I11" s="21">
        <f t="shared" si="2"/>
        <v>45292.984098032663</v>
      </c>
      <c r="J11" s="21">
        <f>SUM($H$4:H11)/A11-0</f>
        <v>1037.4809123920884</v>
      </c>
      <c r="K11" s="34">
        <f t="shared" si="5"/>
        <v>0.56005653712694003</v>
      </c>
      <c r="L11" s="34">
        <f>SUM($G$4:G11)</f>
        <v>435.63623023018772</v>
      </c>
      <c r="M11" s="34">
        <f t="shared" si="6"/>
        <v>0.41989806754685677</v>
      </c>
    </row>
    <row r="12" spans="1:13" x14ac:dyDescent="0.4">
      <c r="A12" s="19">
        <v>9</v>
      </c>
      <c r="B12" s="20">
        <v>12000</v>
      </c>
      <c r="C12" s="21">
        <f t="shared" si="3"/>
        <v>23291.206780670833</v>
      </c>
      <c r="D12" s="21">
        <f t="shared" si="4"/>
        <v>540.71957724757124</v>
      </c>
      <c r="E12" s="34">
        <f t="shared" ref="E12:E18" si="8">$J$1*(B8/C8)+(1-$J$1)*E8</f>
        <v>0.4666623114690483</v>
      </c>
      <c r="F12" s="21">
        <f t="shared" si="7"/>
        <v>10809.608834917286</v>
      </c>
      <c r="G12" s="21">
        <f t="shared" si="0"/>
        <v>-1190.391165082714</v>
      </c>
      <c r="H12" s="21">
        <f t="shared" si="1"/>
        <v>1190.391165082714</v>
      </c>
      <c r="I12" s="21">
        <f t="shared" si="2"/>
        <v>1417031.1259069813</v>
      </c>
      <c r="J12" s="21">
        <f>SUM($H$4:H12)/A12-0</f>
        <v>1054.4709404688247</v>
      </c>
      <c r="K12" s="34">
        <f t="shared" si="5"/>
        <v>9.9199263756892844</v>
      </c>
      <c r="L12" s="34">
        <f>SUM($G$4:G12)</f>
        <v>-754.75493485252628</v>
      </c>
      <c r="M12" s="34">
        <f t="shared" si="6"/>
        <v>-0.71576646248492848</v>
      </c>
    </row>
    <row r="13" spans="1:13" x14ac:dyDescent="0.4">
      <c r="A13" s="19">
        <v>10</v>
      </c>
      <c r="B13" s="20">
        <v>13000</v>
      </c>
      <c r="C13" s="21">
        <f t="shared" si="3"/>
        <v>23576.657629493009</v>
      </c>
      <c r="D13" s="21">
        <f>$H$1*(C13-C12)+(1-$H$1)*D12</f>
        <v>515.1927044050318</v>
      </c>
      <c r="E13" s="34">
        <f>$J$1*(B9/C9)+(1-$J$1)*E9</f>
        <v>0.69420148173521279</v>
      </c>
      <c r="F13" s="21">
        <f t="shared" si="7"/>
        <v>16544.158590271429</v>
      </c>
      <c r="G13" s="21">
        <f t="shared" si="0"/>
        <v>3544.1585902714287</v>
      </c>
      <c r="H13" s="21">
        <f t="shared" si="1"/>
        <v>3544.1585902714287</v>
      </c>
      <c r="I13" s="21">
        <f t="shared" si="2"/>
        <v>12561060.11299476</v>
      </c>
      <c r="J13" s="21">
        <f>SUM($H$4:H13)/A13-0</f>
        <v>1303.4397054490851</v>
      </c>
      <c r="K13" s="34">
        <f t="shared" si="5"/>
        <v>27.262758386703297</v>
      </c>
      <c r="L13" s="34">
        <f>SUM($G$4:G13)</f>
        <v>2789.4036554189024</v>
      </c>
      <c r="M13" s="34">
        <f t="shared" si="6"/>
        <v>2.1400327485480779</v>
      </c>
    </row>
    <row r="14" spans="1:13" x14ac:dyDescent="0.4">
      <c r="A14" s="19">
        <v>11</v>
      </c>
      <c r="B14" s="20">
        <v>32000</v>
      </c>
      <c r="C14" s="21">
        <f t="shared" si="3"/>
        <v>24271.405998537972</v>
      </c>
      <c r="D14" s="21">
        <f t="shared" si="4"/>
        <v>533.14827086902483</v>
      </c>
      <c r="E14" s="34">
        <f>$J$1*(B10/C10)+(1-$J$1)*E10</f>
        <v>1.1559456000274511</v>
      </c>
      <c r="F14" s="21">
        <f t="shared" si="7"/>
        <v>27848.868389989319</v>
      </c>
      <c r="G14" s="21">
        <f>F14-B14</f>
        <v>-4151.1316100106815</v>
      </c>
      <c r="H14" s="21">
        <f t="shared" si="1"/>
        <v>4151.1316100106815</v>
      </c>
      <c r="I14" s="21">
        <f t="shared" si="2"/>
        <v>17231893.643629871</v>
      </c>
      <c r="J14" s="21">
        <f>SUM($H$4:H14)/A14-0</f>
        <v>1562.3207876819572</v>
      </c>
      <c r="K14" s="34">
        <f t="shared" si="5"/>
        <v>12.972286281283379</v>
      </c>
      <c r="L14" s="34">
        <f>SUM($G$4:G14)</f>
        <v>-1361.7279545917791</v>
      </c>
      <c r="M14" s="34">
        <f t="shared" si="6"/>
        <v>-0.8716058605430187</v>
      </c>
    </row>
    <row r="15" spans="1:13" x14ac:dyDescent="0.4">
      <c r="A15" s="19">
        <v>12</v>
      </c>
      <c r="B15" s="20">
        <v>41000</v>
      </c>
      <c r="C15" s="21">
        <f>$F$1*(B15/E15)+(1-$F$1)*(C14+D14)</f>
        <v>24791.338443719171</v>
      </c>
      <c r="D15" s="21">
        <f>$H$1*(C15-C14)+(1-$H$1)*D14</f>
        <v>531.82668830024227</v>
      </c>
      <c r="E15" s="34">
        <f t="shared" si="8"/>
        <v>1.6707254594776499</v>
      </c>
      <c r="F15" s="21">
        <f>(C14+D14)*(E15)</f>
        <v>41441.600328893306</v>
      </c>
      <c r="G15" s="21">
        <f t="shared" si="0"/>
        <v>441.60032889330614</v>
      </c>
      <c r="H15" s="21">
        <f t="shared" si="1"/>
        <v>441.60032889330614</v>
      </c>
      <c r="I15" s="21">
        <f t="shared" si="2"/>
        <v>195010.85047867615</v>
      </c>
      <c r="J15" s="21">
        <f>SUM($H$4:H15)/A15-0</f>
        <v>1468.9274161162364</v>
      </c>
      <c r="K15" s="34">
        <f t="shared" si="5"/>
        <v>1.0770739729105028</v>
      </c>
      <c r="L15" s="34">
        <f>SUM($G$4:G15)</f>
        <v>-920.12762569847291</v>
      </c>
      <c r="M15" s="34">
        <f t="shared" si="6"/>
        <v>-0.62639420818439073</v>
      </c>
    </row>
    <row r="16" spans="1:13" x14ac:dyDescent="0.4">
      <c r="A16" s="32">
        <v>13</v>
      </c>
      <c r="B16" s="32"/>
      <c r="C16" s="21"/>
      <c r="D16" s="21"/>
      <c r="E16" s="34">
        <f>$J$1*(B12/C12)+(1-$J$1)*E12</f>
        <v>0.47151767004912448</v>
      </c>
      <c r="F16" s="21">
        <f>(C15+D15)*(E16)</f>
        <v>11940.319821319024</v>
      </c>
    </row>
    <row r="17" spans="1:6" x14ac:dyDescent="0.4">
      <c r="A17" s="32">
        <v>14</v>
      </c>
      <c r="B17" s="32"/>
      <c r="C17" s="21"/>
      <c r="D17" s="21"/>
      <c r="E17" s="34">
        <f>$J$1*(B13/C13)+(1-$J$1)*E13</f>
        <v>0.67992061667931958</v>
      </c>
      <c r="F17" s="21">
        <f>(C15+2*D15)*(E17)</f>
        <v>17579.341982710503</v>
      </c>
    </row>
    <row r="18" spans="1:6" x14ac:dyDescent="0.4">
      <c r="A18" s="32">
        <v>15</v>
      </c>
      <c r="B18" s="32"/>
      <c r="C18" s="21"/>
      <c r="D18" s="21"/>
      <c r="E18" s="34">
        <f t="shared" si="8"/>
        <v>1.172193422793663</v>
      </c>
      <c r="F18" s="21">
        <f>(C15+3*D15)*(E18)</f>
        <v>30930.455104254335</v>
      </c>
    </row>
    <row r="19" spans="1:6" x14ac:dyDescent="0.4">
      <c r="A19" s="32">
        <v>16</v>
      </c>
      <c r="B19" s="32"/>
      <c r="C19" s="21"/>
      <c r="D19" s="21"/>
      <c r="E19" s="34">
        <f>$J$1*(B15/C15)+(1-$J$1)*E15</f>
        <v>1.6690332543012292</v>
      </c>
      <c r="F19" s="21">
        <f>(C15+4*D15)*(E19)</f>
        <v>44928.113994395775</v>
      </c>
    </row>
    <row r="22" spans="1:6" ht="23.4" x14ac:dyDescent="0.45">
      <c r="B22" s="18" t="s">
        <v>57</v>
      </c>
      <c r="C22" s="34">
        <f>AVERAGE(I4:I15)</f>
        <v>4432987.0365619538</v>
      </c>
    </row>
    <row r="23" spans="1:6" ht="23.4" x14ac:dyDescent="0.45">
      <c r="B23" s="18" t="s">
        <v>58</v>
      </c>
      <c r="C23" s="34">
        <f>AVERAGE(H4:H15)</f>
        <v>1468.9274161162364</v>
      </c>
    </row>
    <row r="24" spans="1:6" ht="23.4" x14ac:dyDescent="0.45">
      <c r="B24" s="18" t="s">
        <v>59</v>
      </c>
      <c r="C24" s="34">
        <f>AVERAGE(K4:K15)</f>
        <v>8.3885273400643303</v>
      </c>
    </row>
    <row r="25" spans="1:6" ht="23.4" x14ac:dyDescent="0.45">
      <c r="B25" s="18" t="s">
        <v>55</v>
      </c>
      <c r="C25" s="21">
        <f>SUM(G4:G15)</f>
        <v>-920.12762569847291</v>
      </c>
    </row>
    <row r="26" spans="1:6" x14ac:dyDescent="0.4">
      <c r="B26" s="17" t="s">
        <v>56</v>
      </c>
      <c r="C26" s="34">
        <f>MIN(M4:M15)</f>
        <v>-2.740833147716804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static deseason</vt:lpstr>
      <vt:lpstr>Deseasonalizing</vt:lpstr>
      <vt:lpstr>moving average</vt:lpstr>
      <vt:lpstr>simple exponential smoothing</vt:lpstr>
      <vt:lpstr>Holt's Reg</vt:lpstr>
      <vt:lpstr>holt's model</vt:lpstr>
      <vt:lpstr>Winter's reg</vt:lpstr>
      <vt:lpstr>winter's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user22</dc:creator>
  <cp:lastModifiedBy>Mohammed Raza Chidimar</cp:lastModifiedBy>
  <dcterms:created xsi:type="dcterms:W3CDTF">2019-10-16T07:44:10Z</dcterms:created>
  <dcterms:modified xsi:type="dcterms:W3CDTF">2024-11-17T10:15:02Z</dcterms:modified>
</cp:coreProperties>
</file>